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hidePivotFieldList="1" defaultThemeVersion="124226"/>
  <mc:AlternateContent xmlns:mc="http://schemas.openxmlformats.org/markup-compatibility/2006">
    <mc:Choice Requires="x15">
      <x15ac:absPath xmlns:x15ac="http://schemas.microsoft.com/office/spreadsheetml/2010/11/ac" url="S:\Apportionment_NEW\Tools and Forms\"/>
    </mc:Choice>
  </mc:AlternateContent>
  <xr:revisionPtr revIDLastSave="0" documentId="13_ncr:1_{649F7738-583F-4633-863A-74D44B39CCE5}" xr6:coauthVersionLast="47" xr6:coauthVersionMax="47" xr10:uidLastSave="{00000000-0000-0000-0000-000000000000}"/>
  <bookViews>
    <workbookView xWindow="31515" yWindow="1065" windowWidth="21600" windowHeight="13230" tabRatio="797" activeTab="2" xr2:uid="{00000000-000D-0000-FFFF-FFFF00000000}"/>
  </bookViews>
  <sheets>
    <sheet name="Read the Instructions" sheetId="21" r:id="rId1"/>
    <sheet name="2020 PRT" sheetId="1" state="hidden" r:id="rId2"/>
    <sheet name="2025Comp&amp;Contr" sheetId="72" r:id="rId3"/>
    <sheet name="Collective NPL" sheetId="9" state="hidden" r:id="rId4"/>
    <sheet name="CCDDD List" sheetId="50" r:id="rId5"/>
    <sheet name="2025 ER Compensation" sheetId="93" r:id="rId6"/>
    <sheet name="Do not delete" sheetId="90" state="hidden" r:id="rId7"/>
    <sheet name="2025 PEFI ER Contributions" sheetId="95" r:id="rId8"/>
    <sheet name="Total Contributions" sheetId="5" r:id="rId9"/>
    <sheet name="Note Tables 1&amp;2" sheetId="25" state="hidden" r:id="rId10"/>
  </sheets>
  <definedNames>
    <definedName name="_xlnm._FilterDatabase" localSheetId="1" hidden="1">'2020 PRT'!$A$1:$G$4</definedName>
    <definedName name="_xlnm._FilterDatabase" localSheetId="2" hidden="1">'2025Comp&amp;Contr'!$A$1:$G$4</definedName>
    <definedName name="_xlnm._FilterDatabase" localSheetId="3" hidden="1">'Collective NPL'!$A$1:$B$325</definedName>
    <definedName name="_xlnm.Print_Area" localSheetId="1">'2020 PRT'!$A$1:$G$53</definedName>
    <definedName name="_xlnm.Print_Area" localSheetId="2">'2025Comp&amp;Contr'!$A$1:$G$33</definedName>
    <definedName name="_xlnm.Print_Area" localSheetId="0">'Read the Instructions'!$B$1:$F$21</definedName>
    <definedName name="_xlnm.Print_Titles" localSheetId="0">'Read the Instructions'!$1:$1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3" i="95" l="1"/>
  <c r="R2" i="95" s="1"/>
  <c r="N3" i="95"/>
  <c r="N2" i="95" s="1"/>
  <c r="L3" i="95"/>
  <c r="J3" i="95"/>
  <c r="H3" i="95"/>
  <c r="F3" i="95"/>
  <c r="D3" i="95"/>
  <c r="D2" i="95" s="1"/>
  <c r="H2" i="95"/>
  <c r="F2" i="95"/>
  <c r="L2" i="95"/>
  <c r="J2" i="95"/>
  <c r="U4" i="93"/>
  <c r="F9" i="72"/>
  <c r="E9" i="72"/>
  <c r="D9" i="72"/>
  <c r="C9" i="72"/>
  <c r="B9" i="72"/>
  <c r="BT3" i="95" l="1"/>
  <c r="BS3" i="95"/>
  <c r="BR3" i="95"/>
  <c r="BQ3" i="95"/>
  <c r="BP3" i="95"/>
  <c r="BO3" i="95"/>
  <c r="AS45" i="95"/>
  <c r="AR45" i="95"/>
  <c r="AV45" i="95" s="1"/>
  <c r="AD4" i="95"/>
  <c r="AC4" i="95"/>
  <c r="AB4" i="95"/>
  <c r="AA4" i="95"/>
  <c r="Z4" i="95"/>
  <c r="Y4" i="95"/>
  <c r="P327" i="95"/>
  <c r="P3" i="95" s="1"/>
  <c r="AW45" i="95" l="1"/>
  <c r="E324" i="50" l="1"/>
  <c r="K45" i="9"/>
  <c r="K327" i="9"/>
  <c r="K326" i="9"/>
  <c r="K325" i="9"/>
  <c r="K324" i="9"/>
  <c r="K323" i="9"/>
  <c r="K322" i="9"/>
  <c r="K321" i="9"/>
  <c r="K320" i="9"/>
  <c r="K319" i="9"/>
  <c r="K318" i="9"/>
  <c r="K317" i="9"/>
  <c r="K316" i="9"/>
  <c r="K315" i="9"/>
  <c r="K314" i="9"/>
  <c r="K313" i="9"/>
  <c r="K312" i="9"/>
  <c r="K311" i="9"/>
  <c r="K310" i="9"/>
  <c r="K309" i="9"/>
  <c r="K308" i="9"/>
  <c r="K307" i="9"/>
  <c r="K306" i="9"/>
  <c r="K305" i="9"/>
  <c r="K304" i="9"/>
  <c r="K303" i="9"/>
  <c r="K302" i="9"/>
  <c r="K301" i="9"/>
  <c r="K300" i="9"/>
  <c r="K299" i="9"/>
  <c r="K298" i="9"/>
  <c r="K297" i="9"/>
  <c r="K296" i="9"/>
  <c r="K295" i="9"/>
  <c r="K294" i="9"/>
  <c r="K293" i="9"/>
  <c r="K292" i="9"/>
  <c r="K291" i="9"/>
  <c r="K290" i="9"/>
  <c r="K289" i="9"/>
  <c r="K288" i="9"/>
  <c r="K287" i="9"/>
  <c r="K286" i="9"/>
  <c r="K285" i="9"/>
  <c r="K284" i="9"/>
  <c r="K283" i="9"/>
  <c r="K282" i="9"/>
  <c r="K281" i="9"/>
  <c r="K280" i="9"/>
  <c r="K279" i="9"/>
  <c r="K278" i="9"/>
  <c r="K277" i="9"/>
  <c r="K276" i="9"/>
  <c r="K275" i="9"/>
  <c r="K274" i="9"/>
  <c r="K273" i="9"/>
  <c r="K272" i="9"/>
  <c r="K271" i="9"/>
  <c r="K270" i="9"/>
  <c r="K269" i="9"/>
  <c r="K268" i="9"/>
  <c r="K267" i="9"/>
  <c r="K266" i="9"/>
  <c r="K265" i="9"/>
  <c r="K264" i="9"/>
  <c r="K263" i="9"/>
  <c r="K262" i="9"/>
  <c r="K261" i="9"/>
  <c r="K260" i="9"/>
  <c r="K259" i="9"/>
  <c r="K258" i="9"/>
  <c r="K257" i="9"/>
  <c r="K256" i="9"/>
  <c r="K255" i="9"/>
  <c r="K254" i="9"/>
  <c r="K253" i="9"/>
  <c r="K252" i="9"/>
  <c r="K251" i="9"/>
  <c r="K250" i="9"/>
  <c r="K249" i="9"/>
  <c r="K248" i="9"/>
  <c r="K247" i="9"/>
  <c r="K246" i="9"/>
  <c r="K245" i="9"/>
  <c r="K244" i="9"/>
  <c r="K243" i="9"/>
  <c r="K242" i="9"/>
  <c r="K241" i="9"/>
  <c r="K240" i="9"/>
  <c r="K239" i="9"/>
  <c r="K238" i="9"/>
  <c r="K237" i="9"/>
  <c r="K236" i="9"/>
  <c r="K235" i="9"/>
  <c r="K234" i="9"/>
  <c r="K233" i="9"/>
  <c r="K232" i="9"/>
  <c r="K231" i="9"/>
  <c r="K230" i="9"/>
  <c r="K229" i="9"/>
  <c r="K228" i="9"/>
  <c r="K227" i="9"/>
  <c r="K226" i="9"/>
  <c r="K225" i="9"/>
  <c r="K224" i="9"/>
  <c r="K223" i="9"/>
  <c r="K222" i="9"/>
  <c r="K221" i="9"/>
  <c r="K220" i="9"/>
  <c r="K219" i="9"/>
  <c r="K218" i="9"/>
  <c r="K217" i="9"/>
  <c r="K216" i="9"/>
  <c r="K215" i="9"/>
  <c r="K214" i="9"/>
  <c r="K213" i="9"/>
  <c r="K212" i="9"/>
  <c r="K211" i="9"/>
  <c r="K210" i="9"/>
  <c r="K209" i="9"/>
  <c r="K208" i="9"/>
  <c r="K207" i="9"/>
  <c r="K206" i="9"/>
  <c r="K205" i="9"/>
  <c r="K204" i="9"/>
  <c r="K203" i="9"/>
  <c r="K202" i="9"/>
  <c r="K201" i="9"/>
  <c r="K200" i="9"/>
  <c r="K199" i="9"/>
  <c r="K198" i="9"/>
  <c r="K197" i="9"/>
  <c r="K196" i="9"/>
  <c r="K195" i="9"/>
  <c r="K194" i="9"/>
  <c r="K193" i="9"/>
  <c r="K192" i="9"/>
  <c r="K191" i="9"/>
  <c r="K190" i="9"/>
  <c r="K189" i="9"/>
  <c r="K188" i="9"/>
  <c r="K187" i="9"/>
  <c r="K186" i="9"/>
  <c r="K185" i="9"/>
  <c r="K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8" i="9"/>
  <c r="K7" i="9"/>
  <c r="Q8" i="9" l="1"/>
  <c r="Q9" i="9" s="1"/>
  <c r="Q10" i="9" s="1"/>
  <c r="Q11" i="9" s="1"/>
  <c r="Q12" i="9" s="1"/>
  <c r="Q13" i="9" s="1"/>
  <c r="Q14" i="9" s="1"/>
  <c r="Q15" i="9" s="1"/>
  <c r="Q16" i="9" s="1"/>
  <c r="Q17" i="9" s="1"/>
  <c r="Q18" i="9" s="1"/>
  <c r="Q19" i="9" s="1"/>
  <c r="Q20" i="9" s="1"/>
  <c r="Q21" i="9" s="1"/>
  <c r="Q22" i="9" s="1"/>
  <c r="Q23" i="9" s="1"/>
  <c r="Q24" i="9" s="1"/>
  <c r="Q25" i="9" s="1"/>
  <c r="Q26" i="9" s="1"/>
  <c r="Q27" i="9" s="1"/>
  <c r="Q28" i="9" s="1"/>
  <c r="Q29" i="9" s="1"/>
  <c r="Q30" i="9" s="1"/>
  <c r="Q31" i="9" s="1"/>
  <c r="Q32" i="9" s="1"/>
  <c r="Q33" i="9" s="1"/>
  <c r="Q34" i="9" s="1"/>
  <c r="Q35" i="9" s="1"/>
  <c r="Q36" i="9" s="1"/>
  <c r="Q37" i="9" s="1"/>
  <c r="Q38" i="9" s="1"/>
  <c r="Q39" i="9" s="1"/>
  <c r="Q40" i="9" s="1"/>
  <c r="Q41" i="9" s="1"/>
  <c r="Q42" i="9" s="1"/>
  <c r="Q43" i="9" s="1"/>
  <c r="Q44" i="9" s="1"/>
  <c r="BD3" i="95" l="1"/>
  <c r="BC3" i="95"/>
  <c r="BB3" i="95"/>
  <c r="BA3" i="95"/>
  <c r="AZ3" i="95"/>
  <c r="I2" i="93"/>
  <c r="G2" i="93"/>
  <c r="F2" i="93"/>
  <c r="E2" i="93"/>
  <c r="D2" i="93"/>
  <c r="AL2" i="95" l="1"/>
  <c r="AM2" i="95"/>
  <c r="AN2" i="95"/>
  <c r="AK2" i="95"/>
  <c r="AJ2" i="95"/>
  <c r="H2" i="93"/>
  <c r="BE3" i="95"/>
  <c r="AO3" i="95"/>
  <c r="E25" i="72"/>
  <c r="B25" i="72"/>
  <c r="E24" i="72"/>
  <c r="B24" i="72"/>
  <c r="F23" i="72"/>
  <c r="F22" i="72"/>
  <c r="E22" i="72"/>
  <c r="D22" i="72"/>
  <c r="C22" i="72"/>
  <c r="B22" i="72"/>
  <c r="F17" i="72"/>
  <c r="E17" i="72"/>
  <c r="D17" i="72"/>
  <c r="C17" i="72"/>
  <c r="B17" i="72"/>
  <c r="F16" i="72"/>
  <c r="E16" i="72"/>
  <c r="D16" i="72"/>
  <c r="C16" i="72"/>
  <c r="B16" i="72"/>
  <c r="F13" i="72"/>
  <c r="E13" i="72"/>
  <c r="D13" i="72"/>
  <c r="C13" i="72"/>
  <c r="B13" i="72"/>
  <c r="F11" i="72"/>
  <c r="E11" i="72"/>
  <c r="D11" i="72"/>
  <c r="C11" i="72"/>
  <c r="B11" i="72"/>
  <c r="F10" i="72"/>
  <c r="E10" i="72"/>
  <c r="D10" i="72"/>
  <c r="C10" i="72"/>
  <c r="B10" i="72"/>
  <c r="AS327" i="95"/>
  <c r="AR327" i="95"/>
  <c r="AS326" i="95"/>
  <c r="AR326" i="95"/>
  <c r="AS325" i="95"/>
  <c r="AR325" i="95"/>
  <c r="AS324" i="95"/>
  <c r="AR324" i="95"/>
  <c r="AS323" i="95"/>
  <c r="AR323" i="95"/>
  <c r="AS322" i="95"/>
  <c r="AR322" i="95"/>
  <c r="AS321" i="95"/>
  <c r="AR321" i="95"/>
  <c r="AS320" i="95"/>
  <c r="AR320" i="95"/>
  <c r="AS319" i="95"/>
  <c r="AR319" i="95"/>
  <c r="AS318" i="95"/>
  <c r="AR318" i="95"/>
  <c r="AS317" i="95"/>
  <c r="AR317" i="95"/>
  <c r="AS316" i="95"/>
  <c r="AR316" i="95"/>
  <c r="AS315" i="95"/>
  <c r="AR315" i="95"/>
  <c r="AS314" i="95"/>
  <c r="AR314" i="95"/>
  <c r="AS313" i="95"/>
  <c r="AR313" i="95"/>
  <c r="AS312" i="95"/>
  <c r="AR312" i="95"/>
  <c r="AS311" i="95"/>
  <c r="AR311" i="95"/>
  <c r="AS310" i="95"/>
  <c r="AR310" i="95"/>
  <c r="AS309" i="95"/>
  <c r="AR309" i="95"/>
  <c r="AS308" i="95"/>
  <c r="AR308" i="95"/>
  <c r="AS307" i="95"/>
  <c r="AR307" i="95"/>
  <c r="AS306" i="95"/>
  <c r="AR306" i="95"/>
  <c r="AS305" i="95"/>
  <c r="AR305" i="95"/>
  <c r="AS304" i="95"/>
  <c r="AR304" i="95"/>
  <c r="AS303" i="95"/>
  <c r="AR303" i="95"/>
  <c r="AS302" i="95"/>
  <c r="AR302" i="95"/>
  <c r="AS301" i="95"/>
  <c r="AR301" i="95"/>
  <c r="AS300" i="95"/>
  <c r="AR300" i="95"/>
  <c r="AS299" i="95"/>
  <c r="AR299" i="95"/>
  <c r="AS298" i="95"/>
  <c r="AR298" i="95"/>
  <c r="AS297" i="95"/>
  <c r="AR297" i="95"/>
  <c r="AS296" i="95"/>
  <c r="AR296" i="95"/>
  <c r="AS295" i="95"/>
  <c r="AR295" i="95"/>
  <c r="AS294" i="95"/>
  <c r="AR294" i="95"/>
  <c r="AS293" i="95"/>
  <c r="AR293" i="95"/>
  <c r="AS292" i="95"/>
  <c r="AR292" i="95"/>
  <c r="AS291" i="95"/>
  <c r="AR291" i="95"/>
  <c r="AS290" i="95"/>
  <c r="AR290" i="95"/>
  <c r="AS289" i="95"/>
  <c r="AR289" i="95"/>
  <c r="AS288" i="95"/>
  <c r="AR288" i="95"/>
  <c r="AS287" i="95"/>
  <c r="AR287" i="95"/>
  <c r="AS286" i="95"/>
  <c r="AR286" i="95"/>
  <c r="AS285" i="95"/>
  <c r="AR285" i="95"/>
  <c r="AS284" i="95"/>
  <c r="AR284" i="95"/>
  <c r="AS283" i="95"/>
  <c r="AR283" i="95"/>
  <c r="AS282" i="95"/>
  <c r="AR282" i="95"/>
  <c r="AS281" i="95"/>
  <c r="AR281" i="95"/>
  <c r="AS280" i="95"/>
  <c r="AR280" i="95"/>
  <c r="AS279" i="95"/>
  <c r="AR279" i="95"/>
  <c r="AS278" i="95"/>
  <c r="AR278" i="95"/>
  <c r="AS277" i="95"/>
  <c r="AR277" i="95"/>
  <c r="AS276" i="95"/>
  <c r="AR276" i="95"/>
  <c r="AS275" i="95"/>
  <c r="AR275" i="95"/>
  <c r="AS274" i="95"/>
  <c r="AR274" i="95"/>
  <c r="AS273" i="95"/>
  <c r="AR273" i="95"/>
  <c r="AS272" i="95"/>
  <c r="AR272" i="95"/>
  <c r="AS271" i="95"/>
  <c r="AR271" i="95"/>
  <c r="AS270" i="95"/>
  <c r="AR270" i="95"/>
  <c r="AS269" i="95"/>
  <c r="AR269" i="95"/>
  <c r="AS268" i="95"/>
  <c r="AR268" i="95"/>
  <c r="AS267" i="95"/>
  <c r="AR267" i="95"/>
  <c r="AS266" i="95"/>
  <c r="AR266" i="95"/>
  <c r="AS265" i="95"/>
  <c r="AR265" i="95"/>
  <c r="AS264" i="95"/>
  <c r="AR264" i="95"/>
  <c r="AS263" i="95"/>
  <c r="AR263" i="95"/>
  <c r="AS262" i="95"/>
  <c r="AR262" i="95"/>
  <c r="AS261" i="95"/>
  <c r="AR261" i="95"/>
  <c r="AS260" i="95"/>
  <c r="AR260" i="95"/>
  <c r="AS259" i="95"/>
  <c r="AR259" i="95"/>
  <c r="AS258" i="95"/>
  <c r="AR258" i="95"/>
  <c r="AS257" i="95"/>
  <c r="AR257" i="95"/>
  <c r="AS256" i="95"/>
  <c r="AR256" i="95"/>
  <c r="AS255" i="95"/>
  <c r="AR255" i="95"/>
  <c r="AS254" i="95"/>
  <c r="AR254" i="95"/>
  <c r="AS253" i="95"/>
  <c r="AR253" i="95"/>
  <c r="AS252" i="95"/>
  <c r="AR252" i="95"/>
  <c r="AS251" i="95"/>
  <c r="AR251" i="95"/>
  <c r="AS250" i="95"/>
  <c r="AR250" i="95"/>
  <c r="AS249" i="95"/>
  <c r="AR249" i="95"/>
  <c r="AS248" i="95"/>
  <c r="AR248" i="95"/>
  <c r="AS247" i="95"/>
  <c r="AR247" i="95"/>
  <c r="AS246" i="95"/>
  <c r="AR246" i="95"/>
  <c r="AS245" i="95"/>
  <c r="AR245" i="95"/>
  <c r="AS244" i="95"/>
  <c r="AR244" i="95"/>
  <c r="AS243" i="95"/>
  <c r="AR243" i="95"/>
  <c r="AS242" i="95"/>
  <c r="AR242" i="95"/>
  <c r="F19" i="72"/>
  <c r="E19" i="72"/>
  <c r="D19" i="72"/>
  <c r="C19" i="72"/>
  <c r="AU241" i="95"/>
  <c r="AU2" i="95" s="1"/>
  <c r="AR241" i="95"/>
  <c r="AS240" i="95"/>
  <c r="AR240" i="95"/>
  <c r="AS239" i="95"/>
  <c r="AR239" i="95"/>
  <c r="AS238" i="95"/>
  <c r="AR238" i="95"/>
  <c r="AS237" i="95"/>
  <c r="AR237" i="95"/>
  <c r="AS236" i="95"/>
  <c r="AR236" i="95"/>
  <c r="AS235" i="95"/>
  <c r="AR235" i="95"/>
  <c r="AS234" i="95"/>
  <c r="AR234" i="95"/>
  <c r="AS233" i="95"/>
  <c r="AR233" i="95"/>
  <c r="AS232" i="95"/>
  <c r="AR232" i="95"/>
  <c r="AS231" i="95"/>
  <c r="AR231" i="95"/>
  <c r="AS230" i="95"/>
  <c r="AR230" i="95"/>
  <c r="AS229" i="95"/>
  <c r="AR229" i="95"/>
  <c r="AS228" i="95"/>
  <c r="AR228" i="95"/>
  <c r="AS227" i="95"/>
  <c r="AR227" i="95"/>
  <c r="AS226" i="95"/>
  <c r="AR226" i="95"/>
  <c r="AS225" i="95"/>
  <c r="AR225" i="95"/>
  <c r="AS224" i="95"/>
  <c r="AR224" i="95"/>
  <c r="AS223" i="95"/>
  <c r="AR223" i="95"/>
  <c r="AS222" i="95"/>
  <c r="AR222" i="95"/>
  <c r="AS221" i="95"/>
  <c r="AR221" i="95"/>
  <c r="AS220" i="95"/>
  <c r="AR220" i="95"/>
  <c r="AS219" i="95"/>
  <c r="AR219" i="95"/>
  <c r="AS218" i="95"/>
  <c r="AR218" i="95"/>
  <c r="AS217" i="95"/>
  <c r="AR217" i="95"/>
  <c r="AS216" i="95"/>
  <c r="AR216" i="95"/>
  <c r="AS215" i="95"/>
  <c r="AR215" i="95"/>
  <c r="AS214" i="95"/>
  <c r="AR214" i="95"/>
  <c r="AS213" i="95"/>
  <c r="AR213" i="95"/>
  <c r="AS212" i="95"/>
  <c r="AR212" i="95"/>
  <c r="AS211" i="95"/>
  <c r="AR211" i="95"/>
  <c r="AS210" i="95"/>
  <c r="AR210" i="95"/>
  <c r="AS209" i="95"/>
  <c r="AR209" i="95"/>
  <c r="AS208" i="95"/>
  <c r="AR208" i="95"/>
  <c r="AS207" i="95"/>
  <c r="AR207" i="95"/>
  <c r="AS206" i="95"/>
  <c r="AR206" i="95"/>
  <c r="AS205" i="95"/>
  <c r="AR205" i="95"/>
  <c r="AS204" i="95"/>
  <c r="AR204" i="95"/>
  <c r="AS203" i="95"/>
  <c r="AR203" i="95"/>
  <c r="AS202" i="95"/>
  <c r="AR202" i="95"/>
  <c r="AS201" i="95"/>
  <c r="AR201" i="95"/>
  <c r="AS200" i="95"/>
  <c r="AR200" i="95"/>
  <c r="AS199" i="95"/>
  <c r="AR199" i="95"/>
  <c r="AS198" i="95"/>
  <c r="AR198" i="95"/>
  <c r="AS197" i="95"/>
  <c r="AR197" i="95"/>
  <c r="AS196" i="95"/>
  <c r="AR196" i="95"/>
  <c r="AS195" i="95"/>
  <c r="AR195" i="95"/>
  <c r="AS194" i="95"/>
  <c r="AR194" i="95"/>
  <c r="AS193" i="95"/>
  <c r="AR193" i="95"/>
  <c r="AS192" i="95"/>
  <c r="AR192" i="95"/>
  <c r="AS191" i="95"/>
  <c r="AR191" i="95"/>
  <c r="AS190" i="95"/>
  <c r="AR190" i="95"/>
  <c r="AS189" i="95"/>
  <c r="AR189" i="95"/>
  <c r="AS188" i="95"/>
  <c r="AR188" i="95"/>
  <c r="AS187" i="95"/>
  <c r="AR187" i="95"/>
  <c r="AS186" i="95"/>
  <c r="AR186" i="95"/>
  <c r="AS185" i="95"/>
  <c r="AR185" i="95"/>
  <c r="AS184" i="95"/>
  <c r="AR184" i="95"/>
  <c r="AS183" i="95"/>
  <c r="AR183" i="95"/>
  <c r="AS182" i="95"/>
  <c r="AR182" i="95"/>
  <c r="AS181" i="95"/>
  <c r="AR181" i="95"/>
  <c r="AS180" i="95"/>
  <c r="AR180" i="95"/>
  <c r="AS179" i="95"/>
  <c r="AR179" i="95"/>
  <c r="AS178" i="95"/>
  <c r="AR178" i="95"/>
  <c r="AS177" i="95"/>
  <c r="AR177" i="95"/>
  <c r="AS176" i="95"/>
  <c r="AR176" i="95"/>
  <c r="AS175" i="95"/>
  <c r="AR175" i="95"/>
  <c r="AS174" i="95"/>
  <c r="AR174" i="95"/>
  <c r="AS173" i="95"/>
  <c r="AR173" i="95"/>
  <c r="AS172" i="95"/>
  <c r="AR172" i="95"/>
  <c r="AS171" i="95"/>
  <c r="AR171" i="95"/>
  <c r="AS170" i="95"/>
  <c r="AR170" i="95"/>
  <c r="AS169" i="95"/>
  <c r="AR169" i="95"/>
  <c r="AS168" i="95"/>
  <c r="AR168" i="95"/>
  <c r="AS167" i="95"/>
  <c r="AR167" i="95"/>
  <c r="AS166" i="95"/>
  <c r="AR166" i="95"/>
  <c r="AS165" i="95"/>
  <c r="AR165" i="95"/>
  <c r="AS164" i="95"/>
  <c r="AR164" i="95"/>
  <c r="AS163" i="95"/>
  <c r="AR163" i="95"/>
  <c r="AS162" i="95"/>
  <c r="AR162" i="95"/>
  <c r="AS161" i="95"/>
  <c r="AR161" i="95"/>
  <c r="AS160" i="95"/>
  <c r="AR160" i="95"/>
  <c r="AS159" i="95"/>
  <c r="AR159" i="95"/>
  <c r="AS158" i="95"/>
  <c r="AR158" i="95"/>
  <c r="AS157" i="95"/>
  <c r="AR157" i="95"/>
  <c r="AS156" i="95"/>
  <c r="AR156" i="95"/>
  <c r="AS155" i="95"/>
  <c r="AR155" i="95"/>
  <c r="AS154" i="95"/>
  <c r="AR154" i="95"/>
  <c r="AS153" i="95"/>
  <c r="AR153" i="95"/>
  <c r="AS152" i="95"/>
  <c r="AR152" i="95"/>
  <c r="AS151" i="95"/>
  <c r="AR151" i="95"/>
  <c r="AS150" i="95"/>
  <c r="AR150" i="95"/>
  <c r="AS149" i="95"/>
  <c r="AR149" i="95"/>
  <c r="AS148" i="95"/>
  <c r="AR148" i="95"/>
  <c r="AS147" i="95"/>
  <c r="AR147" i="95"/>
  <c r="AS146" i="95"/>
  <c r="AR146" i="95"/>
  <c r="AS145" i="95"/>
  <c r="AR145" i="95"/>
  <c r="AS144" i="95"/>
  <c r="AR144" i="95"/>
  <c r="AS143" i="95"/>
  <c r="AR143" i="95"/>
  <c r="AS142" i="95"/>
  <c r="AR142" i="95"/>
  <c r="AS141" i="95"/>
  <c r="AR141" i="95"/>
  <c r="AS140" i="95"/>
  <c r="AR140" i="95"/>
  <c r="AS139" i="95"/>
  <c r="AR139" i="95"/>
  <c r="AS138" i="95"/>
  <c r="AR138" i="95"/>
  <c r="AS137" i="95"/>
  <c r="AR137" i="95"/>
  <c r="AS136" i="95"/>
  <c r="AR136" i="95"/>
  <c r="AS135" i="95"/>
  <c r="AR135" i="95"/>
  <c r="AS134" i="95"/>
  <c r="AR134" i="95"/>
  <c r="AS133" i="95"/>
  <c r="AR133" i="95"/>
  <c r="AS132" i="95"/>
  <c r="AR132" i="95"/>
  <c r="AS131" i="95"/>
  <c r="AR131" i="95"/>
  <c r="AS130" i="95"/>
  <c r="AR130" i="95"/>
  <c r="AS129" i="95"/>
  <c r="AR129" i="95"/>
  <c r="AS128" i="95"/>
  <c r="AR128" i="95"/>
  <c r="AS127" i="95"/>
  <c r="AR127" i="95"/>
  <c r="AS126" i="95"/>
  <c r="AR126" i="95"/>
  <c r="AS125" i="95"/>
  <c r="AR125" i="95"/>
  <c r="AS124" i="95"/>
  <c r="AR124" i="95"/>
  <c r="AS123" i="95"/>
  <c r="AR123" i="95"/>
  <c r="AS122" i="95"/>
  <c r="AR122" i="95"/>
  <c r="AS121" i="95"/>
  <c r="AR121" i="95"/>
  <c r="AV121" i="95" s="1"/>
  <c r="AS120" i="95"/>
  <c r="AR120" i="95"/>
  <c r="AS119" i="95"/>
  <c r="AR119" i="95"/>
  <c r="AS118" i="95"/>
  <c r="AR118" i="95"/>
  <c r="AS117" i="95"/>
  <c r="AR117" i="95"/>
  <c r="AS116" i="95"/>
  <c r="AR116" i="95"/>
  <c r="AS115" i="95"/>
  <c r="AR115" i="95"/>
  <c r="AS114" i="95"/>
  <c r="AR114" i="95"/>
  <c r="AS113" i="95"/>
  <c r="AR113" i="95"/>
  <c r="AS112" i="95"/>
  <c r="AR112" i="95"/>
  <c r="AS111" i="95"/>
  <c r="AR111" i="95"/>
  <c r="AS110" i="95"/>
  <c r="AR110" i="95"/>
  <c r="AS109" i="95"/>
  <c r="AR109" i="95"/>
  <c r="AS108" i="95"/>
  <c r="AR108" i="95"/>
  <c r="AS107" i="95"/>
  <c r="AR107" i="95"/>
  <c r="AS106" i="95"/>
  <c r="AR106" i="95"/>
  <c r="AS105" i="95"/>
  <c r="AR105" i="95"/>
  <c r="AS104" i="95"/>
  <c r="AR104" i="95"/>
  <c r="AS103" i="95"/>
  <c r="AR103" i="95"/>
  <c r="AS102" i="95"/>
  <c r="AR102" i="95"/>
  <c r="AS101" i="95"/>
  <c r="AR101" i="95"/>
  <c r="AS100" i="95"/>
  <c r="AR100" i="95"/>
  <c r="AS99" i="95"/>
  <c r="AR99" i="95"/>
  <c r="AS98" i="95"/>
  <c r="AR98" i="95"/>
  <c r="AS97" i="95"/>
  <c r="AR97" i="95"/>
  <c r="AS96" i="95"/>
  <c r="AR96" i="95"/>
  <c r="AS95" i="95"/>
  <c r="AR95" i="95"/>
  <c r="AS94" i="95"/>
  <c r="AR94" i="95"/>
  <c r="AS93" i="95"/>
  <c r="AR93" i="95"/>
  <c r="AS92" i="95"/>
  <c r="AR92" i="95"/>
  <c r="AS91" i="95"/>
  <c r="AR91" i="95"/>
  <c r="AS90" i="95"/>
  <c r="AR90" i="95"/>
  <c r="AS89" i="95"/>
  <c r="AR89" i="95"/>
  <c r="AS88" i="95"/>
  <c r="AR88" i="95"/>
  <c r="AS87" i="95"/>
  <c r="AR87" i="95"/>
  <c r="AS86" i="95"/>
  <c r="AR86" i="95"/>
  <c r="AS85" i="95"/>
  <c r="AR85" i="95"/>
  <c r="AS84" i="95"/>
  <c r="AR84" i="95"/>
  <c r="AS83" i="95"/>
  <c r="AR83" i="95"/>
  <c r="AS82" i="95"/>
  <c r="AR82" i="95"/>
  <c r="AS81" i="95"/>
  <c r="AR81" i="95"/>
  <c r="AS80" i="95"/>
  <c r="AR80" i="95"/>
  <c r="AS79" i="95"/>
  <c r="AR79" i="95"/>
  <c r="AS78" i="95"/>
  <c r="AR78" i="95"/>
  <c r="AS77" i="95"/>
  <c r="AR77" i="95"/>
  <c r="AS76" i="95"/>
  <c r="AR76" i="95"/>
  <c r="AS75" i="95"/>
  <c r="AR75" i="95"/>
  <c r="AS74" i="95"/>
  <c r="AR74" i="95"/>
  <c r="AS73" i="95"/>
  <c r="AR73" i="95"/>
  <c r="AS72" i="95"/>
  <c r="AR72" i="95"/>
  <c r="AS71" i="95"/>
  <c r="AR71" i="95"/>
  <c r="AS70" i="95"/>
  <c r="AR70" i="95"/>
  <c r="AS69" i="95"/>
  <c r="AR69" i="95"/>
  <c r="AS68" i="95"/>
  <c r="AR68" i="95"/>
  <c r="AS67" i="95"/>
  <c r="AR67" i="95"/>
  <c r="AS66" i="95"/>
  <c r="AR66" i="95"/>
  <c r="AS65" i="95"/>
  <c r="AR65" i="95"/>
  <c r="AS64" i="95"/>
  <c r="AR64" i="95"/>
  <c r="AS63" i="95"/>
  <c r="AR63" i="95"/>
  <c r="AS62" i="95"/>
  <c r="AR62" i="95"/>
  <c r="AS61" i="95"/>
  <c r="AR61" i="95"/>
  <c r="AS60" i="95"/>
  <c r="AR60" i="95"/>
  <c r="AS59" i="95"/>
  <c r="AR59" i="95"/>
  <c r="AS58" i="95"/>
  <c r="AR58" i="95"/>
  <c r="AS57" i="95"/>
  <c r="AR57" i="95"/>
  <c r="AS56" i="95"/>
  <c r="AR56" i="95"/>
  <c r="AS55" i="95"/>
  <c r="AR55" i="95"/>
  <c r="AS54" i="95"/>
  <c r="AR54" i="95"/>
  <c r="AS53" i="95"/>
  <c r="AR53" i="95"/>
  <c r="AS52" i="95"/>
  <c r="AR52" i="95"/>
  <c r="AS51" i="95"/>
  <c r="AR51" i="95"/>
  <c r="AS50" i="95"/>
  <c r="AR50" i="95"/>
  <c r="AS49" i="95"/>
  <c r="AR49" i="95"/>
  <c r="AS48" i="95"/>
  <c r="AR48" i="95"/>
  <c r="AS47" i="95"/>
  <c r="AR47" i="95"/>
  <c r="AS46" i="95"/>
  <c r="AR46" i="95"/>
  <c r="AS44" i="95"/>
  <c r="AR44" i="95"/>
  <c r="AS43" i="95"/>
  <c r="AR43" i="95"/>
  <c r="AS42" i="95"/>
  <c r="AR42" i="95"/>
  <c r="AS41" i="95"/>
  <c r="AR41" i="95"/>
  <c r="AS40" i="95"/>
  <c r="AR40" i="95"/>
  <c r="AS39" i="95"/>
  <c r="AR39" i="95"/>
  <c r="AS38" i="95"/>
  <c r="AR38" i="95"/>
  <c r="AS37" i="95"/>
  <c r="AR37" i="95"/>
  <c r="AS36" i="95"/>
  <c r="AR36" i="95"/>
  <c r="AS35" i="95"/>
  <c r="AR35" i="95"/>
  <c r="AS34" i="95"/>
  <c r="AR34" i="95"/>
  <c r="AS33" i="95"/>
  <c r="AR33" i="95"/>
  <c r="AS32" i="95"/>
  <c r="AR32" i="95"/>
  <c r="AS31" i="95"/>
  <c r="AR31" i="95"/>
  <c r="AS30" i="95"/>
  <c r="AR30" i="95"/>
  <c r="AS29" i="95"/>
  <c r="AR29" i="95"/>
  <c r="AS28" i="95"/>
  <c r="AR28" i="95"/>
  <c r="AS27" i="95"/>
  <c r="AR27" i="95"/>
  <c r="AS26" i="95"/>
  <c r="AR26" i="95"/>
  <c r="AS25" i="95"/>
  <c r="AR25" i="95"/>
  <c r="AS24" i="95"/>
  <c r="AR24" i="95"/>
  <c r="AS23" i="95"/>
  <c r="AR23" i="95"/>
  <c r="AS22" i="95"/>
  <c r="AR22" i="95"/>
  <c r="AS21" i="95"/>
  <c r="AR21" i="95"/>
  <c r="AS20" i="95"/>
  <c r="AR20" i="95"/>
  <c r="AS19" i="95"/>
  <c r="AR19" i="95"/>
  <c r="AS18" i="95"/>
  <c r="AR18" i="95"/>
  <c r="AS17" i="95"/>
  <c r="AR17" i="95"/>
  <c r="AS16" i="95"/>
  <c r="AR16" i="95"/>
  <c r="AS15" i="95"/>
  <c r="AR15" i="95"/>
  <c r="AS14" i="95"/>
  <c r="AR14" i="95"/>
  <c r="AS13" i="95"/>
  <c r="AR13" i="95"/>
  <c r="AS12" i="95"/>
  <c r="AR12" i="95"/>
  <c r="AS11" i="95"/>
  <c r="AR11" i="95"/>
  <c r="AS10" i="95"/>
  <c r="AR10" i="95"/>
  <c r="AS9" i="95"/>
  <c r="AR9" i="95"/>
  <c r="AS8" i="95"/>
  <c r="AR8" i="95"/>
  <c r="AS7" i="95"/>
  <c r="AR7" i="95"/>
  <c r="BM3" i="95"/>
  <c r="BL3" i="95"/>
  <c r="BK3" i="95"/>
  <c r="BI3" i="95"/>
  <c r="BH3" i="95"/>
  <c r="BG3" i="95"/>
  <c r="AR2" i="95" l="1"/>
  <c r="AS2" i="95"/>
  <c r="AV58" i="95"/>
  <c r="AV103" i="95"/>
  <c r="AV11" i="95"/>
  <c r="AV87" i="95"/>
  <c r="AV110" i="95"/>
  <c r="AV128" i="95"/>
  <c r="AV131" i="95"/>
  <c r="AW131" i="95" s="1"/>
  <c r="AV222" i="95"/>
  <c r="AV62" i="95"/>
  <c r="AV181" i="95"/>
  <c r="AV24" i="95"/>
  <c r="AW24" i="95" s="1"/>
  <c r="AV54" i="95"/>
  <c r="AV315" i="95"/>
  <c r="AV319" i="95"/>
  <c r="AV304" i="95"/>
  <c r="AV22" i="95"/>
  <c r="AV35" i="95"/>
  <c r="AV39" i="95"/>
  <c r="AV232" i="95"/>
  <c r="AW232" i="95" s="1"/>
  <c r="AV249" i="95"/>
  <c r="AV264" i="95"/>
  <c r="AV7" i="95"/>
  <c r="C20" i="72"/>
  <c r="AV81" i="95"/>
  <c r="AV107" i="95"/>
  <c r="AW107" i="95" s="1"/>
  <c r="AV111" i="95"/>
  <c r="AV129" i="95"/>
  <c r="AV101" i="95"/>
  <c r="AV104" i="95"/>
  <c r="AV137" i="95"/>
  <c r="AV226" i="95"/>
  <c r="AV90" i="95"/>
  <c r="AV182" i="95"/>
  <c r="AV290" i="95"/>
  <c r="AV298" i="95"/>
  <c r="AV302" i="95"/>
  <c r="AV37" i="95"/>
  <c r="AV120" i="95"/>
  <c r="AV197" i="95"/>
  <c r="AV221" i="95"/>
  <c r="AV136" i="95"/>
  <c r="AV186" i="95"/>
  <c r="AW186" i="95" s="1"/>
  <c r="AV198" i="95"/>
  <c r="AV202" i="95"/>
  <c r="AV145" i="95"/>
  <c r="AV153" i="95"/>
  <c r="AV225" i="95"/>
  <c r="AV257" i="95"/>
  <c r="AV16" i="95"/>
  <c r="AV63" i="95"/>
  <c r="AV70" i="95"/>
  <c r="AV74" i="95"/>
  <c r="AV78" i="95"/>
  <c r="AV86" i="95"/>
  <c r="AV130" i="95"/>
  <c r="AV230" i="95"/>
  <c r="AV241" i="95"/>
  <c r="AV277" i="95"/>
  <c r="AV285" i="95"/>
  <c r="AV154" i="95"/>
  <c r="AV166" i="95"/>
  <c r="AV174" i="95"/>
  <c r="AV188" i="95"/>
  <c r="AV192" i="95"/>
  <c r="AV196" i="95"/>
  <c r="AV200" i="95"/>
  <c r="AV204" i="95"/>
  <c r="AV208" i="95"/>
  <c r="AV216" i="95"/>
  <c r="AV15" i="95"/>
  <c r="AV28" i="95"/>
  <c r="AW28" i="95" s="1"/>
  <c r="AV43" i="95"/>
  <c r="AV48" i="95"/>
  <c r="AV52" i="95"/>
  <c r="AV93" i="95"/>
  <c r="AV97" i="95"/>
  <c r="AV115" i="95"/>
  <c r="AW115" i="95" s="1"/>
  <c r="AV118" i="95"/>
  <c r="AW118" i="95" s="1"/>
  <c r="AV122" i="95"/>
  <c r="AV144" i="95"/>
  <c r="AV183" i="95"/>
  <c r="AV190" i="95"/>
  <c r="AV206" i="95"/>
  <c r="AV210" i="95"/>
  <c r="AV256" i="95"/>
  <c r="AV20" i="95"/>
  <c r="AW20" i="95" s="1"/>
  <c r="AV23" i="95"/>
  <c r="AV26" i="95"/>
  <c r="AW26" i="95" s="1"/>
  <c r="AV33" i="95"/>
  <c r="AV56" i="95"/>
  <c r="AW56" i="95" s="1"/>
  <c r="AV94" i="95"/>
  <c r="AV98" i="95"/>
  <c r="AV105" i="95"/>
  <c r="AV112" i="95"/>
  <c r="AV119" i="95"/>
  <c r="AW119" i="95" s="1"/>
  <c r="AV141" i="95"/>
  <c r="AV149" i="95"/>
  <c r="AV157" i="95"/>
  <c r="AV165" i="95"/>
  <c r="AV169" i="95"/>
  <c r="AV173" i="95"/>
  <c r="AV177" i="95"/>
  <c r="AV184" i="95"/>
  <c r="AV218" i="95"/>
  <c r="AW218" i="95" s="1"/>
  <c r="AV229" i="95"/>
  <c r="AV240" i="95"/>
  <c r="AW240" i="95" s="1"/>
  <c r="AV280" i="95"/>
  <c r="AV284" i="95"/>
  <c r="AV41" i="95"/>
  <c r="AV60" i="95"/>
  <c r="AW60" i="95" s="1"/>
  <c r="AV71" i="95"/>
  <c r="AV79" i="95"/>
  <c r="AV113" i="95"/>
  <c r="AV123" i="95"/>
  <c r="AW123" i="95" s="1"/>
  <c r="AV138" i="95"/>
  <c r="AV146" i="95"/>
  <c r="AV150" i="95"/>
  <c r="AV233" i="95"/>
  <c r="AV261" i="95"/>
  <c r="AV269" i="95"/>
  <c r="AV292" i="95"/>
  <c r="AV300" i="95"/>
  <c r="AV308" i="95"/>
  <c r="AV46" i="95"/>
  <c r="AV50" i="95"/>
  <c r="AV95" i="95"/>
  <c r="AV106" i="95"/>
  <c r="AV258" i="95"/>
  <c r="AV96" i="95"/>
  <c r="AV14" i="95"/>
  <c r="AV18" i="95"/>
  <c r="AV68" i="95"/>
  <c r="AW68" i="95" s="1"/>
  <c r="AV76" i="95"/>
  <c r="AV84" i="95"/>
  <c r="AV114" i="95"/>
  <c r="AV139" i="95"/>
  <c r="AV143" i="95"/>
  <c r="AV147" i="95"/>
  <c r="AV238" i="95"/>
  <c r="AV254" i="95"/>
  <c r="AV262" i="95"/>
  <c r="AV266" i="95"/>
  <c r="AV274" i="95"/>
  <c r="AV289" i="95"/>
  <c r="AV297" i="95"/>
  <c r="AV313" i="95"/>
  <c r="AV159" i="95"/>
  <c r="AV175" i="95"/>
  <c r="AV193" i="95"/>
  <c r="AV209" i="95"/>
  <c r="AV213" i="95"/>
  <c r="AV248" i="95"/>
  <c r="AV278" i="95"/>
  <c r="AV321" i="95"/>
  <c r="AV325" i="95"/>
  <c r="AV66" i="95"/>
  <c r="AW66" i="95" s="1"/>
  <c r="AV125" i="95"/>
  <c r="AV133" i="95"/>
  <c r="AV142" i="95"/>
  <c r="AV281" i="95"/>
  <c r="AV305" i="95"/>
  <c r="AV9" i="95"/>
  <c r="AV92" i="95"/>
  <c r="AV117" i="95"/>
  <c r="AV134" i="95"/>
  <c r="AV282" i="95"/>
  <c r="AV89" i="95"/>
  <c r="AV185" i="95"/>
  <c r="AW185" i="95" s="1"/>
  <c r="AV201" i="95"/>
  <c r="AV217" i="95"/>
  <c r="AV253" i="95"/>
  <c r="AV21" i="95"/>
  <c r="AV88" i="95"/>
  <c r="AV317" i="95"/>
  <c r="AV25" i="95"/>
  <c r="AW25" i="95" s="1"/>
  <c r="AV109" i="95"/>
  <c r="AV126" i="95"/>
  <c r="AV27" i="95"/>
  <c r="AW27" i="95" s="1"/>
  <c r="AV102" i="95"/>
  <c r="AW102" i="95" s="1"/>
  <c r="AV250" i="95"/>
  <c r="AW250" i="95" s="1"/>
  <c r="AV286" i="95"/>
  <c r="AV194" i="95"/>
  <c r="AV293" i="95"/>
  <c r="AV301" i="95"/>
  <c r="AV311" i="95"/>
  <c r="AV17" i="95"/>
  <c r="AV246" i="95"/>
  <c r="AV237" i="95"/>
  <c r="AV245" i="95"/>
  <c r="AV265" i="95"/>
  <c r="AV273" i="95"/>
  <c r="AV283" i="95"/>
  <c r="AV291" i="95"/>
  <c r="AV309" i="95"/>
  <c r="AV318" i="95"/>
  <c r="AV326" i="95"/>
  <c r="AV272" i="95"/>
  <c r="AV13" i="95"/>
  <c r="AV29" i="95"/>
  <c r="AV65" i="95"/>
  <c r="AV73" i="95"/>
  <c r="AV82" i="95"/>
  <c r="AV91" i="95"/>
  <c r="AV99" i="95"/>
  <c r="AV127" i="95"/>
  <c r="AV135" i="95"/>
  <c r="AV161" i="95"/>
  <c r="AV170" i="95"/>
  <c r="AV178" i="95"/>
  <c r="AV189" i="95"/>
  <c r="AV205" i="95"/>
  <c r="AV214" i="95"/>
  <c r="AV224" i="95"/>
  <c r="AW224" i="95" s="1"/>
  <c r="AV234" i="95"/>
  <c r="AV270" i="95"/>
  <c r="AV296" i="95"/>
  <c r="AV306" i="95"/>
  <c r="AV314" i="95"/>
  <c r="AV323" i="95"/>
  <c r="AW18" i="95"/>
  <c r="AV8" i="95"/>
  <c r="AV10" i="95"/>
  <c r="AW10" i="95" s="1"/>
  <c r="AV36" i="95"/>
  <c r="AV38" i="95"/>
  <c r="AW41" i="95"/>
  <c r="AV53" i="95"/>
  <c r="AV55" i="95"/>
  <c r="AV67" i="95"/>
  <c r="AV77" i="95"/>
  <c r="AV108" i="95"/>
  <c r="AV124" i="95"/>
  <c r="AV140" i="95"/>
  <c r="AV151" i="95"/>
  <c r="AV152" i="95"/>
  <c r="AV164" i="95"/>
  <c r="AV180" i="95"/>
  <c r="AV220" i="95"/>
  <c r="AV252" i="95"/>
  <c r="AV303" i="95"/>
  <c r="AV316" i="95"/>
  <c r="AV19" i="95"/>
  <c r="AV32" i="95"/>
  <c r="AV34" i="95"/>
  <c r="AW34" i="95" s="1"/>
  <c r="AW37" i="95"/>
  <c r="AV49" i="95"/>
  <c r="AV51" i="95"/>
  <c r="AV64" i="95"/>
  <c r="AV75" i="95"/>
  <c r="AV85" i="95"/>
  <c r="AW90" i="95"/>
  <c r="AW121" i="95"/>
  <c r="AV162" i="95"/>
  <c r="AV163" i="95"/>
  <c r="AW166" i="95"/>
  <c r="AV176" i="95"/>
  <c r="AV179" i="95"/>
  <c r="AV212" i="95"/>
  <c r="AV244" i="95"/>
  <c r="AV276" i="95"/>
  <c r="AW276" i="95" s="1"/>
  <c r="AV299" i="95"/>
  <c r="AV312" i="95"/>
  <c r="AV327" i="95"/>
  <c r="AV30" i="95"/>
  <c r="AV31" i="95"/>
  <c r="AV44" i="95"/>
  <c r="AV47" i="95"/>
  <c r="AV61" i="95"/>
  <c r="AV72" i="95"/>
  <c r="AV83" i="95"/>
  <c r="AV100" i="95"/>
  <c r="AV116" i="95"/>
  <c r="AV132" i="95"/>
  <c r="AV148" i="95"/>
  <c r="AV158" i="95"/>
  <c r="AV171" i="95"/>
  <c r="AV172" i="95"/>
  <c r="AV236" i="95"/>
  <c r="AV242" i="95"/>
  <c r="AV268" i="95"/>
  <c r="AV294" i="95"/>
  <c r="AV295" i="95"/>
  <c r="AV324" i="95"/>
  <c r="AW43" i="95"/>
  <c r="AW101" i="95"/>
  <c r="AW154" i="95"/>
  <c r="AW274" i="95"/>
  <c r="AV12" i="95"/>
  <c r="AV40" i="95"/>
  <c r="AV42" i="95"/>
  <c r="AV57" i="95"/>
  <c r="AV59" i="95"/>
  <c r="AV69" i="95"/>
  <c r="AV80" i="95"/>
  <c r="AV155" i="95"/>
  <c r="AV156" i="95"/>
  <c r="AV168" i="95"/>
  <c r="AV228" i="95"/>
  <c r="AV260" i="95"/>
  <c r="AV287" i="95"/>
  <c r="AV288" i="95"/>
  <c r="AW288" i="95" s="1"/>
  <c r="AV307" i="95"/>
  <c r="AV320" i="95"/>
  <c r="B19" i="72"/>
  <c r="AW87" i="95"/>
  <c r="AW103" i="95"/>
  <c r="AW88" i="95"/>
  <c r="AV167" i="95"/>
  <c r="AW315" i="95"/>
  <c r="AV160" i="95"/>
  <c r="AW169" i="95"/>
  <c r="AV310" i="95"/>
  <c r="AV187" i="95"/>
  <c r="AV191" i="95"/>
  <c r="AV195" i="95"/>
  <c r="AV199" i="95"/>
  <c r="AV203" i="95"/>
  <c r="AV207" i="95"/>
  <c r="AV211" i="95"/>
  <c r="AV215" i="95"/>
  <c r="AV219" i="95"/>
  <c r="AV223" i="95"/>
  <c r="AV227" i="95"/>
  <c r="AV231" i="95"/>
  <c r="AV235" i="95"/>
  <c r="AV239" i="95"/>
  <c r="AV243" i="95"/>
  <c r="AV247" i="95"/>
  <c r="AV251" i="95"/>
  <c r="AW251" i="95" s="1"/>
  <c r="AV255" i="95"/>
  <c r="AV259" i="95"/>
  <c r="AW259" i="95" s="1"/>
  <c r="AV263" i="95"/>
  <c r="AV267" i="95"/>
  <c r="AV271" i="95"/>
  <c r="AV275" i="95"/>
  <c r="AV279" i="95"/>
  <c r="AW305" i="95"/>
  <c r="AW197" i="95"/>
  <c r="AW257" i="95"/>
  <c r="AW261" i="95"/>
  <c r="AV322" i="95"/>
  <c r="E8" i="9"/>
  <c r="E9" i="9" s="1"/>
  <c r="E10" i="9" s="1"/>
  <c r="E11" i="9" s="1"/>
  <c r="E12" i="9" s="1"/>
  <c r="E13" i="9" s="1"/>
  <c r="E14" i="9" s="1"/>
  <c r="E15" i="9" s="1"/>
  <c r="E16" i="9" s="1"/>
  <c r="E17" i="9" s="1"/>
  <c r="E18" i="9" s="1"/>
  <c r="E19" i="9" s="1"/>
  <c r="E20" i="9" s="1"/>
  <c r="E21" i="9" s="1"/>
  <c r="E22" i="9" s="1"/>
  <c r="E23" i="9" s="1"/>
  <c r="E24" i="9" s="1"/>
  <c r="E25" i="9" s="1"/>
  <c r="E26" i="9" s="1"/>
  <c r="E27" i="9" s="1"/>
  <c r="E28" i="9" s="1"/>
  <c r="E29" i="9" s="1"/>
  <c r="E30" i="9" s="1"/>
  <c r="E31" i="9" s="1"/>
  <c r="E32" i="9" s="1"/>
  <c r="E33" i="9" s="1"/>
  <c r="E34" i="9" s="1"/>
  <c r="E35" i="9" s="1"/>
  <c r="E36" i="9" s="1"/>
  <c r="E37" i="9" s="1"/>
  <c r="E38" i="9" s="1"/>
  <c r="E39" i="9" s="1"/>
  <c r="E40" i="9" s="1"/>
  <c r="E41" i="9" s="1"/>
  <c r="E42" i="9" s="1"/>
  <c r="E43" i="9" s="1"/>
  <c r="E44" i="9" s="1"/>
  <c r="AC2" i="93"/>
  <c r="AB2" i="93"/>
  <c r="AA2" i="93"/>
  <c r="Z2" i="93"/>
  <c r="Y2" i="93"/>
  <c r="X2" i="93"/>
  <c r="W2" i="93"/>
  <c r="V2" i="93"/>
  <c r="U2" i="93"/>
  <c r="T2" i="93"/>
  <c r="S2" i="93"/>
  <c r="R2" i="93"/>
  <c r="Q2" i="93"/>
  <c r="P2" i="93"/>
  <c r="O2" i="93"/>
  <c r="N2" i="93"/>
  <c r="M2" i="93"/>
  <c r="L2" i="93"/>
  <c r="K2" i="93"/>
  <c r="D1" i="93"/>
  <c r="E1" i="93" s="1"/>
  <c r="F1" i="93" s="1"/>
  <c r="G1" i="93" s="1"/>
  <c r="H1" i="93" s="1"/>
  <c r="I1" i="93" s="1"/>
  <c r="J1" i="93" s="1"/>
  <c r="K1" i="93" s="1"/>
  <c r="L1" i="93" s="1"/>
  <c r="M1" i="93" s="1"/>
  <c r="N1" i="93" s="1"/>
  <c r="O1" i="93" s="1"/>
  <c r="P1" i="93" s="1"/>
  <c r="Q1" i="93" s="1"/>
  <c r="R1" i="93" s="1"/>
  <c r="S1" i="93" s="1"/>
  <c r="T1" i="93" s="1"/>
  <c r="U1" i="93" s="1"/>
  <c r="V1" i="93" s="1"/>
  <c r="W1" i="93" s="1"/>
  <c r="X1" i="93" s="1"/>
  <c r="Y1" i="93" s="1"/>
  <c r="Z1" i="93" s="1"/>
  <c r="AA1" i="93" s="1"/>
  <c r="AB1" i="93" s="1"/>
  <c r="AC1" i="93" s="1"/>
  <c r="AD1" i="93" s="1"/>
  <c r="AW58" i="95" l="1"/>
  <c r="D20" i="72"/>
  <c r="B20" i="72"/>
  <c r="AW221" i="95"/>
  <c r="AW198" i="95"/>
  <c r="AW95" i="95"/>
  <c r="AW22" i="95"/>
  <c r="AW258" i="95"/>
  <c r="AW304" i="95"/>
  <c r="AW188" i="95"/>
  <c r="C23" i="72"/>
  <c r="B23" i="72"/>
  <c r="AW264" i="95"/>
  <c r="AW311" i="95"/>
  <c r="AW11" i="95"/>
  <c r="AW230" i="95"/>
  <c r="AW192" i="95"/>
  <c r="AW21" i="95"/>
  <c r="AV2" i="95"/>
  <c r="AW110" i="95"/>
  <c r="AW226" i="95"/>
  <c r="AW225" i="95"/>
  <c r="AW308" i="95"/>
  <c r="AW104" i="95"/>
  <c r="E20" i="72"/>
  <c r="F20" i="72"/>
  <c r="AW128" i="95"/>
  <c r="AW146" i="95"/>
  <c r="AW74" i="95"/>
  <c r="AW302" i="95"/>
  <c r="AW54" i="95"/>
  <c r="AW286" i="95"/>
  <c r="AW238" i="95"/>
  <c r="AW249" i="95"/>
  <c r="AW165" i="95"/>
  <c r="AW67" i="95"/>
  <c r="AW16" i="95"/>
  <c r="AW114" i="95"/>
  <c r="AW129" i="95"/>
  <c r="AW181" i="95"/>
  <c r="AW213" i="95"/>
  <c r="AW62" i="95"/>
  <c r="AW222" i="95"/>
  <c r="AW12" i="95"/>
  <c r="AW106" i="95"/>
  <c r="AW190" i="95"/>
  <c r="AW323" i="95"/>
  <c r="AW81" i="95"/>
  <c r="AW144" i="95"/>
  <c r="AW124" i="95"/>
  <c r="AW314" i="95"/>
  <c r="AW79" i="95"/>
  <c r="AW282" i="95"/>
  <c r="AW321" i="95"/>
  <c r="AW189" i="95"/>
  <c r="AW76" i="95"/>
  <c r="AW127" i="95"/>
  <c r="AW319" i="95"/>
  <c r="AW35" i="95"/>
  <c r="AW137" i="95"/>
  <c r="AW125" i="95"/>
  <c r="AW141" i="95"/>
  <c r="AW183" i="95"/>
  <c r="AW269" i="95"/>
  <c r="AW292" i="95"/>
  <c r="AW96" i="95"/>
  <c r="AW149" i="95"/>
  <c r="AW33" i="95"/>
  <c r="AW182" i="95"/>
  <c r="AW111" i="95"/>
  <c r="AW63" i="95"/>
  <c r="AW142" i="95"/>
  <c r="AW136" i="95"/>
  <c r="AW133" i="95"/>
  <c r="AW48" i="95"/>
  <c r="AW89" i="95"/>
  <c r="AW52" i="95"/>
  <c r="AW157" i="95"/>
  <c r="AW143" i="95"/>
  <c r="AW256" i="95"/>
  <c r="AW216" i="95"/>
  <c r="AW277" i="95"/>
  <c r="AW241" i="95"/>
  <c r="AW278" i="95"/>
  <c r="AW200" i="95"/>
  <c r="AW39" i="95"/>
  <c r="AW297" i="95"/>
  <c r="AW196" i="95"/>
  <c r="AW229" i="95"/>
  <c r="AW317" i="95"/>
  <c r="AW307" i="95"/>
  <c r="AW194" i="95"/>
  <c r="AW248" i="95"/>
  <c r="AW272" i="95"/>
  <c r="AW155" i="95"/>
  <c r="AW298" i="95"/>
  <c r="AW145" i="95"/>
  <c r="AW46" i="95"/>
  <c r="AW180" i="95"/>
  <c r="AW86" i="95"/>
  <c r="AW204" i="95"/>
  <c r="AW105" i="95"/>
  <c r="AW303" i="95"/>
  <c r="AW134" i="95"/>
  <c r="AW285" i="95"/>
  <c r="AW318" i="95"/>
  <c r="AW70" i="95"/>
  <c r="AW260" i="95"/>
  <c r="AW175" i="95"/>
  <c r="AW320" i="95"/>
  <c r="AW51" i="95"/>
  <c r="AW290" i="95"/>
  <c r="AW130" i="95"/>
  <c r="AW284" i="95"/>
  <c r="AW280" i="95"/>
  <c r="AW245" i="95"/>
  <c r="AW300" i="95"/>
  <c r="AW120" i="95"/>
  <c r="AW208" i="95"/>
  <c r="AW159" i="95"/>
  <c r="AW109" i="95"/>
  <c r="AW174" i="95"/>
  <c r="AW77" i="95"/>
  <c r="AW173" i="95"/>
  <c r="AW295" i="95"/>
  <c r="AW325" i="95"/>
  <c r="AW98" i="95"/>
  <c r="AW117" i="95"/>
  <c r="AW214" i="95"/>
  <c r="AW78" i="95"/>
  <c r="AW65" i="95"/>
  <c r="AW153" i="95"/>
  <c r="AW316" i="95"/>
  <c r="AW97" i="95"/>
  <c r="AW210" i="95"/>
  <c r="AW9" i="95"/>
  <c r="AW93" i="95"/>
  <c r="AW55" i="95"/>
  <c r="AW150" i="95"/>
  <c r="AW291" i="95"/>
  <c r="AW147" i="95"/>
  <c r="AW202" i="95"/>
  <c r="AW301" i="95"/>
  <c r="AW253" i="95"/>
  <c r="AW92" i="95"/>
  <c r="AW228" i="95"/>
  <c r="AW293" i="95"/>
  <c r="AW322" i="95"/>
  <c r="AW281" i="95"/>
  <c r="AW217" i="95"/>
  <c r="AW193" i="95"/>
  <c r="AW112" i="95"/>
  <c r="AW100" i="95"/>
  <c r="AW94" i="95"/>
  <c r="AW254" i="95"/>
  <c r="AW138" i="95"/>
  <c r="AW84" i="95"/>
  <c r="AW64" i="95"/>
  <c r="AW32" i="95"/>
  <c r="AW266" i="95"/>
  <c r="AW15" i="95"/>
  <c r="AW273" i="95"/>
  <c r="AW209" i="95"/>
  <c r="AW177" i="95"/>
  <c r="AW113" i="95"/>
  <c r="AW50" i="95"/>
  <c r="AW122" i="95"/>
  <c r="AW289" i="95"/>
  <c r="AW71" i="95"/>
  <c r="AW99" i="95"/>
  <c r="AW220" i="95"/>
  <c r="AW23" i="95"/>
  <c r="AW156" i="95"/>
  <c r="AW59" i="95"/>
  <c r="AW184" i="95"/>
  <c r="AW299" i="95"/>
  <c r="AW75" i="95"/>
  <c r="AW234" i="95"/>
  <c r="AW135" i="95"/>
  <c r="AW265" i="95"/>
  <c r="AW233" i="95"/>
  <c r="AW57" i="95"/>
  <c r="AW14" i="95"/>
  <c r="AW313" i="95"/>
  <c r="AW44" i="95"/>
  <c r="AW212" i="95"/>
  <c r="AW262" i="95"/>
  <c r="AW206" i="95"/>
  <c r="AW139" i="95"/>
  <c r="AW244" i="95"/>
  <c r="AW235" i="95"/>
  <c r="AW7" i="95"/>
  <c r="AO2" i="95"/>
  <c r="AW47" i="95"/>
  <c r="AW80" i="95"/>
  <c r="AW236" i="95"/>
  <c r="AW38" i="95"/>
  <c r="AW126" i="95"/>
  <c r="AW163" i="95"/>
  <c r="AW287" i="95"/>
  <c r="AW310" i="95"/>
  <c r="AW263" i="95"/>
  <c r="AW91" i="95"/>
  <c r="AW172" i="95"/>
  <c r="AW326" i="95"/>
  <c r="AW158" i="95"/>
  <c r="AW162" i="95"/>
  <c r="AW152" i="95"/>
  <c r="AW83" i="95"/>
  <c r="AW164" i="95"/>
  <c r="AW72" i="95"/>
  <c r="AW237" i="95"/>
  <c r="AW205" i="95"/>
  <c r="AW82" i="95"/>
  <c r="AW201" i="95"/>
  <c r="AW30" i="95"/>
  <c r="AW239" i="95"/>
  <c r="AW42" i="95"/>
  <c r="AW255" i="95"/>
  <c r="AW252" i="95"/>
  <c r="AW267" i="95"/>
  <c r="AW327" i="95"/>
  <c r="AW61" i="95"/>
  <c r="AW85" i="95"/>
  <c r="AW73" i="95"/>
  <c r="AW324" i="95"/>
  <c r="AW49" i="95"/>
  <c r="AW17" i="95"/>
  <c r="AW268" i="95"/>
  <c r="AW306" i="95"/>
  <c r="AW178" i="95"/>
  <c r="AW151" i="95"/>
  <c r="AW140" i="95"/>
  <c r="AW168" i="95"/>
  <c r="AW13" i="95"/>
  <c r="AW19" i="95"/>
  <c r="AW296" i="95"/>
  <c r="AW312" i="95"/>
  <c r="AW132" i="95"/>
  <c r="AW270" i="95"/>
  <c r="AW246" i="95"/>
  <c r="AW283" i="95"/>
  <c r="AW29" i="95"/>
  <c r="AW309" i="95"/>
  <c r="AW170" i="95"/>
  <c r="AW161" i="95"/>
  <c r="AW116" i="95"/>
  <c r="AW243" i="95"/>
  <c r="AW227" i="95"/>
  <c r="AW219" i="95"/>
  <c r="AW203" i="95"/>
  <c r="AW223" i="95"/>
  <c r="AW294" i="95"/>
  <c r="AW31" i="95"/>
  <c r="AW40" i="95"/>
  <c r="AW108" i="95"/>
  <c r="AW36" i="95"/>
  <c r="AW279" i="95"/>
  <c r="AW247" i="95"/>
  <c r="AW231" i="95"/>
  <c r="AW215" i="95"/>
  <c r="AW199" i="95"/>
  <c r="AW242" i="95"/>
  <c r="AW275" i="95"/>
  <c r="AW211" i="95"/>
  <c r="AW195" i="95"/>
  <c r="AW176" i="95"/>
  <c r="AW69" i="95"/>
  <c r="AW8" i="95"/>
  <c r="AW148" i="95"/>
  <c r="AW171" i="95"/>
  <c r="AW53" i="95"/>
  <c r="AW271" i="95"/>
  <c r="AW167" i="95"/>
  <c r="AW179" i="95"/>
  <c r="AW160" i="95"/>
  <c r="AW207" i="95"/>
  <c r="AW191" i="95"/>
  <c r="AW187" i="95"/>
  <c r="E5" i="50"/>
  <c r="E6" i="50" s="1"/>
  <c r="E7" i="50" s="1"/>
  <c r="E8" i="50" s="1"/>
  <c r="E9" i="50" s="1"/>
  <c r="E10" i="50" s="1"/>
  <c r="E11" i="50" s="1"/>
  <c r="E12" i="50" s="1"/>
  <c r="E13" i="50" s="1"/>
  <c r="E14" i="50" s="1"/>
  <c r="E15" i="50" s="1"/>
  <c r="E16" i="50" s="1"/>
  <c r="E17" i="50" s="1"/>
  <c r="E18" i="50" s="1"/>
  <c r="E19" i="50" s="1"/>
  <c r="E20" i="50" s="1"/>
  <c r="E21" i="50" s="1"/>
  <c r="E22" i="50" s="1"/>
  <c r="E23" i="50" s="1"/>
  <c r="E24" i="50" s="1"/>
  <c r="E25" i="50" s="1"/>
  <c r="E26" i="50" s="1"/>
  <c r="E27" i="50" s="1"/>
  <c r="E28" i="50" s="1"/>
  <c r="E29" i="50" s="1"/>
  <c r="E30" i="50" s="1"/>
  <c r="E31" i="50" s="1"/>
  <c r="E32" i="50" s="1"/>
  <c r="E33" i="50" s="1"/>
  <c r="E34" i="50" s="1"/>
  <c r="E35" i="50" s="1"/>
  <c r="E36" i="50" s="1"/>
  <c r="E37" i="50" s="1"/>
  <c r="E38" i="50" s="1"/>
  <c r="E39" i="50" s="1"/>
  <c r="E40" i="50" s="1"/>
  <c r="E41" i="50" s="1"/>
  <c r="E42" i="50" s="1"/>
  <c r="E43" i="50" s="1"/>
  <c r="E44" i="50" s="1"/>
  <c r="E45" i="50" s="1"/>
  <c r="E46" i="50" s="1"/>
  <c r="E47" i="50" s="1"/>
  <c r="E48" i="50" s="1"/>
  <c r="E49" i="50" s="1"/>
  <c r="E50" i="50" s="1"/>
  <c r="E51" i="50" s="1"/>
  <c r="E52" i="50" s="1"/>
  <c r="E53" i="50" s="1"/>
  <c r="E54" i="50" s="1"/>
  <c r="E55" i="50" s="1"/>
  <c r="E56" i="50" s="1"/>
  <c r="E57" i="50" s="1"/>
  <c r="E58" i="50" s="1"/>
  <c r="E59" i="50" s="1"/>
  <c r="E60" i="50" s="1"/>
  <c r="E61" i="50" s="1"/>
  <c r="E62" i="50" s="1"/>
  <c r="E63" i="50" s="1"/>
  <c r="E64" i="50" s="1"/>
  <c r="E65" i="50" s="1"/>
  <c r="E66" i="50" s="1"/>
  <c r="E67" i="50" s="1"/>
  <c r="E68" i="50" s="1"/>
  <c r="E69" i="50" s="1"/>
  <c r="E70" i="50" s="1"/>
  <c r="E71" i="50" s="1"/>
  <c r="E72" i="50" s="1"/>
  <c r="E73" i="50" s="1"/>
  <c r="E74" i="50" s="1"/>
  <c r="E75" i="50" s="1"/>
  <c r="E76" i="50" s="1"/>
  <c r="E77" i="50" s="1"/>
  <c r="E78" i="50" s="1"/>
  <c r="E79" i="50" s="1"/>
  <c r="E80" i="50" s="1"/>
  <c r="E81" i="50" s="1"/>
  <c r="E82" i="50" s="1"/>
  <c r="E83" i="50" s="1"/>
  <c r="E84" i="50" s="1"/>
  <c r="E85" i="50" s="1"/>
  <c r="E86" i="50" s="1"/>
  <c r="E87" i="50" s="1"/>
  <c r="E88" i="50" s="1"/>
  <c r="E89" i="50" s="1"/>
  <c r="E90" i="50" s="1"/>
  <c r="E91" i="50" s="1"/>
  <c r="E92" i="50" s="1"/>
  <c r="E93" i="50" s="1"/>
  <c r="E94" i="50" s="1"/>
  <c r="E95" i="50" s="1"/>
  <c r="E96" i="50" s="1"/>
  <c r="E97" i="50" s="1"/>
  <c r="E98" i="50" s="1"/>
  <c r="E99" i="50" s="1"/>
  <c r="E100" i="50" s="1"/>
  <c r="E101" i="50" s="1"/>
  <c r="E102" i="50" s="1"/>
  <c r="E103" i="50" s="1"/>
  <c r="E104" i="50" s="1"/>
  <c r="E105" i="50" s="1"/>
  <c r="E106" i="50" s="1"/>
  <c r="E107" i="50" s="1"/>
  <c r="E108" i="50" s="1"/>
  <c r="E109" i="50" s="1"/>
  <c r="E110" i="50" s="1"/>
  <c r="E111" i="50" s="1"/>
  <c r="E112" i="50" s="1"/>
  <c r="E113" i="50" s="1"/>
  <c r="E114" i="50" s="1"/>
  <c r="E115" i="50" s="1"/>
  <c r="E116" i="50" s="1"/>
  <c r="E117" i="50" s="1"/>
  <c r="E118" i="50" s="1"/>
  <c r="E119" i="50" s="1"/>
  <c r="E120" i="50" s="1"/>
  <c r="E121" i="50" s="1"/>
  <c r="E122" i="50" s="1"/>
  <c r="E123" i="50" s="1"/>
  <c r="E124" i="50" s="1"/>
  <c r="E125" i="50" s="1"/>
  <c r="E126" i="50" s="1"/>
  <c r="E127" i="50" s="1"/>
  <c r="E128" i="50" s="1"/>
  <c r="E129" i="50" s="1"/>
  <c r="E130" i="50" s="1"/>
  <c r="E131" i="50" s="1"/>
  <c r="E132" i="50" s="1"/>
  <c r="E133" i="50" s="1"/>
  <c r="E134" i="50" s="1"/>
  <c r="E135" i="50" s="1"/>
  <c r="E136" i="50" s="1"/>
  <c r="E137" i="50" s="1"/>
  <c r="E138" i="50" s="1"/>
  <c r="E139" i="50" s="1"/>
  <c r="E140" i="50" s="1"/>
  <c r="E141" i="50" s="1"/>
  <c r="E142" i="50" s="1"/>
  <c r="E143" i="50" s="1"/>
  <c r="E144" i="50" s="1"/>
  <c r="E145" i="50" s="1"/>
  <c r="E146" i="50" s="1"/>
  <c r="E147" i="50" s="1"/>
  <c r="E148" i="50" s="1"/>
  <c r="E149" i="50" s="1"/>
  <c r="E150" i="50" s="1"/>
  <c r="E151" i="50" s="1"/>
  <c r="E152" i="50" s="1"/>
  <c r="E153" i="50" s="1"/>
  <c r="E154" i="50" s="1"/>
  <c r="E155" i="50" s="1"/>
  <c r="E156" i="50" s="1"/>
  <c r="E157" i="50" s="1"/>
  <c r="E158" i="50" s="1"/>
  <c r="E159" i="50" s="1"/>
  <c r="E160" i="50" s="1"/>
  <c r="E161" i="50" s="1"/>
  <c r="E162" i="50" s="1"/>
  <c r="E163" i="50" s="1"/>
  <c r="E164" i="50" s="1"/>
  <c r="E165" i="50" s="1"/>
  <c r="E166" i="50" s="1"/>
  <c r="E167" i="50" s="1"/>
  <c r="E168" i="50" s="1"/>
  <c r="E169" i="50" s="1"/>
  <c r="E170" i="50" s="1"/>
  <c r="E171" i="50" s="1"/>
  <c r="E172" i="50" s="1"/>
  <c r="E173" i="50" s="1"/>
  <c r="E174" i="50" s="1"/>
  <c r="E175" i="50" s="1"/>
  <c r="E176" i="50" s="1"/>
  <c r="E177" i="50" s="1"/>
  <c r="E178" i="50" s="1"/>
  <c r="E179" i="50" s="1"/>
  <c r="E180" i="50" s="1"/>
  <c r="E181" i="50" s="1"/>
  <c r="E182" i="50" s="1"/>
  <c r="E183" i="50" s="1"/>
  <c r="E184" i="50" s="1"/>
  <c r="E185" i="50" s="1"/>
  <c r="E186" i="50" s="1"/>
  <c r="E187" i="50" s="1"/>
  <c r="E188" i="50" s="1"/>
  <c r="E189" i="50" s="1"/>
  <c r="E190" i="50" s="1"/>
  <c r="E191" i="50" s="1"/>
  <c r="E192" i="50" s="1"/>
  <c r="E193" i="50" s="1"/>
  <c r="E194" i="50" s="1"/>
  <c r="E195" i="50" s="1"/>
  <c r="E196" i="50" s="1"/>
  <c r="E197" i="50" s="1"/>
  <c r="E198" i="50" s="1"/>
  <c r="E199" i="50" s="1"/>
  <c r="E200" i="50" s="1"/>
  <c r="E201" i="50" s="1"/>
  <c r="E202" i="50" s="1"/>
  <c r="E203" i="50" s="1"/>
  <c r="E204" i="50" s="1"/>
  <c r="E205" i="50" s="1"/>
  <c r="E206" i="50" s="1"/>
  <c r="E207" i="50" s="1"/>
  <c r="E208" i="50" s="1"/>
  <c r="E209" i="50" s="1"/>
  <c r="E210" i="50" s="1"/>
  <c r="E211" i="50" s="1"/>
  <c r="E212" i="50" s="1"/>
  <c r="E213" i="50" s="1"/>
  <c r="E214" i="50" s="1"/>
  <c r="E215" i="50" s="1"/>
  <c r="E216" i="50" s="1"/>
  <c r="E217" i="50" s="1"/>
  <c r="E218" i="50" s="1"/>
  <c r="E219" i="50" s="1"/>
  <c r="E220" i="50" s="1"/>
  <c r="E221" i="50" s="1"/>
  <c r="E222" i="50" s="1"/>
  <c r="E223" i="50" s="1"/>
  <c r="E224" i="50" s="1"/>
  <c r="E225" i="50" s="1"/>
  <c r="E226" i="50" s="1"/>
  <c r="E227" i="50" s="1"/>
  <c r="E228" i="50" s="1"/>
  <c r="E229" i="50" s="1"/>
  <c r="E230" i="50" s="1"/>
  <c r="E231" i="50" s="1"/>
  <c r="E232" i="50" s="1"/>
  <c r="E233" i="50" s="1"/>
  <c r="E234" i="50" s="1"/>
  <c r="E235" i="50" s="1"/>
  <c r="E236" i="50" s="1"/>
  <c r="E237" i="50" s="1"/>
  <c r="E238" i="50" s="1"/>
  <c r="E239" i="50" s="1"/>
  <c r="E240" i="50" s="1"/>
  <c r="E241" i="50" s="1"/>
  <c r="E242" i="50" s="1"/>
  <c r="E243" i="50" s="1"/>
  <c r="E244" i="50" s="1"/>
  <c r="E245" i="50" s="1"/>
  <c r="E246" i="50" s="1"/>
  <c r="E247" i="50" s="1"/>
  <c r="E248" i="50" s="1"/>
  <c r="E249" i="50" s="1"/>
  <c r="E250" i="50" s="1"/>
  <c r="E251" i="50" s="1"/>
  <c r="E252" i="50" s="1"/>
  <c r="E253" i="50" s="1"/>
  <c r="E254" i="50" s="1"/>
  <c r="E255" i="50" s="1"/>
  <c r="E256" i="50" s="1"/>
  <c r="E257" i="50" s="1"/>
  <c r="E258" i="50" s="1"/>
  <c r="E259" i="50" s="1"/>
  <c r="E260" i="50" s="1"/>
  <c r="E261" i="50" s="1"/>
  <c r="E262" i="50" s="1"/>
  <c r="E263" i="50" s="1"/>
  <c r="E264" i="50" s="1"/>
  <c r="E265" i="50" s="1"/>
  <c r="E266" i="50" s="1"/>
  <c r="E267" i="50" s="1"/>
  <c r="E268" i="50" s="1"/>
  <c r="E269" i="50" s="1"/>
  <c r="E270" i="50" s="1"/>
  <c r="E271" i="50" s="1"/>
  <c r="E272" i="50" s="1"/>
  <c r="E273" i="50" s="1"/>
  <c r="E274" i="50" s="1"/>
  <c r="E275" i="50" s="1"/>
  <c r="E276" i="50" s="1"/>
  <c r="E277" i="50" s="1"/>
  <c r="E278" i="50" s="1"/>
  <c r="E279" i="50" s="1"/>
  <c r="E280" i="50" s="1"/>
  <c r="E281" i="50" s="1"/>
  <c r="E282" i="50" s="1"/>
  <c r="E283" i="50" s="1"/>
  <c r="E284" i="50" s="1"/>
  <c r="A3" i="90"/>
  <c r="A2" i="90" s="1"/>
  <c r="A1" i="90" s="1"/>
  <c r="B1" i="90"/>
  <c r="B3" i="90" s="1"/>
  <c r="B2" i="90" s="1"/>
  <c r="D23" i="72" l="1"/>
  <c r="E23" i="72"/>
  <c r="E285" i="50"/>
  <c r="E286" i="50" s="1"/>
  <c r="E287" i="50" s="1"/>
  <c r="E288" i="50" s="1"/>
  <c r="E289" i="50" s="1"/>
  <c r="E290" i="50" s="1"/>
  <c r="E291" i="50" s="1"/>
  <c r="E292" i="50" s="1"/>
  <c r="E293" i="50" s="1"/>
  <c r="E294" i="50" s="1"/>
  <c r="E295" i="50" s="1"/>
  <c r="E296" i="50" s="1"/>
  <c r="E297" i="50" s="1"/>
  <c r="E298" i="50" s="1"/>
  <c r="E299" i="50" s="1"/>
  <c r="E300" i="50" s="1"/>
  <c r="E301" i="50" s="1"/>
  <c r="E302" i="50" s="1"/>
  <c r="E303" i="50" s="1"/>
  <c r="E304" i="50" s="1"/>
  <c r="E305" i="50" s="1"/>
  <c r="E306" i="50" s="1"/>
  <c r="E307" i="50" s="1"/>
  <c r="E308" i="50" s="1"/>
  <c r="E309" i="50" s="1"/>
  <c r="E310" i="50" s="1"/>
  <c r="E311" i="50" s="1"/>
  <c r="E312" i="50" s="1"/>
  <c r="E313" i="50" s="1"/>
  <c r="E314" i="50" s="1"/>
  <c r="E315" i="50" s="1"/>
  <c r="E316" i="50" s="1"/>
  <c r="E317" i="50" s="1"/>
  <c r="E318" i="50" s="1"/>
  <c r="E319" i="50" s="1"/>
  <c r="E320" i="50" s="1"/>
  <c r="E321" i="50" s="1"/>
  <c r="E322" i="50" s="1"/>
  <c r="E323" i="50" s="1"/>
  <c r="B2" i="72"/>
  <c r="F94" i="1"/>
  <c r="E94" i="1"/>
  <c r="D94" i="1"/>
  <c r="C94" i="1"/>
  <c r="B94" i="1"/>
  <c r="F93" i="1"/>
  <c r="E93" i="1"/>
  <c r="D93" i="1"/>
  <c r="C93" i="1"/>
  <c r="B93" i="1"/>
  <c r="F92" i="1"/>
  <c r="E92" i="1"/>
  <c r="D92" i="1"/>
  <c r="C92" i="1"/>
  <c r="B92" i="1"/>
  <c r="F87" i="1"/>
  <c r="E87" i="1"/>
  <c r="D87" i="1"/>
  <c r="C87" i="1"/>
  <c r="B87" i="1"/>
  <c r="F86" i="1"/>
  <c r="E86" i="1"/>
  <c r="D86" i="1"/>
  <c r="C86" i="1"/>
  <c r="B86" i="1"/>
  <c r="F85" i="1"/>
  <c r="E85" i="1"/>
  <c r="D85" i="1"/>
  <c r="C85" i="1"/>
  <c r="B85" i="1"/>
  <c r="F80" i="1"/>
  <c r="E80" i="1"/>
  <c r="D80" i="1"/>
  <c r="C80" i="1"/>
  <c r="B80" i="1"/>
  <c r="F79" i="1"/>
  <c r="E79" i="1"/>
  <c r="D79" i="1"/>
  <c r="C79" i="1"/>
  <c r="B79" i="1"/>
  <c r="F78" i="1"/>
  <c r="E78" i="1"/>
  <c r="D78" i="1"/>
  <c r="C78" i="1"/>
  <c r="B78" i="1"/>
  <c r="F73" i="1"/>
  <c r="E73" i="1"/>
  <c r="D73" i="1"/>
  <c r="C73" i="1"/>
  <c r="B73" i="1"/>
  <c r="F72" i="1"/>
  <c r="E72" i="1"/>
  <c r="D72" i="1"/>
  <c r="C72" i="1"/>
  <c r="B72" i="1"/>
  <c r="F71" i="1"/>
  <c r="E71" i="1"/>
  <c r="D71" i="1"/>
  <c r="C71" i="1"/>
  <c r="B71" i="1"/>
  <c r="F66" i="1"/>
  <c r="E66" i="1"/>
  <c r="D66" i="1"/>
  <c r="C66" i="1"/>
  <c r="B66" i="1"/>
  <c r="F65" i="1"/>
  <c r="E65" i="1"/>
  <c r="D65" i="1"/>
  <c r="C65" i="1"/>
  <c r="B65" i="1"/>
  <c r="F64" i="1"/>
  <c r="E64" i="1"/>
  <c r="D64" i="1"/>
  <c r="C64" i="1"/>
  <c r="B64" i="1"/>
  <c r="F107" i="1"/>
  <c r="E107" i="1"/>
  <c r="D107" i="1"/>
  <c r="C107" i="1"/>
  <c r="B107" i="1"/>
  <c r="F106" i="1"/>
  <c r="E106" i="1"/>
  <c r="D106" i="1"/>
  <c r="C106" i="1"/>
  <c r="B106" i="1"/>
  <c r="F99" i="1"/>
  <c r="E99" i="1"/>
  <c r="D99" i="1"/>
  <c r="C99" i="1"/>
  <c r="B99" i="1"/>
  <c r="F100" i="1"/>
  <c r="E100" i="1"/>
  <c r="D100" i="1"/>
  <c r="C100" i="1"/>
  <c r="F101" i="1"/>
  <c r="E101" i="1"/>
  <c r="D101" i="1"/>
  <c r="C101" i="1"/>
  <c r="B101" i="1"/>
  <c r="B100" i="1"/>
  <c r="B67" i="1"/>
  <c r="C67" i="1"/>
  <c r="D67" i="1"/>
  <c r="E67" i="1"/>
  <c r="F67" i="1"/>
  <c r="E74" i="1" l="1"/>
  <c r="C74" i="1"/>
  <c r="F74" i="1"/>
  <c r="D74" i="1"/>
  <c r="B74" i="1"/>
  <c r="E48" i="25" l="1"/>
  <c r="A48" i="25"/>
  <c r="H48" i="25" s="1"/>
  <c r="E47" i="25"/>
  <c r="A47" i="25" s="1"/>
  <c r="H47" i="25" s="1"/>
  <c r="E41" i="25"/>
  <c r="A41" i="25" s="1"/>
  <c r="H41" i="25" s="1"/>
  <c r="E40" i="25"/>
  <c r="A40" i="25"/>
  <c r="H40" i="25" s="1"/>
  <c r="A39" i="25"/>
  <c r="H39" i="25" s="1"/>
  <c r="E38" i="25"/>
  <c r="A38" i="25" s="1"/>
  <c r="H38" i="25" s="1"/>
  <c r="E37" i="25"/>
  <c r="A37" i="25"/>
  <c r="H37" i="25" s="1"/>
  <c r="A36" i="25"/>
  <c r="H36" i="25" s="1"/>
  <c r="A6" i="25"/>
  <c r="C55" i="1"/>
  <c r="C51" i="1"/>
  <c r="C47" i="1"/>
  <c r="C43" i="1"/>
  <c r="C39" i="1"/>
  <c r="E13" i="1"/>
  <c r="E25" i="1"/>
  <c r="D25" i="1"/>
  <c r="C25" i="1"/>
  <c r="E12" i="1"/>
  <c r="E9" i="1" l="1"/>
  <c r="E10" i="1"/>
  <c r="E11" i="1"/>
  <c r="B25" i="1"/>
  <c r="B13" i="1"/>
  <c r="B10" i="1"/>
  <c r="B9" i="1"/>
  <c r="B11" i="1"/>
  <c r="B12" i="1"/>
  <c r="G4" i="1"/>
  <c r="F31" i="1"/>
  <c r="E31" i="1"/>
  <c r="D31" i="1"/>
  <c r="C31" i="1"/>
  <c r="B31" i="1"/>
  <c r="F24" i="1"/>
  <c r="E24" i="1"/>
  <c r="D24" i="1"/>
  <c r="C24" i="1"/>
  <c r="B24" i="1"/>
  <c r="B30" i="1" l="1"/>
  <c r="B40" i="1"/>
  <c r="F30" i="1"/>
  <c r="B56" i="1"/>
  <c r="E30" i="1"/>
  <c r="B52" i="1"/>
  <c r="B44" i="1"/>
  <c r="C30" i="1"/>
  <c r="B48" i="1"/>
  <c r="D30" i="1"/>
  <c r="F63" i="1" l="1"/>
  <c r="E63" i="1"/>
  <c r="D63" i="1"/>
  <c r="C63" i="1"/>
  <c r="B63" i="1"/>
  <c r="G67" i="1"/>
  <c r="G66" i="1"/>
  <c r="G64" i="1"/>
  <c r="V18" i="25" l="1"/>
  <c r="U18" i="25"/>
  <c r="W17" i="25"/>
  <c r="V17" i="25"/>
  <c r="U17" i="25"/>
  <c r="V11" i="25"/>
  <c r="U11" i="25"/>
  <c r="V10" i="25"/>
  <c r="U10" i="25"/>
  <c r="W9" i="25"/>
  <c r="V9" i="25"/>
  <c r="U9" i="25"/>
  <c r="V8" i="25"/>
  <c r="U8" i="25"/>
  <c r="V7" i="25"/>
  <c r="U7" i="25"/>
  <c r="W6" i="25"/>
  <c r="V6" i="25"/>
  <c r="U6" i="25"/>
  <c r="E18" i="25"/>
  <c r="W18" i="25" s="1"/>
  <c r="E17" i="25"/>
  <c r="E11" i="25"/>
  <c r="W11" i="25" s="1"/>
  <c r="E10" i="25"/>
  <c r="W10" i="25" s="1"/>
  <c r="E8" i="25"/>
  <c r="W8" i="25" s="1"/>
  <c r="E7" i="25"/>
  <c r="W7" i="25" s="1"/>
  <c r="F25" i="1" l="1"/>
  <c r="G74" i="1"/>
  <c r="G71" i="1"/>
  <c r="F70" i="1" l="1"/>
  <c r="E70" i="1"/>
  <c r="D70" i="1"/>
  <c r="C70" i="1"/>
  <c r="B70" i="1"/>
  <c r="G73" i="1" l="1"/>
  <c r="A18" i="25" l="1"/>
  <c r="H18" i="25" s="1"/>
  <c r="A17" i="25"/>
  <c r="H17" i="25" s="1"/>
  <c r="F77" i="1" l="1"/>
  <c r="E77" i="1"/>
  <c r="D77" i="1"/>
  <c r="C77" i="1"/>
  <c r="B77" i="1"/>
  <c r="E81" i="1" l="1"/>
  <c r="B81" i="1"/>
  <c r="F81" i="1"/>
  <c r="C81" i="1"/>
  <c r="D81" i="1"/>
  <c r="G80" i="1"/>
  <c r="G78" i="1"/>
  <c r="G81" i="1" l="1"/>
  <c r="A11" i="25" l="1"/>
  <c r="H11" i="25" s="1"/>
  <c r="A10" i="25"/>
  <c r="H10" i="25" s="1"/>
  <c r="A9" i="25"/>
  <c r="H9" i="25" s="1"/>
  <c r="A8" i="25"/>
  <c r="H8" i="25" s="1"/>
  <c r="A7" i="25"/>
  <c r="H7" i="25" s="1"/>
  <c r="H6" i="25"/>
  <c r="F88" i="1" l="1"/>
  <c r="F84" i="1" l="1"/>
  <c r="E84" i="1"/>
  <c r="D84" i="1"/>
  <c r="C84" i="1"/>
  <c r="B84" i="1"/>
  <c r="G87" i="1" l="1"/>
  <c r="G85" i="1"/>
  <c r="E88" i="1" l="1"/>
  <c r="B88" i="1" l="1"/>
  <c r="C88" i="1"/>
  <c r="D88" i="1"/>
  <c r="G88" i="1" l="1"/>
  <c r="F91" i="1" l="1"/>
  <c r="E91" i="1"/>
  <c r="D91" i="1"/>
  <c r="C91" i="1"/>
  <c r="B91" i="1"/>
  <c r="G94" i="1" l="1"/>
  <c r="G92" i="1"/>
  <c r="F95" i="1" l="1"/>
  <c r="B95" i="1"/>
  <c r="C95" i="1"/>
  <c r="D95" i="1"/>
  <c r="E95" i="1"/>
  <c r="F109" i="1"/>
  <c r="F102" i="1"/>
  <c r="G95" i="1" l="1"/>
  <c r="F105" i="1" l="1"/>
  <c r="F98" i="1"/>
  <c r="D13" i="1" l="1"/>
  <c r="C13" i="1"/>
  <c r="G99" i="1"/>
  <c r="E32" i="1" l="1"/>
  <c r="B32" i="1"/>
  <c r="C32" i="1"/>
  <c r="D32" i="1"/>
  <c r="F32" i="1"/>
  <c r="I24" i="1"/>
  <c r="D48" i="1"/>
  <c r="D49" i="1" s="1"/>
  <c r="C48" i="1"/>
  <c r="C49" i="1" s="1"/>
  <c r="B49" i="1"/>
  <c r="B53" i="1"/>
  <c r="C52" i="1"/>
  <c r="C53" i="1" s="1"/>
  <c r="D52" i="1"/>
  <c r="D53" i="1" s="1"/>
  <c r="D56" i="1"/>
  <c r="D57" i="1" s="1"/>
  <c r="B57" i="1"/>
  <c r="C56" i="1"/>
  <c r="C57" i="1" s="1"/>
  <c r="D44" i="1"/>
  <c r="D45" i="1" s="1"/>
  <c r="B45" i="1"/>
  <c r="C44" i="1"/>
  <c r="C45" i="1" s="1"/>
  <c r="D40" i="1"/>
  <c r="D41" i="1" s="1"/>
  <c r="C40" i="1"/>
  <c r="C41" i="1" s="1"/>
  <c r="B41" i="1"/>
  <c r="J25" i="1" l="1"/>
  <c r="C109" i="1" l="1"/>
  <c r="B102" i="1"/>
  <c r="E105" i="1"/>
  <c r="D105" i="1"/>
  <c r="C105" i="1"/>
  <c r="B105" i="1"/>
  <c r="E98" i="1"/>
  <c r="D98" i="1"/>
  <c r="C98" i="1"/>
  <c r="B98" i="1"/>
  <c r="D109" i="1" l="1"/>
  <c r="E109" i="1"/>
  <c r="B109" i="1"/>
  <c r="C102" i="1"/>
  <c r="D102" i="1"/>
  <c r="E102" i="1"/>
  <c r="G101" i="1"/>
  <c r="G106" i="1"/>
  <c r="C32" i="72" l="1"/>
  <c r="F12" i="72"/>
  <c r="E12" i="72"/>
  <c r="F32" i="72"/>
  <c r="B32" i="72"/>
  <c r="E32" i="72"/>
  <c r="D12" i="72"/>
  <c r="D32" i="72"/>
  <c r="G4" i="72"/>
  <c r="C12" i="72"/>
  <c r="G109" i="1"/>
  <c r="G102" i="1"/>
  <c r="F31" i="72" l="1"/>
  <c r="F33" i="72" s="1"/>
  <c r="B31" i="72"/>
  <c r="B33" i="72" s="1"/>
  <c r="D31" i="72"/>
  <c r="D33" i="72" s="1"/>
  <c r="E31" i="72"/>
  <c r="E33" i="72" s="1"/>
  <c r="C31" i="72"/>
  <c r="G23" i="72"/>
  <c r="F27" i="72"/>
  <c r="G16" i="72"/>
  <c r="G13" i="72"/>
  <c r="C27" i="72"/>
  <c r="E27" i="72"/>
  <c r="G20" i="72"/>
  <c r="B12" i="72"/>
  <c r="G10" i="72"/>
  <c r="D27" i="72"/>
  <c r="G24" i="72"/>
  <c r="G25" i="72"/>
  <c r="G17" i="72"/>
  <c r="B27" i="72"/>
  <c r="G22" i="72"/>
  <c r="G32" i="72" s="1"/>
  <c r="G19" i="72"/>
  <c r="D12" i="1"/>
  <c r="C12" i="1"/>
  <c r="D9" i="1"/>
  <c r="C9" i="1"/>
  <c r="B16" i="1"/>
  <c r="D11" i="1"/>
  <c r="C11" i="1"/>
  <c r="C10" i="1"/>
  <c r="D10" i="1"/>
  <c r="I25" i="1"/>
  <c r="G31" i="72" l="1"/>
  <c r="G33" i="72" s="1"/>
  <c r="C33" i="72"/>
  <c r="D20" i="1"/>
  <c r="J26" i="1"/>
  <c r="G27" i="72"/>
  <c r="C16" i="1"/>
  <c r="D16" i="1"/>
  <c r="E16" i="1" l="1"/>
  <c r="E45" i="9"/>
  <c r="E46" i="9"/>
  <c r="E47" i="9" s="1"/>
  <c r="E48" i="9" s="1"/>
  <c r="E49" i="9" s="1"/>
  <c r="E50" i="9" s="1"/>
  <c r="E51" i="9" s="1"/>
  <c r="E52" i="9" s="1"/>
  <c r="E53" i="9" s="1"/>
  <c r="E54" i="9" s="1"/>
  <c r="E55" i="9" s="1"/>
  <c r="E56" i="9" s="1"/>
  <c r="E57" i="9" s="1"/>
  <c r="E58" i="9" s="1"/>
  <c r="E59" i="9" s="1"/>
  <c r="E60" i="9" s="1"/>
  <c r="E61" i="9" s="1"/>
  <c r="E62" i="9" s="1"/>
  <c r="E63" i="9" s="1"/>
  <c r="E64" i="9" s="1"/>
  <c r="E65" i="9" s="1"/>
  <c r="E66" i="9" s="1"/>
  <c r="E67" i="9" s="1"/>
  <c r="E68" i="9" s="1"/>
  <c r="E69" i="9" s="1"/>
  <c r="E70" i="9" s="1"/>
  <c r="E71" i="9" s="1"/>
  <c r="E72" i="9" s="1"/>
  <c r="E73" i="9" s="1"/>
  <c r="E74" i="9" s="1"/>
  <c r="E75" i="9" s="1"/>
  <c r="E76" i="9" s="1"/>
  <c r="E77" i="9" s="1"/>
  <c r="E78" i="9" s="1"/>
  <c r="E79" i="9" s="1"/>
  <c r="E80" i="9" s="1"/>
  <c r="E81" i="9" s="1"/>
  <c r="E82" i="9" s="1"/>
  <c r="E83" i="9" s="1"/>
  <c r="E84" i="9" s="1"/>
  <c r="E85" i="9" s="1"/>
  <c r="E86" i="9" s="1"/>
  <c r="E87" i="9" s="1"/>
  <c r="E88" i="9" s="1"/>
  <c r="E89" i="9" s="1"/>
  <c r="E90" i="9" s="1"/>
  <c r="E91" i="9" s="1"/>
  <c r="E92" i="9" s="1"/>
  <c r="E93" i="9" s="1"/>
  <c r="E94" i="9" s="1"/>
  <c r="E95" i="9" s="1"/>
  <c r="E96" i="9" s="1"/>
  <c r="E97" i="9" s="1"/>
  <c r="E98" i="9" s="1"/>
  <c r="E99" i="9" s="1"/>
  <c r="E100" i="9" s="1"/>
  <c r="E101" i="9" s="1"/>
  <c r="E102" i="9" s="1"/>
  <c r="E103" i="9" s="1"/>
  <c r="E104" i="9" s="1"/>
  <c r="E105" i="9" s="1"/>
  <c r="E106" i="9" s="1"/>
  <c r="E107" i="9" s="1"/>
  <c r="E108" i="9" s="1"/>
  <c r="E109" i="9" s="1"/>
  <c r="E110" i="9" s="1"/>
  <c r="E111" i="9" s="1"/>
  <c r="E112" i="9" s="1"/>
  <c r="E113" i="9" s="1"/>
  <c r="E114" i="9" s="1"/>
  <c r="E115" i="9" s="1"/>
  <c r="E116" i="9" s="1"/>
  <c r="E117" i="9" s="1"/>
  <c r="E118" i="9" s="1"/>
  <c r="E119" i="9" s="1"/>
  <c r="E120" i="9" s="1"/>
  <c r="E121" i="9" s="1"/>
  <c r="E122" i="9" s="1"/>
  <c r="E123" i="9" s="1"/>
  <c r="E124" i="9" s="1"/>
  <c r="E125" i="9" s="1"/>
  <c r="E126" i="9" s="1"/>
  <c r="E127" i="9" s="1"/>
  <c r="E128" i="9" s="1"/>
  <c r="E129" i="9" s="1"/>
  <c r="E130" i="9" s="1"/>
  <c r="E131" i="9" s="1"/>
  <c r="E132" i="9" s="1"/>
  <c r="E133" i="9" s="1"/>
  <c r="E134" i="9" s="1"/>
  <c r="E135" i="9" s="1"/>
  <c r="E136" i="9" s="1"/>
  <c r="E137" i="9" s="1"/>
  <c r="E138" i="9" s="1"/>
  <c r="E139" i="9" s="1"/>
  <c r="E140" i="9" s="1"/>
  <c r="E141" i="9" s="1"/>
  <c r="E142" i="9" s="1"/>
  <c r="E143" i="9" s="1"/>
  <c r="E144" i="9" s="1"/>
  <c r="E145" i="9" s="1"/>
  <c r="E146" i="9" s="1"/>
  <c r="E147" i="9" s="1"/>
  <c r="E148" i="9" s="1"/>
  <c r="E149" i="9" s="1"/>
  <c r="E150" i="9" s="1"/>
  <c r="E151" i="9" s="1"/>
  <c r="E152" i="9" s="1"/>
  <c r="E153" i="9" s="1"/>
  <c r="E154" i="9" s="1"/>
  <c r="E155" i="9" s="1"/>
  <c r="E156" i="9" s="1"/>
  <c r="E157" i="9" s="1"/>
  <c r="E158" i="9" s="1"/>
  <c r="E159" i="9" s="1"/>
  <c r="E160" i="9" s="1"/>
  <c r="E161" i="9" s="1"/>
  <c r="E162" i="9" s="1"/>
  <c r="E163" i="9" s="1"/>
  <c r="E164" i="9" s="1"/>
  <c r="E165" i="9" s="1"/>
  <c r="E166" i="9" s="1"/>
  <c r="E167" i="9" s="1"/>
  <c r="E168" i="9" s="1"/>
  <c r="E169" i="9" s="1"/>
  <c r="E170" i="9" s="1"/>
  <c r="E171" i="9" s="1"/>
  <c r="E172" i="9" s="1"/>
  <c r="E173" i="9" s="1"/>
  <c r="E174" i="9" s="1"/>
  <c r="E175" i="9" s="1"/>
  <c r="E176" i="9" s="1"/>
  <c r="E177" i="9" s="1"/>
  <c r="E178" i="9" s="1"/>
  <c r="E179" i="9" s="1"/>
  <c r="E180" i="9" s="1"/>
  <c r="E181" i="9" s="1"/>
  <c r="E182" i="9" s="1"/>
  <c r="E183" i="9" s="1"/>
  <c r="E184" i="9" s="1"/>
  <c r="E185" i="9" s="1"/>
  <c r="E186" i="9" s="1"/>
  <c r="E187" i="9" s="1"/>
  <c r="E188" i="9" s="1"/>
  <c r="E189" i="9" s="1"/>
  <c r="E190" i="9" s="1"/>
  <c r="E191" i="9" s="1"/>
  <c r="E192" i="9" s="1"/>
  <c r="E193" i="9" s="1"/>
  <c r="E194" i="9" s="1"/>
  <c r="E195" i="9" s="1"/>
  <c r="E196" i="9" s="1"/>
  <c r="E197" i="9" s="1"/>
  <c r="E198" i="9" s="1"/>
  <c r="E199" i="9" s="1"/>
  <c r="E200" i="9" s="1"/>
  <c r="E201" i="9" s="1"/>
  <c r="E202" i="9" s="1"/>
  <c r="E203" i="9" s="1"/>
  <c r="E204" i="9" s="1"/>
  <c r="E205" i="9" s="1"/>
  <c r="E206" i="9" s="1"/>
  <c r="E207" i="9" s="1"/>
  <c r="E208" i="9" s="1"/>
  <c r="E209" i="9" s="1"/>
  <c r="E210" i="9" s="1"/>
  <c r="E211" i="9" s="1"/>
  <c r="E212" i="9" s="1"/>
  <c r="E213" i="9" s="1"/>
  <c r="E214" i="9" s="1"/>
  <c r="E215" i="9" s="1"/>
  <c r="E216" i="9" s="1"/>
  <c r="E217" i="9" s="1"/>
  <c r="E218" i="9" s="1"/>
  <c r="E219" i="9" s="1"/>
  <c r="E220" i="9" s="1"/>
  <c r="E221" i="9" s="1"/>
  <c r="E222" i="9" s="1"/>
  <c r="E223" i="9" s="1"/>
  <c r="E224" i="9" s="1"/>
  <c r="E225" i="9" s="1"/>
  <c r="E226" i="9" s="1"/>
  <c r="E227" i="9" s="1"/>
  <c r="E228" i="9" s="1"/>
  <c r="E229" i="9" s="1"/>
  <c r="E230" i="9" s="1"/>
  <c r="E231" i="9" s="1"/>
  <c r="E232" i="9" s="1"/>
  <c r="E233" i="9" s="1"/>
  <c r="E234" i="9" s="1"/>
  <c r="E235" i="9" s="1"/>
  <c r="E236" i="9" s="1"/>
  <c r="E237" i="9" s="1"/>
  <c r="E238" i="9" s="1"/>
  <c r="E239" i="9" s="1"/>
  <c r="E240" i="9" s="1"/>
  <c r="E241" i="9" s="1"/>
  <c r="E242" i="9" s="1"/>
  <c r="E243" i="9" s="1"/>
  <c r="E244" i="9" s="1"/>
  <c r="E245" i="9" s="1"/>
  <c r="E246" i="9" s="1"/>
  <c r="E247" i="9" s="1"/>
  <c r="E248" i="9" s="1"/>
  <c r="E249" i="9" s="1"/>
  <c r="E250" i="9" s="1"/>
  <c r="E251" i="9" s="1"/>
  <c r="E252" i="9" s="1"/>
  <c r="E253" i="9" s="1"/>
  <c r="E254" i="9" s="1"/>
  <c r="E255" i="9" s="1"/>
  <c r="E256" i="9" s="1"/>
  <c r="E257" i="9" s="1"/>
  <c r="E258" i="9" s="1"/>
  <c r="E259" i="9" s="1"/>
  <c r="E260" i="9" s="1"/>
  <c r="E261" i="9" s="1"/>
  <c r="E262" i="9" s="1"/>
  <c r="E263" i="9" s="1"/>
  <c r="E264" i="9" s="1"/>
  <c r="E265" i="9" s="1"/>
  <c r="E266" i="9" s="1"/>
  <c r="E267" i="9" s="1"/>
  <c r="E268" i="9" s="1"/>
  <c r="E269" i="9" s="1"/>
  <c r="E270" i="9" s="1"/>
  <c r="E271" i="9" s="1"/>
  <c r="E272" i="9" s="1"/>
  <c r="E273" i="9" s="1"/>
  <c r="E274" i="9" s="1"/>
  <c r="E275" i="9" s="1"/>
  <c r="E276" i="9" s="1"/>
  <c r="E277" i="9" s="1"/>
  <c r="E278" i="9" s="1"/>
  <c r="E279" i="9" s="1"/>
  <c r="E280" i="9" s="1"/>
  <c r="E281" i="9" s="1"/>
  <c r="E282" i="9" s="1"/>
  <c r="E283" i="9" s="1"/>
  <c r="E284" i="9" s="1"/>
  <c r="E285" i="9" s="1"/>
  <c r="E286" i="9" s="1"/>
  <c r="E287" i="9" s="1"/>
  <c r="E288" i="9" s="1"/>
  <c r="E289" i="9" s="1"/>
  <c r="E290" i="9" s="1"/>
  <c r="E291" i="9" s="1"/>
  <c r="E292" i="9" s="1"/>
  <c r="E293" i="9" s="1"/>
  <c r="E294" i="9" s="1"/>
  <c r="E295" i="9" s="1"/>
  <c r="E296" i="9" s="1"/>
  <c r="E297" i="9" s="1"/>
  <c r="E298" i="9" s="1"/>
  <c r="E299" i="9" s="1"/>
  <c r="E300" i="9" s="1"/>
  <c r="E301" i="9" s="1"/>
  <c r="E302" i="9" s="1"/>
  <c r="E303" i="9" s="1"/>
  <c r="E304" i="9" s="1"/>
  <c r="E305" i="9" s="1"/>
  <c r="E306" i="9" s="1"/>
  <c r="E307" i="9" s="1"/>
  <c r="E308" i="9" s="1"/>
  <c r="E309" i="9" s="1"/>
  <c r="E310" i="9" s="1"/>
  <c r="E311" i="9" s="1"/>
  <c r="E312" i="9" s="1"/>
  <c r="E313" i="9" s="1"/>
  <c r="E314" i="9" s="1"/>
  <c r="E315" i="9" s="1"/>
  <c r="E316" i="9" s="1"/>
  <c r="E317" i="9" s="1"/>
  <c r="E318" i="9" s="1"/>
  <c r="E319" i="9" s="1"/>
  <c r="E320" i="9" s="1"/>
  <c r="E321" i="9" s="1"/>
  <c r="E322" i="9" s="1"/>
  <c r="E323" i="9" s="1"/>
  <c r="E324" i="9" s="1"/>
  <c r="E325" i="9" s="1"/>
  <c r="E326" i="9" s="1"/>
  <c r="E327" i="9" s="1"/>
</calcChain>
</file>

<file path=xl/sharedStrings.xml><?xml version="1.0" encoding="utf-8"?>
<sst xmlns="http://schemas.openxmlformats.org/spreadsheetml/2006/main" count="7293" uniqueCount="1229">
  <si>
    <t>PERS 1 EA</t>
  </si>
  <si>
    <t>PERS 1 UAAL</t>
  </si>
  <si>
    <t>SERS 2/3 EA</t>
  </si>
  <si>
    <t>TRS 1 EA</t>
  </si>
  <si>
    <t>TRS 1 UAAL</t>
  </si>
  <si>
    <t>TRS 2/3 EA</t>
  </si>
  <si>
    <t>District Name</t>
  </si>
  <si>
    <t>CCDDD</t>
  </si>
  <si>
    <t>ESD</t>
  </si>
  <si>
    <t xml:space="preserve">Employer Contributions  </t>
  </si>
  <si>
    <t xml:space="preserve">Allocation Percentage  </t>
  </si>
  <si>
    <t xml:space="preserve"> Aberdeen School District 005 </t>
  </si>
  <si>
    <t>14005</t>
  </si>
  <si>
    <t>113</t>
  </si>
  <si>
    <t xml:space="preserve"> Adna School District 226 </t>
  </si>
  <si>
    <t>21226</t>
  </si>
  <si>
    <t xml:space="preserve"> Almira School District 017 </t>
  </si>
  <si>
    <t>22017</t>
  </si>
  <si>
    <t>101</t>
  </si>
  <si>
    <t xml:space="preserve"> Anacortes School District 103 </t>
  </si>
  <si>
    <t>29103</t>
  </si>
  <si>
    <t>189</t>
  </si>
  <si>
    <t xml:space="preserve"> Arlington School District 016 </t>
  </si>
  <si>
    <t>31016</t>
  </si>
  <si>
    <t xml:space="preserve"> Asotin Anatone School District 420 </t>
  </si>
  <si>
    <t>02420</t>
  </si>
  <si>
    <t>123</t>
  </si>
  <si>
    <t xml:space="preserve"> Auburn School District 408 </t>
  </si>
  <si>
    <t>17408</t>
  </si>
  <si>
    <t>121</t>
  </si>
  <si>
    <t xml:space="preserve"> Bainbridge Island School District 303 </t>
  </si>
  <si>
    <t>18303</t>
  </si>
  <si>
    <t xml:space="preserve"> Battle Ground School District 119 </t>
  </si>
  <si>
    <t>06119</t>
  </si>
  <si>
    <t>112</t>
  </si>
  <si>
    <t xml:space="preserve"> Bellevue School District 405 </t>
  </si>
  <si>
    <t>17405</t>
  </si>
  <si>
    <t xml:space="preserve"> Bellingham School District 501 </t>
  </si>
  <si>
    <t>37501</t>
  </si>
  <si>
    <t xml:space="preserve"> Benge School District 122 </t>
  </si>
  <si>
    <t>01122</t>
  </si>
  <si>
    <t xml:space="preserve"> Bethel School District 403 </t>
  </si>
  <si>
    <t>27403</t>
  </si>
  <si>
    <t xml:space="preserve"> Bickleton School District 203 </t>
  </si>
  <si>
    <t>20203</t>
  </si>
  <si>
    <t>105</t>
  </si>
  <si>
    <t xml:space="preserve"> Blaine School District 503 </t>
  </si>
  <si>
    <t>37503</t>
  </si>
  <si>
    <t xml:space="preserve"> Boistfort School District 234 </t>
  </si>
  <si>
    <t>21234</t>
  </si>
  <si>
    <t xml:space="preserve"> Bremerton School District 100 </t>
  </si>
  <si>
    <t>18100</t>
  </si>
  <si>
    <t>114</t>
  </si>
  <si>
    <t xml:space="preserve"> Brewster School District 111 </t>
  </si>
  <si>
    <t>24111</t>
  </si>
  <si>
    <t>171</t>
  </si>
  <si>
    <t xml:space="preserve"> Bridgeport School District 075 </t>
  </si>
  <si>
    <t>09075</t>
  </si>
  <si>
    <t xml:space="preserve"> Brinnon School District 046 </t>
  </si>
  <si>
    <t>16046</t>
  </si>
  <si>
    <t xml:space="preserve"> Burlington-Edison School District 100 </t>
  </si>
  <si>
    <t>29100</t>
  </si>
  <si>
    <t xml:space="preserve"> Camas School District 117 </t>
  </si>
  <si>
    <t>06117</t>
  </si>
  <si>
    <t xml:space="preserve"> Cape Flattery School District 401 </t>
  </si>
  <si>
    <t>05401</t>
  </si>
  <si>
    <t xml:space="preserve"> Carbonado Historical School District 019 </t>
  </si>
  <si>
    <t>27019</t>
  </si>
  <si>
    <t xml:space="preserve"> Cascade School District 228 </t>
  </si>
  <si>
    <t>04228</t>
  </si>
  <si>
    <t xml:space="preserve"> Cashmere School District 222 </t>
  </si>
  <si>
    <t>04222</t>
  </si>
  <si>
    <t xml:space="preserve"> Castle Rock School District 401 </t>
  </si>
  <si>
    <t>08401</t>
  </si>
  <si>
    <t xml:space="preserve"> Centerville School District 215 </t>
  </si>
  <si>
    <t>20215</t>
  </si>
  <si>
    <t xml:space="preserve"> Central Kitsap School District 401 </t>
  </si>
  <si>
    <t>18401</t>
  </si>
  <si>
    <t xml:space="preserve"> Central Valley School District 356 </t>
  </si>
  <si>
    <t>32356</t>
  </si>
  <si>
    <t xml:space="preserve"> Centralia School District 401 </t>
  </si>
  <si>
    <t>21401</t>
  </si>
  <si>
    <t xml:space="preserve"> Chehalis School District 302 </t>
  </si>
  <si>
    <t>21302</t>
  </si>
  <si>
    <t xml:space="preserve"> Cheney School District 360 </t>
  </si>
  <si>
    <t>32360</t>
  </si>
  <si>
    <t xml:space="preserve"> Chewelah School District 036 </t>
  </si>
  <si>
    <t>33036</t>
  </si>
  <si>
    <t xml:space="preserve"> Chimacum School District 049 </t>
  </si>
  <si>
    <t>16049</t>
  </si>
  <si>
    <t xml:space="preserve"> Clarkston School District 250 </t>
  </si>
  <si>
    <t>02250</t>
  </si>
  <si>
    <t xml:space="preserve"> Cle Elum-Roslyn School District 404  </t>
  </si>
  <si>
    <t>19404</t>
  </si>
  <si>
    <t xml:space="preserve"> Clover Park School District 400 </t>
  </si>
  <si>
    <t>27400</t>
  </si>
  <si>
    <t xml:space="preserve"> Colfax School District 300 </t>
  </si>
  <si>
    <t>38300</t>
  </si>
  <si>
    <t xml:space="preserve"> College Place School District 250 </t>
  </si>
  <si>
    <t>36250</t>
  </si>
  <si>
    <t xml:space="preserve"> Colton School District 306 </t>
  </si>
  <si>
    <t>38306</t>
  </si>
  <si>
    <t xml:space="preserve"> Columbia School District 206 </t>
  </si>
  <si>
    <t>33206</t>
  </si>
  <si>
    <t xml:space="preserve"> Columbia School District 400 </t>
  </si>
  <si>
    <t>36400</t>
  </si>
  <si>
    <t xml:space="preserve"> Colville School District 115 </t>
  </si>
  <si>
    <t>33115</t>
  </si>
  <si>
    <t xml:space="preserve"> Concrete School District 011 </t>
  </si>
  <si>
    <t>29011</t>
  </si>
  <si>
    <t xml:space="preserve"> Conway School District 317 </t>
  </si>
  <si>
    <t>29317</t>
  </si>
  <si>
    <t xml:space="preserve"> Cosmopolis School District 099 </t>
  </si>
  <si>
    <t>14099</t>
  </si>
  <si>
    <t xml:space="preserve"> Coulee Hartline School District 151 </t>
  </si>
  <si>
    <t>13151</t>
  </si>
  <si>
    <t xml:space="preserve"> Coupeville School District 204 </t>
  </si>
  <si>
    <t>15204</t>
  </si>
  <si>
    <t xml:space="preserve"> Crescent School District 313 </t>
  </si>
  <si>
    <t>05313</t>
  </si>
  <si>
    <t xml:space="preserve"> Creston School District 073 </t>
  </si>
  <si>
    <t>22073</t>
  </si>
  <si>
    <t xml:space="preserve"> Curlew School District 050 </t>
  </si>
  <si>
    <t>10050</t>
  </si>
  <si>
    <t xml:space="preserve"> Cusick School District 059 </t>
  </si>
  <si>
    <t>26059</t>
  </si>
  <si>
    <t xml:space="preserve"> Damman School District 007 </t>
  </si>
  <si>
    <t>19007</t>
  </si>
  <si>
    <t xml:space="preserve"> Darrington School District 330 </t>
  </si>
  <si>
    <t>31330</t>
  </si>
  <si>
    <t xml:space="preserve"> Davenport School District 207 </t>
  </si>
  <si>
    <t>22207</t>
  </si>
  <si>
    <t xml:space="preserve"> Dayton School District 002 </t>
  </si>
  <si>
    <t>07002</t>
  </si>
  <si>
    <t xml:space="preserve"> Deer Park School District 414 </t>
  </si>
  <si>
    <t>32414</t>
  </si>
  <si>
    <t xml:space="preserve"> Dieringer School District 343 </t>
  </si>
  <si>
    <t>27343</t>
  </si>
  <si>
    <t xml:space="preserve"> Dixie School District 101 </t>
  </si>
  <si>
    <t>36101</t>
  </si>
  <si>
    <t xml:space="preserve"> East Valley School District 090 </t>
  </si>
  <si>
    <t>39090</t>
  </si>
  <si>
    <t xml:space="preserve"> East Valley School District 361 </t>
  </si>
  <si>
    <t>32361</t>
  </si>
  <si>
    <t xml:space="preserve"> Eastmont School District 206 </t>
  </si>
  <si>
    <t>09206</t>
  </si>
  <si>
    <t xml:space="preserve"> Easton School District 028 </t>
  </si>
  <si>
    <t>19028</t>
  </si>
  <si>
    <t xml:space="preserve"> Eatonville School District 404 </t>
  </si>
  <si>
    <t>27404</t>
  </si>
  <si>
    <t xml:space="preserve"> Edmonds School District 015 </t>
  </si>
  <si>
    <t>31015</t>
  </si>
  <si>
    <t xml:space="preserve"> Educational Service District 105 </t>
  </si>
  <si>
    <t>39801</t>
  </si>
  <si>
    <t xml:space="preserve"> Educational Service District 112 </t>
  </si>
  <si>
    <t>06801</t>
  </si>
  <si>
    <t xml:space="preserve"> Educational Service District 113 </t>
  </si>
  <si>
    <t>34801</t>
  </si>
  <si>
    <t xml:space="preserve"> Educational Service District 123 </t>
  </si>
  <si>
    <t>11801</t>
  </si>
  <si>
    <t xml:space="preserve"> Ellensburg School District 401 </t>
  </si>
  <si>
    <t>19401</t>
  </si>
  <si>
    <t xml:space="preserve"> Elma School District 068  </t>
  </si>
  <si>
    <t>14068</t>
  </si>
  <si>
    <t xml:space="preserve"> Endicott School District 308 </t>
  </si>
  <si>
    <t>38308</t>
  </si>
  <si>
    <t xml:space="preserve"> Entiat School District 127 </t>
  </si>
  <si>
    <t>04127</t>
  </si>
  <si>
    <t xml:space="preserve"> Enumclaw School District 216 </t>
  </si>
  <si>
    <t>17216</t>
  </si>
  <si>
    <t xml:space="preserve"> Ephrata School District 165 </t>
  </si>
  <si>
    <t>13165</t>
  </si>
  <si>
    <t xml:space="preserve"> Evaline School District 036 </t>
  </si>
  <si>
    <t>21036</t>
  </si>
  <si>
    <t xml:space="preserve"> Everett School District 002 </t>
  </si>
  <si>
    <t>31002</t>
  </si>
  <si>
    <t xml:space="preserve"> Evergreen School District 114 </t>
  </si>
  <si>
    <t>06114</t>
  </si>
  <si>
    <t xml:space="preserve"> Evergreen School District 205 </t>
  </si>
  <si>
    <t>33205</t>
  </si>
  <si>
    <t xml:space="preserve"> Federal Way School District 210 </t>
  </si>
  <si>
    <t>17210</t>
  </si>
  <si>
    <t xml:space="preserve"> Ferndale School District 502 </t>
  </si>
  <si>
    <t>37502</t>
  </si>
  <si>
    <t xml:space="preserve"> Fife School District 417 </t>
  </si>
  <si>
    <t>27417</t>
  </si>
  <si>
    <t xml:space="preserve"> Finley School District 053 </t>
  </si>
  <si>
    <t>03053</t>
  </si>
  <si>
    <t xml:space="preserve"> Franklin Pierce School District 402 </t>
  </si>
  <si>
    <t>27402</t>
  </si>
  <si>
    <t xml:space="preserve"> Freeman School District 358 </t>
  </si>
  <si>
    <t>32358</t>
  </si>
  <si>
    <t xml:space="preserve"> Garfield School District 302 </t>
  </si>
  <si>
    <t>38302</t>
  </si>
  <si>
    <t xml:space="preserve"> Glenwood School District 401 </t>
  </si>
  <si>
    <t>20401</t>
  </si>
  <si>
    <t xml:space="preserve"> Goldendale School District 404 </t>
  </si>
  <si>
    <t>20404</t>
  </si>
  <si>
    <t xml:space="preserve"> Grand Coulee Dam School District 301 </t>
  </si>
  <si>
    <t>13301</t>
  </si>
  <si>
    <t xml:space="preserve"> Grandview School District 200 </t>
  </si>
  <si>
    <t>39200</t>
  </si>
  <si>
    <t xml:space="preserve"> Granger School District 204 </t>
  </si>
  <si>
    <t>39204</t>
  </si>
  <si>
    <t xml:space="preserve"> Granite Falls School District 332 </t>
  </si>
  <si>
    <t>31332</t>
  </si>
  <si>
    <t xml:space="preserve"> Grapeview School District 054 </t>
  </si>
  <si>
    <t>23054</t>
  </si>
  <si>
    <t xml:space="preserve"> Great Northern School District 312 </t>
  </si>
  <si>
    <t>32312</t>
  </si>
  <si>
    <t xml:space="preserve"> Green Mountain School District 103 </t>
  </si>
  <si>
    <t>06103</t>
  </si>
  <si>
    <t xml:space="preserve"> Griffin School District 324 </t>
  </si>
  <si>
    <t>34324</t>
  </si>
  <si>
    <t xml:space="preserve"> Harrington School District 204 </t>
  </si>
  <si>
    <t>22204</t>
  </si>
  <si>
    <t xml:space="preserve"> Highland School District 203 </t>
  </si>
  <si>
    <t>39203</t>
  </si>
  <si>
    <t xml:space="preserve"> Highline School District 401 </t>
  </si>
  <si>
    <t>17401</t>
  </si>
  <si>
    <t xml:space="preserve"> Hockinson School District 098 </t>
  </si>
  <si>
    <t>06098</t>
  </si>
  <si>
    <t xml:space="preserve"> Hood Canal School District 404 </t>
  </si>
  <si>
    <t>23404</t>
  </si>
  <si>
    <t xml:space="preserve"> Hoquiam School District 028 </t>
  </si>
  <si>
    <t>14028</t>
  </si>
  <si>
    <t xml:space="preserve"> Inchelium School District 070 </t>
  </si>
  <si>
    <t>10070</t>
  </si>
  <si>
    <t xml:space="preserve"> Index School District 063 </t>
  </si>
  <si>
    <t>31063</t>
  </si>
  <si>
    <t xml:space="preserve"> Issaquah School District 411 </t>
  </si>
  <si>
    <t>17411</t>
  </si>
  <si>
    <t xml:space="preserve"> Kahlotus School District 056 </t>
  </si>
  <si>
    <t>11056</t>
  </si>
  <si>
    <t xml:space="preserve"> Kalama School District 402 </t>
  </si>
  <si>
    <t>08402</t>
  </si>
  <si>
    <t xml:space="preserve"> Keller School District 003 </t>
  </si>
  <si>
    <t>10003</t>
  </si>
  <si>
    <t xml:space="preserve"> Kelso School District 458 </t>
  </si>
  <si>
    <t>08458</t>
  </si>
  <si>
    <t xml:space="preserve"> Kennewick School District 017 </t>
  </si>
  <si>
    <t>03017</t>
  </si>
  <si>
    <t xml:space="preserve"> Kent School District 415 </t>
  </si>
  <si>
    <t>17415</t>
  </si>
  <si>
    <t xml:space="preserve"> Kettle Falls School District 212 </t>
  </si>
  <si>
    <t>33212</t>
  </si>
  <si>
    <t xml:space="preserve"> Kiona-Benton City School District 052 </t>
  </si>
  <si>
    <t>03052</t>
  </si>
  <si>
    <t xml:space="preserve"> Kittitas School District 403 </t>
  </si>
  <si>
    <t>19403</t>
  </si>
  <si>
    <t xml:space="preserve"> Klickitat School District 402 </t>
  </si>
  <si>
    <t>20402</t>
  </si>
  <si>
    <t xml:space="preserve"> La Center School District 101 </t>
  </si>
  <si>
    <t>06101</t>
  </si>
  <si>
    <t xml:space="preserve"> La Conner School District 311 </t>
  </si>
  <si>
    <t>29311</t>
  </si>
  <si>
    <t xml:space="preserve"> LaCrosse School District 126 </t>
  </si>
  <si>
    <t>38126</t>
  </si>
  <si>
    <t xml:space="preserve"> Lake Chelan School District 129 </t>
  </si>
  <si>
    <t>04129</t>
  </si>
  <si>
    <t xml:space="preserve"> Lake Stevens School District 004 </t>
  </si>
  <si>
    <t>31004</t>
  </si>
  <si>
    <t xml:space="preserve"> Lake Washington School District 414 </t>
  </si>
  <si>
    <t>17414</t>
  </si>
  <si>
    <t xml:space="preserve"> Lakewood School District 306 </t>
  </si>
  <si>
    <t>31306</t>
  </si>
  <si>
    <t xml:space="preserve"> Lamont School District 264 </t>
  </si>
  <si>
    <t>38264</t>
  </si>
  <si>
    <t xml:space="preserve"> Liberty School District 362 </t>
  </si>
  <si>
    <t>32362</t>
  </si>
  <si>
    <t xml:space="preserve"> Lind School District 158 </t>
  </si>
  <si>
    <t>01158</t>
  </si>
  <si>
    <t xml:space="preserve"> Longview School District 122 </t>
  </si>
  <si>
    <t>08122</t>
  </si>
  <si>
    <t xml:space="preserve"> Loon Lake School District 183 </t>
  </si>
  <si>
    <t>33183</t>
  </si>
  <si>
    <t xml:space="preserve"> Lopez Island School District 144 </t>
  </si>
  <si>
    <t>28144</t>
  </si>
  <si>
    <t xml:space="preserve"> Lyle School District 406 </t>
  </si>
  <si>
    <t>20406</t>
  </si>
  <si>
    <t xml:space="preserve"> Lynden School District 504 </t>
  </si>
  <si>
    <t>37504</t>
  </si>
  <si>
    <t xml:space="preserve"> Mabton School District 120 </t>
  </si>
  <si>
    <t>39120</t>
  </si>
  <si>
    <t xml:space="preserve"> Mansfield School District 207 </t>
  </si>
  <si>
    <t>09207</t>
  </si>
  <si>
    <t xml:space="preserve"> Manson School District 019 </t>
  </si>
  <si>
    <t>04019</t>
  </si>
  <si>
    <t xml:space="preserve"> Mary M. Knight School District 311 </t>
  </si>
  <si>
    <t>23311</t>
  </si>
  <si>
    <t xml:space="preserve"> Mary Walker School District 207 </t>
  </si>
  <si>
    <t>33207</t>
  </si>
  <si>
    <t xml:space="preserve"> Marysville School District 025 </t>
  </si>
  <si>
    <t>31025</t>
  </si>
  <si>
    <t xml:space="preserve"> McCleary School District 065 </t>
  </si>
  <si>
    <t>14065</t>
  </si>
  <si>
    <t xml:space="preserve"> Mead School District 354 </t>
  </si>
  <si>
    <t>32354</t>
  </si>
  <si>
    <t xml:space="preserve"> Medical Lake School District 326 </t>
  </si>
  <si>
    <t>32326</t>
  </si>
  <si>
    <t xml:space="preserve"> Mercer Island School District 400 </t>
  </si>
  <si>
    <t>17400</t>
  </si>
  <si>
    <t xml:space="preserve"> Meridian School District 505 </t>
  </si>
  <si>
    <t>37505</t>
  </si>
  <si>
    <t xml:space="preserve"> Methow Valley School District 350 </t>
  </si>
  <si>
    <t>24350</t>
  </si>
  <si>
    <t xml:space="preserve"> Mill A School District 031 </t>
  </si>
  <si>
    <t>30031</t>
  </si>
  <si>
    <t xml:space="preserve"> Monroe School District 103 </t>
  </si>
  <si>
    <t>31103</t>
  </si>
  <si>
    <t xml:space="preserve"> Montesano School District 066 </t>
  </si>
  <si>
    <t>14066</t>
  </si>
  <si>
    <t xml:space="preserve"> Morton School District 214 </t>
  </si>
  <si>
    <t>21214</t>
  </si>
  <si>
    <t xml:space="preserve"> Moses Lake School District 161 </t>
  </si>
  <si>
    <t>13161</t>
  </si>
  <si>
    <t xml:space="preserve"> Mossyrock School District 206 </t>
  </si>
  <si>
    <t>21206</t>
  </si>
  <si>
    <t xml:space="preserve"> Mount Adams School District 209 </t>
  </si>
  <si>
    <t>39209</t>
  </si>
  <si>
    <t xml:space="preserve"> Mount Baker School District 507 </t>
  </si>
  <si>
    <t>37507</t>
  </si>
  <si>
    <t xml:space="preserve"> Mount Pleasant School District 029-93 </t>
  </si>
  <si>
    <t>30029</t>
  </si>
  <si>
    <t xml:space="preserve"> Mount Vernon School District 320  </t>
  </si>
  <si>
    <t>29320</t>
  </si>
  <si>
    <t xml:space="preserve"> Mukilteo School District 006 </t>
  </si>
  <si>
    <t>31006</t>
  </si>
  <si>
    <t xml:space="preserve"> Naches Valley School District 003 </t>
  </si>
  <si>
    <t>39003</t>
  </si>
  <si>
    <t xml:space="preserve"> Napavine School District 014 </t>
  </si>
  <si>
    <t>21014</t>
  </si>
  <si>
    <t xml:space="preserve"> Naselle-Grays River Valley School District  </t>
  </si>
  <si>
    <t>25155</t>
  </si>
  <si>
    <t xml:space="preserve"> Nespelem School District 014 </t>
  </si>
  <si>
    <t>24014</t>
  </si>
  <si>
    <t xml:space="preserve"> Newport School District 056-415 </t>
  </si>
  <si>
    <t>26056</t>
  </si>
  <si>
    <t xml:space="preserve"> Nine Mile Falls School District 325 </t>
  </si>
  <si>
    <t>32325</t>
  </si>
  <si>
    <t xml:space="preserve"> Nooksack Valley School District 506 </t>
  </si>
  <si>
    <t>37506</t>
  </si>
  <si>
    <t xml:space="preserve"> North Beach School District 064 </t>
  </si>
  <si>
    <t>14064</t>
  </si>
  <si>
    <t xml:space="preserve"> North Central WA Educational Service District 171</t>
  </si>
  <si>
    <t>04801</t>
  </si>
  <si>
    <t xml:space="preserve"> North Franklin School District 051 </t>
  </si>
  <si>
    <t>11051</t>
  </si>
  <si>
    <t xml:space="preserve"> North Kitsap School District 400 </t>
  </si>
  <si>
    <t>18400</t>
  </si>
  <si>
    <t xml:space="preserve"> North Mason School District 403 </t>
  </si>
  <si>
    <t>23403</t>
  </si>
  <si>
    <t xml:space="preserve"> North River School District 200 </t>
  </si>
  <si>
    <t>25200</t>
  </si>
  <si>
    <t xml:space="preserve"> North Thurston Public Schools </t>
  </si>
  <si>
    <t>34003</t>
  </si>
  <si>
    <t xml:space="preserve"> Northeast WA Educational Service District 101 </t>
  </si>
  <si>
    <t>32801</t>
  </si>
  <si>
    <t xml:space="preserve"> Northport School District 211 </t>
  </si>
  <si>
    <t>33211</t>
  </si>
  <si>
    <t xml:space="preserve"> Northshore School District 417 </t>
  </si>
  <si>
    <t>17417</t>
  </si>
  <si>
    <t xml:space="preserve"> Northwest Regional Educational Service District 189</t>
  </si>
  <si>
    <t>29801</t>
  </si>
  <si>
    <t xml:space="preserve"> Oak Harbor School District 201 </t>
  </si>
  <si>
    <t>15201</t>
  </si>
  <si>
    <t xml:space="preserve"> Oakesdale School District 324  </t>
  </si>
  <si>
    <t>38324</t>
  </si>
  <si>
    <t xml:space="preserve"> Oakville School District 400 </t>
  </si>
  <si>
    <t>14400</t>
  </si>
  <si>
    <t xml:space="preserve"> Ocean Beach School District 101 </t>
  </si>
  <si>
    <t>25101</t>
  </si>
  <si>
    <t xml:space="preserve"> Ocosta School District 172 </t>
  </si>
  <si>
    <t>14172</t>
  </si>
  <si>
    <t xml:space="preserve"> Odessa School District 105 </t>
  </si>
  <si>
    <t>22105</t>
  </si>
  <si>
    <t xml:space="preserve"> Okanogan School District 105 </t>
  </si>
  <si>
    <t>24105</t>
  </si>
  <si>
    <t xml:space="preserve"> Olympia School District 111 </t>
  </si>
  <si>
    <t>34111</t>
  </si>
  <si>
    <t xml:space="preserve"> Olympic Educational Service District 114</t>
  </si>
  <si>
    <t>18801</t>
  </si>
  <si>
    <t xml:space="preserve"> Omak School District 019 </t>
  </si>
  <si>
    <t>24019</t>
  </si>
  <si>
    <t xml:space="preserve"> Onalaska School District 300 </t>
  </si>
  <si>
    <t>21300</t>
  </si>
  <si>
    <t xml:space="preserve"> Onion Creek School District 030 </t>
  </si>
  <si>
    <t>33030</t>
  </si>
  <si>
    <t xml:space="preserve"> Orcas Island School District 137 </t>
  </si>
  <si>
    <t>28137</t>
  </si>
  <si>
    <t xml:space="preserve"> Orchard Prairie School District 123 </t>
  </si>
  <si>
    <t>32123</t>
  </si>
  <si>
    <t xml:space="preserve"> Orient School District 065 </t>
  </si>
  <si>
    <t>10065</t>
  </si>
  <si>
    <t xml:space="preserve"> Orondo School District 013 </t>
  </si>
  <si>
    <t>09013</t>
  </si>
  <si>
    <t xml:space="preserve"> Oroville School District 410 </t>
  </si>
  <si>
    <t>24410</t>
  </si>
  <si>
    <t xml:space="preserve"> Orting School District 344 </t>
  </si>
  <si>
    <t>27344</t>
  </si>
  <si>
    <t xml:space="preserve"> Othello School District 147 </t>
  </si>
  <si>
    <t>01147</t>
  </si>
  <si>
    <t xml:space="preserve"> Palisades School District 102 </t>
  </si>
  <si>
    <t>09102</t>
  </si>
  <si>
    <t xml:space="preserve"> Palouse School District 301 </t>
  </si>
  <si>
    <t>38301</t>
  </si>
  <si>
    <t xml:space="preserve"> Pasco School District 001 </t>
  </si>
  <si>
    <t>11001</t>
  </si>
  <si>
    <t xml:space="preserve"> Pateros School District 122 </t>
  </si>
  <si>
    <t>24122</t>
  </si>
  <si>
    <t xml:space="preserve"> Paterson School District 050 </t>
  </si>
  <si>
    <t>03050</t>
  </si>
  <si>
    <t xml:space="preserve"> Pe Ell School District 301 </t>
  </si>
  <si>
    <t>21301</t>
  </si>
  <si>
    <t xml:space="preserve"> Peninsula School District 401 </t>
  </si>
  <si>
    <t>27401</t>
  </si>
  <si>
    <t xml:space="preserve"> Pioneer School District 402 </t>
  </si>
  <si>
    <t>23402</t>
  </si>
  <si>
    <t xml:space="preserve"> Pomeroy School District 110 </t>
  </si>
  <si>
    <t>12110</t>
  </si>
  <si>
    <t xml:space="preserve"> Port Angeles School District 121 </t>
  </si>
  <si>
    <t>05121</t>
  </si>
  <si>
    <t xml:space="preserve"> Port Townsend School District 050 </t>
  </si>
  <si>
    <t>16050</t>
  </si>
  <si>
    <t xml:space="preserve"> Prescott School District 402 </t>
  </si>
  <si>
    <t>36402</t>
  </si>
  <si>
    <t xml:space="preserve"> Prosser School District 116 </t>
  </si>
  <si>
    <t>03116</t>
  </si>
  <si>
    <t xml:space="preserve"> Puget Sound Educational Service District 121</t>
  </si>
  <si>
    <t>17801</t>
  </si>
  <si>
    <t xml:space="preserve"> Pullman School District 267 </t>
  </si>
  <si>
    <t>38267</t>
  </si>
  <si>
    <t xml:space="preserve"> Puyallup School District 003 </t>
  </si>
  <si>
    <t>27003</t>
  </si>
  <si>
    <t xml:space="preserve"> Queets-Clearwater School District 020 </t>
  </si>
  <si>
    <t>16020</t>
  </si>
  <si>
    <t xml:space="preserve"> Quilcene School District 048 </t>
  </si>
  <si>
    <t>16048</t>
  </si>
  <si>
    <t xml:space="preserve"> Quillayute School District 402 </t>
  </si>
  <si>
    <t>05402</t>
  </si>
  <si>
    <t xml:space="preserve"> Quinault Lake School District 097 </t>
  </si>
  <si>
    <t>14097</t>
  </si>
  <si>
    <t xml:space="preserve"> Quincy School District 144 </t>
  </si>
  <si>
    <t>13144</t>
  </si>
  <si>
    <t xml:space="preserve"> Rainier School District 307 </t>
  </si>
  <si>
    <t>34307</t>
  </si>
  <si>
    <t xml:space="preserve"> Raymond School District 116 </t>
  </si>
  <si>
    <t>25116</t>
  </si>
  <si>
    <t xml:space="preserve"> Reardan-Edwall School District 009 </t>
  </si>
  <si>
    <t>22009</t>
  </si>
  <si>
    <t xml:space="preserve"> Renton School District 403 </t>
  </si>
  <si>
    <t>17403</t>
  </si>
  <si>
    <t xml:space="preserve"> Republic School District 309 </t>
  </si>
  <si>
    <t>10309</t>
  </si>
  <si>
    <t xml:space="preserve"> Richland School District 400 </t>
  </si>
  <si>
    <t>03400</t>
  </si>
  <si>
    <t xml:space="preserve"> Ridgefield School District 122 </t>
  </si>
  <si>
    <t>06122</t>
  </si>
  <si>
    <t xml:space="preserve"> Ritzville School District 160 </t>
  </si>
  <si>
    <t>01160</t>
  </si>
  <si>
    <t xml:space="preserve"> Riverside School District 416 </t>
  </si>
  <si>
    <t>32416</t>
  </si>
  <si>
    <t xml:space="preserve"> Riverview School District 407 </t>
  </si>
  <si>
    <t>17407</t>
  </si>
  <si>
    <t xml:space="preserve"> Rochester School District 401 </t>
  </si>
  <si>
    <t>34401</t>
  </si>
  <si>
    <t xml:space="preserve"> Roosevelt School District 403 </t>
  </si>
  <si>
    <t>20403</t>
  </si>
  <si>
    <t xml:space="preserve"> Rosalia School District 320 </t>
  </si>
  <si>
    <t>38320</t>
  </si>
  <si>
    <t xml:space="preserve"> Royal School District 160 </t>
  </si>
  <si>
    <t>13160</t>
  </si>
  <si>
    <t xml:space="preserve"> Saint John School District 322 </t>
  </si>
  <si>
    <t>38322</t>
  </si>
  <si>
    <t xml:space="preserve"> San Juan Island School District 149 </t>
  </si>
  <si>
    <t>28149</t>
  </si>
  <si>
    <t xml:space="preserve"> Satsop School District 104  </t>
  </si>
  <si>
    <t>14104</t>
  </si>
  <si>
    <t xml:space="preserve"> Seattle School District 001  </t>
  </si>
  <si>
    <t>17001</t>
  </si>
  <si>
    <t xml:space="preserve"> Sedro-Woolley School District 101 </t>
  </si>
  <si>
    <t>29101</t>
  </si>
  <si>
    <t xml:space="preserve"> Selah School District 119 </t>
  </si>
  <si>
    <t>39119</t>
  </si>
  <si>
    <t xml:space="preserve"> Selkirk School District 070 </t>
  </si>
  <si>
    <t>26070</t>
  </si>
  <si>
    <t xml:space="preserve"> Sequim School District 323 </t>
  </si>
  <si>
    <t>05323</t>
  </si>
  <si>
    <t xml:space="preserve"> Shaw Island School District 010 </t>
  </si>
  <si>
    <t>28010</t>
  </si>
  <si>
    <t xml:space="preserve"> Shelton School District 309 </t>
  </si>
  <si>
    <t>23309</t>
  </si>
  <si>
    <t xml:space="preserve"> Shoreline School District 412 </t>
  </si>
  <si>
    <t>17412</t>
  </si>
  <si>
    <t xml:space="preserve"> Skamania School District 002 </t>
  </si>
  <si>
    <t>30002</t>
  </si>
  <si>
    <t xml:space="preserve"> Skykomish School District 404 </t>
  </si>
  <si>
    <t>17404</t>
  </si>
  <si>
    <t xml:space="preserve"> Snohomish School District 201 </t>
  </si>
  <si>
    <t>31201</t>
  </si>
  <si>
    <t xml:space="preserve"> Snoqualmie Valley School District 410 </t>
  </si>
  <si>
    <t>17410</t>
  </si>
  <si>
    <t xml:space="preserve"> Soap Lake School District 156 </t>
  </si>
  <si>
    <t>13156</t>
  </si>
  <si>
    <t xml:space="preserve"> South Bend School District 118 </t>
  </si>
  <si>
    <t>25118</t>
  </si>
  <si>
    <t xml:space="preserve"> South Kitsap School District 402 </t>
  </si>
  <si>
    <t>18402</t>
  </si>
  <si>
    <t xml:space="preserve"> South Whidbey School District 206 </t>
  </si>
  <si>
    <t>15206</t>
  </si>
  <si>
    <t xml:space="preserve"> Southside School District 042 </t>
  </si>
  <si>
    <t>23042</t>
  </si>
  <si>
    <t xml:space="preserve"> Spokane Public Schools </t>
  </si>
  <si>
    <t>32081</t>
  </si>
  <si>
    <t xml:space="preserve"> Sprague School District 008 </t>
  </si>
  <si>
    <t>22008</t>
  </si>
  <si>
    <t xml:space="preserve"> Stanwood-Camano School District 401 </t>
  </si>
  <si>
    <t>31401</t>
  </si>
  <si>
    <t xml:space="preserve"> Star School District 054 </t>
  </si>
  <si>
    <t>11054</t>
  </si>
  <si>
    <t xml:space="preserve"> Starbuck School District 035 </t>
  </si>
  <si>
    <t>07035</t>
  </si>
  <si>
    <t xml:space="preserve"> Stehekin School District 069 </t>
  </si>
  <si>
    <t>04069</t>
  </si>
  <si>
    <t xml:space="preserve"> Steilacoom Historical School District 001 </t>
  </si>
  <si>
    <t>27001</t>
  </si>
  <si>
    <t xml:space="preserve"> Steptoe School District 304 </t>
  </si>
  <si>
    <t>38304</t>
  </si>
  <si>
    <t xml:space="preserve"> Stevenson-Carson School District 303 </t>
  </si>
  <si>
    <t>30303</t>
  </si>
  <si>
    <t xml:space="preserve"> Sultan School District 311 </t>
  </si>
  <si>
    <t>31311</t>
  </si>
  <si>
    <t xml:space="preserve"> Summit Valley School District 202 </t>
  </si>
  <si>
    <t>33202</t>
  </si>
  <si>
    <t xml:space="preserve"> Sumner School District 320 </t>
  </si>
  <si>
    <t>27320</t>
  </si>
  <si>
    <t xml:space="preserve"> Sunnyside School District 201 </t>
  </si>
  <si>
    <t>39201</t>
  </si>
  <si>
    <t xml:space="preserve"> Tacoma School District 010 </t>
  </si>
  <si>
    <t>27010</t>
  </si>
  <si>
    <t xml:space="preserve"> Taholah School District 077 </t>
  </si>
  <si>
    <t>14077</t>
  </si>
  <si>
    <t xml:space="preserve"> Tahoma School District 409 </t>
  </si>
  <si>
    <t>17409</t>
  </si>
  <si>
    <t xml:space="preserve"> Tekoa School District 265 </t>
  </si>
  <si>
    <t>38265</t>
  </si>
  <si>
    <t xml:space="preserve"> Tenino School District 402 </t>
  </si>
  <si>
    <t>34402</t>
  </si>
  <si>
    <t xml:space="preserve"> Thorp School District 400 </t>
  </si>
  <si>
    <t>19400</t>
  </si>
  <si>
    <t xml:space="preserve"> Toledo School District 237 </t>
  </si>
  <si>
    <t>21237</t>
  </si>
  <si>
    <t xml:space="preserve"> Tonasket School District 404 </t>
  </si>
  <si>
    <t>24404</t>
  </si>
  <si>
    <t xml:space="preserve"> Toppenish School District 202  </t>
  </si>
  <si>
    <t>39202</t>
  </si>
  <si>
    <t xml:space="preserve"> Touchet School District 300 </t>
  </si>
  <si>
    <t>36300</t>
  </si>
  <si>
    <t xml:space="preserve"> Toutle Lake School District 130 </t>
  </si>
  <si>
    <t>08130</t>
  </si>
  <si>
    <t xml:space="preserve"> Trout Lake School District 400 </t>
  </si>
  <si>
    <t>20400</t>
  </si>
  <si>
    <t xml:space="preserve"> Tukwila School District 406 </t>
  </si>
  <si>
    <t>17406</t>
  </si>
  <si>
    <t xml:space="preserve"> Tumwater School District 033 </t>
  </si>
  <si>
    <t>34033</t>
  </si>
  <si>
    <t xml:space="preserve"> Union Gap School District 002 </t>
  </si>
  <si>
    <t>39002</t>
  </si>
  <si>
    <t xml:space="preserve"> University Place School District 083 </t>
  </si>
  <si>
    <t>27083</t>
  </si>
  <si>
    <t xml:space="preserve"> Valley School District 070 </t>
  </si>
  <si>
    <t>33070</t>
  </si>
  <si>
    <t xml:space="preserve"> Vancouver School District 037 </t>
  </si>
  <si>
    <t>06037</t>
  </si>
  <si>
    <t xml:space="preserve"> Vashon Island School District 402 </t>
  </si>
  <si>
    <t>17402</t>
  </si>
  <si>
    <t xml:space="preserve"> Wahkiakum School District 200 </t>
  </si>
  <si>
    <t>35200</t>
  </si>
  <si>
    <t xml:space="preserve"> Wahluke School District 073 </t>
  </si>
  <si>
    <t>13073</t>
  </si>
  <si>
    <t xml:space="preserve"> Waitsburg School District 401 </t>
  </si>
  <si>
    <t>36401</t>
  </si>
  <si>
    <t xml:space="preserve"> Walla Walla School District 140 </t>
  </si>
  <si>
    <t>36140</t>
  </si>
  <si>
    <t xml:space="preserve"> Wapato School District 207 </t>
  </si>
  <si>
    <t>39207</t>
  </si>
  <si>
    <t xml:space="preserve"> Warden Joint Consolidated School District 146-161 </t>
  </si>
  <si>
    <t>13146</t>
  </si>
  <si>
    <t xml:space="preserve"> Washougal School District 112-6 </t>
  </si>
  <si>
    <t>06112</t>
  </si>
  <si>
    <t xml:space="preserve"> Washtucna School District 109 </t>
  </si>
  <si>
    <t>01109</t>
  </si>
  <si>
    <t xml:space="preserve"> Waterville School District 209 </t>
  </si>
  <si>
    <t>09209</t>
  </si>
  <si>
    <t xml:space="preserve"> Wellpinit School District 049 </t>
  </si>
  <si>
    <t>33049</t>
  </si>
  <si>
    <t xml:space="preserve"> Wenatchee School District 246 </t>
  </si>
  <si>
    <t>04246</t>
  </si>
  <si>
    <t xml:space="preserve"> West Valley School District 208 </t>
  </si>
  <si>
    <t>39208</t>
  </si>
  <si>
    <t xml:space="preserve"> West Valley School District 363 </t>
  </si>
  <si>
    <t>32363</t>
  </si>
  <si>
    <t xml:space="preserve"> White Pass School District 303 </t>
  </si>
  <si>
    <t>21303</t>
  </si>
  <si>
    <t xml:space="preserve"> White River School District 416 </t>
  </si>
  <si>
    <t>27416</t>
  </si>
  <si>
    <t xml:space="preserve"> White Salmon School District 405 </t>
  </si>
  <si>
    <t>20405</t>
  </si>
  <si>
    <t xml:space="preserve"> Wilbur School District 200 </t>
  </si>
  <si>
    <t>22200</t>
  </si>
  <si>
    <t xml:space="preserve"> Willapa Valley School District 160 </t>
  </si>
  <si>
    <t>25160</t>
  </si>
  <si>
    <t xml:space="preserve"> Wilson Creek School District 167 </t>
  </si>
  <si>
    <t>13167</t>
  </si>
  <si>
    <t xml:space="preserve"> Winlock School District 232 </t>
  </si>
  <si>
    <t>21232</t>
  </si>
  <si>
    <t xml:space="preserve"> Wishkah Valley School District 117 </t>
  </si>
  <si>
    <t>14117</t>
  </si>
  <si>
    <t xml:space="preserve"> Wishram School District 094 </t>
  </si>
  <si>
    <t>20094</t>
  </si>
  <si>
    <t xml:space="preserve"> Woodland School District 404 </t>
  </si>
  <si>
    <t>08404</t>
  </si>
  <si>
    <t xml:space="preserve"> Yakima School District 007 </t>
  </si>
  <si>
    <t>39007</t>
  </si>
  <si>
    <t xml:space="preserve"> Yelm School District 002 </t>
  </si>
  <si>
    <t>34002</t>
  </si>
  <si>
    <t xml:space="preserve"> Zillah School District 205 </t>
  </si>
  <si>
    <t>39205</t>
  </si>
  <si>
    <t>Grand Total</t>
  </si>
  <si>
    <t>PERS 1 Comp</t>
  </si>
  <si>
    <t>SERS 2/3 Comp</t>
  </si>
  <si>
    <t>TRS 1 Comp</t>
  </si>
  <si>
    <t>TRS 2/3 Comp</t>
  </si>
  <si>
    <t>PERS 1</t>
  </si>
  <si>
    <t>SERS 2/3</t>
  </si>
  <si>
    <t>TRS 1</t>
  </si>
  <si>
    <t>TRS 2/3</t>
  </si>
  <si>
    <t>School District &amp; ESD totals with Plan totals.</t>
  </si>
  <si>
    <t>2014 PEFI</t>
  </si>
  <si>
    <t>new excel file</t>
  </si>
  <si>
    <t>Contributions</t>
  </si>
  <si>
    <t xml:space="preserve">TAB </t>
  </si>
  <si>
    <t>p1</t>
  </si>
  <si>
    <t>e23</t>
  </si>
  <si>
    <t>Alloc Totals</t>
  </si>
  <si>
    <t>t1</t>
  </si>
  <si>
    <t>t23</t>
  </si>
  <si>
    <r>
      <t xml:space="preserve"> </t>
    </r>
    <r>
      <rPr>
        <sz val="10"/>
        <color indexed="8"/>
        <rFont val="Calibri"/>
        <family val="2"/>
        <scheme val="minor"/>
      </rPr>
      <t xml:space="preserve">Total State of Washington and All Other Employers — Employer Allocations </t>
    </r>
    <r>
      <rPr>
        <sz val="10"/>
        <rFont val="Calibri"/>
        <family val="2"/>
        <scheme val="minor"/>
      </rPr>
      <t xml:space="preserve"> </t>
    </r>
  </si>
  <si>
    <r>
      <t xml:space="preserve"> </t>
    </r>
    <r>
      <rPr>
        <sz val="10"/>
        <color indexed="8"/>
        <rFont val="Calibri"/>
        <family val="2"/>
        <scheme val="minor"/>
      </rPr>
      <t xml:space="preserve">Total State of Washington and All Other Employers — Plan 1 UAAL </t>
    </r>
    <r>
      <rPr>
        <sz val="10"/>
        <rFont val="Calibri"/>
        <family val="2"/>
        <scheme val="minor"/>
      </rPr>
      <t xml:space="preserve"> </t>
    </r>
  </si>
  <si>
    <r>
      <t xml:space="preserve"> </t>
    </r>
    <r>
      <rPr>
        <b/>
        <sz val="10"/>
        <color indexed="8"/>
        <rFont val="Calibri"/>
        <family val="2"/>
        <scheme val="minor"/>
      </rPr>
      <t xml:space="preserve">Grand Total Plan 1 Employer Contributions and Plan 1 UAAL </t>
    </r>
    <r>
      <rPr>
        <sz val="10"/>
        <rFont val="Calibri"/>
        <family val="2"/>
        <scheme val="minor"/>
      </rPr>
      <t xml:space="preserve"> </t>
    </r>
  </si>
  <si>
    <r>
      <t xml:space="preserve"> </t>
    </r>
    <r>
      <rPr>
        <b/>
        <sz val="10"/>
        <color indexed="8"/>
        <rFont val="Calibri"/>
        <family val="2"/>
        <scheme val="minor"/>
      </rPr>
      <t xml:space="preserve">Grand Total All Employers — Employer Allocations </t>
    </r>
    <r>
      <rPr>
        <sz val="10"/>
        <rFont val="Calibri"/>
        <family val="2"/>
        <scheme val="minor"/>
      </rPr>
      <t xml:space="preserve"> </t>
    </r>
  </si>
  <si>
    <r>
      <t xml:space="preserve"> </t>
    </r>
    <r>
      <rPr>
        <b/>
        <sz val="10"/>
        <color indexed="8"/>
        <rFont val="Calibri"/>
        <family val="2"/>
        <scheme val="minor"/>
      </rPr>
      <t xml:space="preserve">Grand Total State of Washington and All Other Employers — Employer Allocations </t>
    </r>
    <r>
      <rPr>
        <sz val="10"/>
        <rFont val="Calibri"/>
        <family val="2"/>
        <scheme val="minor"/>
      </rPr>
      <t xml:space="preserve"> </t>
    </r>
  </si>
  <si>
    <t>Basic Elements of the Pension Plans</t>
  </si>
  <si>
    <t>Total Plan Contributions</t>
  </si>
  <si>
    <t>District’s Annual Contributions</t>
  </si>
  <si>
    <t>Employer Allocation Percentage</t>
  </si>
  <si>
    <t>Proportionate Share of the  Net Pension Liability</t>
  </si>
  <si>
    <t>Totals</t>
  </si>
  <si>
    <t>Data as presented by DRS in excel file for use in 2015 PEFI</t>
  </si>
  <si>
    <r>
      <rPr>
        <b/>
        <sz val="12"/>
        <color theme="1"/>
        <rFont val="Calibri"/>
        <family val="2"/>
        <scheme val="minor"/>
      </rPr>
      <t>Data Format</t>
    </r>
    <r>
      <rPr>
        <sz val="11"/>
        <color theme="1"/>
        <rFont val="Calibri"/>
        <family val="2"/>
        <scheme val="minor"/>
      </rPr>
      <t xml:space="preserve"> as presented on 2014 PEFI</t>
    </r>
  </si>
  <si>
    <t xml:space="preserve">DATA NOT provided in the 2014 DRS PEFI </t>
  </si>
  <si>
    <r>
      <t xml:space="preserve"> </t>
    </r>
    <r>
      <rPr>
        <b/>
        <sz val="10"/>
        <color indexed="8"/>
        <rFont val="Calibri"/>
        <family val="2"/>
        <scheme val="minor"/>
      </rPr>
      <t xml:space="preserve">Grand Total Employer Contributions  </t>
    </r>
    <r>
      <rPr>
        <sz val="10"/>
        <rFont val="Calibri"/>
        <family val="2"/>
        <scheme val="minor"/>
      </rPr>
      <t xml:space="preserve"> </t>
    </r>
  </si>
  <si>
    <t xml:space="preserve">District’s Reportable Compensation </t>
  </si>
  <si>
    <t>PERS1</t>
  </si>
  <si>
    <t>SERS2/3</t>
  </si>
  <si>
    <t>Amount Increased</t>
  </si>
  <si>
    <t>Amount Decreased</t>
  </si>
  <si>
    <t>Net Pension Liabilities SERS 2/3</t>
  </si>
  <si>
    <t>Net Pension Liabilities TRS 1</t>
  </si>
  <si>
    <t>Net Pension Liabilities TRS 2/3</t>
  </si>
  <si>
    <t>Beginning Liability</t>
  </si>
  <si>
    <t>Schedule of Total Employer Contributions, by Plan, by Year</t>
  </si>
  <si>
    <t>Schedule of Employer Reportable Compensation, by Plan</t>
  </si>
  <si>
    <t>C</t>
  </si>
  <si>
    <t>D</t>
  </si>
  <si>
    <t>E</t>
  </si>
  <si>
    <t>F</t>
  </si>
  <si>
    <t>TABLE 1 – Pension Census Data for School Districts and ESDs</t>
  </si>
  <si>
    <t>TABLE 2 – Pension Contribution Rates for School Districts and ESDs</t>
  </si>
  <si>
    <t>Source: Washington State Office of the State Actuary</t>
  </si>
  <si>
    <t xml:space="preserve">Source: State of Washington Department of Retirement Systems </t>
  </si>
  <si>
    <t>Membership</t>
  </si>
  <si>
    <t>Pension Rates</t>
  </si>
  <si>
    <t>Plan</t>
  </si>
  <si>
    <t>Plan totals not used</t>
  </si>
  <si>
    <t>SERS 2</t>
  </si>
  <si>
    <t>Member Contribution Rate</t>
  </si>
  <si>
    <t>SERS 3</t>
  </si>
  <si>
    <t>Employer Contribution Rate</t>
  </si>
  <si>
    <t>TRS 2</t>
  </si>
  <si>
    <t>TRS 3</t>
  </si>
  <si>
    <t>*</t>
  </si>
  <si>
    <t>**</t>
  </si>
  <si>
    <t>Note:  The DRS administrative rate of .0018  is included in the employer rate.</t>
  </si>
  <si>
    <t>* = Variable from 5% to 15% based on rate selected by the member.</t>
  </si>
  <si>
    <t>** = Defined benefit portion only.</t>
  </si>
  <si>
    <t>Current year proportionate share of the Net Pension Liability</t>
  </si>
  <si>
    <t>Prior year proportionate share of the Net Pension Liability</t>
  </si>
  <si>
    <t>Net difference percentage</t>
  </si>
  <si>
    <t>Sensitivity of the net pension liability to changes in the discount rate:</t>
  </si>
  <si>
    <t xml:space="preserve">Participating Plans for TRS, PERS, and SERS  </t>
  </si>
  <si>
    <t>%NPL</t>
  </si>
  <si>
    <t>District’s PERS1</t>
  </si>
  <si>
    <t>District’s SERS2/3</t>
  </si>
  <si>
    <t>TRS1</t>
  </si>
  <si>
    <t xml:space="preserve">District’s TRS1 </t>
  </si>
  <si>
    <t>TRS2/3</t>
  </si>
  <si>
    <t xml:space="preserve">District’s TRS2/3 </t>
  </si>
  <si>
    <t xml:space="preserve">A school district is solely responsible for its financial statements and in evaluating the district-specific pension information presented.  </t>
  </si>
  <si>
    <t>Net Pension Liabilities PERS 1</t>
  </si>
  <si>
    <t>PERS 2/3</t>
  </si>
  <si>
    <t>WSIPC ONLY</t>
  </si>
  <si>
    <t>Include in the Schedule of Long-Term Liabilities:</t>
  </si>
  <si>
    <t>Proportionate share of the Net Pension Liabilities, by plan:</t>
  </si>
  <si>
    <t>Ending Liability</t>
  </si>
  <si>
    <t>The tables below present district-specific pension information to be included in the pension note to the financial statements. The values should be reviewed for accuracy.</t>
  </si>
  <si>
    <t xml:space="preserve">The District's Proportionate Share of the Net Pension Liability (NPL) </t>
  </si>
  <si>
    <t>for its proportionate shares of the individual plans’ collective net pension liability. The district's proportionate share of the collective net pension liability is based on annual contributions for each of the employers participating in the DRS administered plans . The District’s proportionate share of each plan’s collective net pension liability is reported below: </t>
  </si>
  <si>
    <t>WSIPC only</t>
  </si>
  <si>
    <t>totals</t>
  </si>
  <si>
    <t>Allocation percentages</t>
  </si>
  <si>
    <t>Net Pension Liabilities PERS 2/3</t>
  </si>
  <si>
    <t>The District's Sensitivity of the Net Pension Liability to changes in the Discount Rate</t>
  </si>
  <si>
    <t xml:space="preserve">District’s PERS2/3 </t>
  </si>
  <si>
    <t>PERS 2/3 Comp</t>
  </si>
  <si>
    <t>P1</t>
  </si>
  <si>
    <t>Basic Elements of Pension Plans</t>
  </si>
  <si>
    <t>This tool is provided for district use to report on Pension data in compliance with GASBS 68, Accounting and Financial Reporting for Pensions.</t>
  </si>
  <si>
    <r>
      <rPr>
        <b/>
        <sz val="11"/>
        <color theme="1"/>
        <rFont val="Calibri"/>
        <family val="2"/>
        <scheme val="minor"/>
      </rPr>
      <t>Total Plan Contributions</t>
    </r>
    <r>
      <rPr>
        <sz val="11"/>
        <color theme="1"/>
        <rFont val="Calibri"/>
        <family val="2"/>
        <scheme val="minor"/>
      </rPr>
      <t xml:space="preserve">: This is obtained from the DRS PEFI. A PRT worksheet compiles annual PEFI Contribution information.  Embedded in the PRT is a worksheet TAB containing "Total Contributions". This worksheet is designed to incorporate future year amounts into the worksheet for Full-Accrual CAFR districts. </t>
    </r>
  </si>
  <si>
    <r>
      <rPr>
        <b/>
        <sz val="11"/>
        <color theme="1"/>
        <rFont val="Calibri"/>
        <family val="2"/>
        <scheme val="minor"/>
      </rPr>
      <t xml:space="preserve">Employer Allocation Percentage: </t>
    </r>
    <r>
      <rPr>
        <sz val="11"/>
        <color theme="1"/>
        <rFont val="Calibri"/>
        <family val="2"/>
        <scheme val="minor"/>
      </rPr>
      <t xml:space="preserve"> This information is obtained from DRS at the close of the Plan fiscal year and it is also included in the PEFI. The allocation percentage divides the district's contributions by the total plan contributions. This allocation percentage is used to calculate employer proportionate shares of the Plan's Net Pension Liability and is used to determine employer-specific factors used to reconcile the liability from beginning to ending amounts. </t>
    </r>
  </si>
  <si>
    <r>
      <rPr>
        <b/>
        <sz val="11"/>
        <color theme="1"/>
        <rFont val="Calibri"/>
        <family val="2"/>
        <scheme val="minor"/>
      </rPr>
      <t>District's Reportable Compensation</t>
    </r>
    <r>
      <rPr>
        <sz val="11"/>
        <color theme="1"/>
        <rFont val="Calibri"/>
        <family val="2"/>
        <scheme val="minor"/>
      </rPr>
      <t xml:space="preserve">: This information is obtained from DRS at the close of the Plan fiscal year. </t>
    </r>
  </si>
  <si>
    <t>Aberdeen School District 005</t>
  </si>
  <si>
    <t>Adna School District 226</t>
  </si>
  <si>
    <t>Almira School District 017</t>
  </si>
  <si>
    <t>Anacortes School District 103</t>
  </si>
  <si>
    <t>Arlington School District 016</t>
  </si>
  <si>
    <t>Asotin-Anatone School District 420</t>
  </si>
  <si>
    <t>Auburn School District 408</t>
  </si>
  <si>
    <t>Bainbridge Island School District 303</t>
  </si>
  <si>
    <t>Battle Ground School District 119</t>
  </si>
  <si>
    <t>Bellevue School District 405</t>
  </si>
  <si>
    <t>Bellingham School District 501</t>
  </si>
  <si>
    <t>Benge School District 122</t>
  </si>
  <si>
    <t>Bethel School District 403</t>
  </si>
  <si>
    <t>Bickleton School District 203</t>
  </si>
  <si>
    <t>Blaine School District 503</t>
  </si>
  <si>
    <t>Boistfort School District 234</t>
  </si>
  <si>
    <t>Bremerton School District 100</t>
  </si>
  <si>
    <t>Brewster School District 111</t>
  </si>
  <si>
    <t>Bridgeport School District 075</t>
  </si>
  <si>
    <t>Brinnon School District 046</t>
  </si>
  <si>
    <t>Burlington-Edison School District 100</t>
  </si>
  <si>
    <t>Camas School District 117</t>
  </si>
  <si>
    <t>Cape Flattery School District 401</t>
  </si>
  <si>
    <t>Carbonado Historical School District 019</t>
  </si>
  <si>
    <t>Cascade School District 228</t>
  </si>
  <si>
    <t>Cashmere School District 222</t>
  </si>
  <si>
    <t>Castle Rock School District 401</t>
  </si>
  <si>
    <t>Centerville School District 215</t>
  </si>
  <si>
    <t>Central Kitsap School District 401</t>
  </si>
  <si>
    <t>Central Valley School District 356</t>
  </si>
  <si>
    <t>Centralia School District 401</t>
  </si>
  <si>
    <t>Chehalis School District 302</t>
  </si>
  <si>
    <t>Cheney School District 360</t>
  </si>
  <si>
    <t>Chewelah School District 036</t>
  </si>
  <si>
    <t>Chimacum School District 049</t>
  </si>
  <si>
    <t>Clarkston School District 250</t>
  </si>
  <si>
    <t>Cle Elum-Roslyn School District 404</t>
  </si>
  <si>
    <t>Clover Park School District 400</t>
  </si>
  <si>
    <t>Colfax School District 300</t>
  </si>
  <si>
    <t>College Place School District 250</t>
  </si>
  <si>
    <t>Colton School District 306</t>
  </si>
  <si>
    <t>Columbia School District 206</t>
  </si>
  <si>
    <t>Columbia School District 400</t>
  </si>
  <si>
    <t>Colville School District 115</t>
  </si>
  <si>
    <t>Concrete School District 011</t>
  </si>
  <si>
    <t>Conway School District 317</t>
  </si>
  <si>
    <t>Cosmopolis School District 099</t>
  </si>
  <si>
    <t>Coulee Hartline School District 151</t>
  </si>
  <si>
    <t>Coupeville School District 204</t>
  </si>
  <si>
    <t>Crescent School District 313</t>
  </si>
  <si>
    <t>Creston School District 073</t>
  </si>
  <si>
    <t>Curlew School District 050</t>
  </si>
  <si>
    <t>Cusick School District 059</t>
  </si>
  <si>
    <t>Damman School District 007</t>
  </si>
  <si>
    <t>Darrington School District 330</t>
  </si>
  <si>
    <t>Davenport School District 207</t>
  </si>
  <si>
    <t>Dayton School District 002</t>
  </si>
  <si>
    <t>Deer Park School District 414</t>
  </si>
  <si>
    <t>Dieringer School District 343</t>
  </si>
  <si>
    <t>Dixie School District 101</t>
  </si>
  <si>
    <t>East Valley School District 361</t>
  </si>
  <si>
    <t>Eastmont School District 206</t>
  </si>
  <si>
    <t>Easton School District 028</t>
  </si>
  <si>
    <t>Eatonville School District 404</t>
  </si>
  <si>
    <t>Edmonds School District 015</t>
  </si>
  <si>
    <t>Northeast WA Educational Service District 101</t>
  </si>
  <si>
    <t>Educational Service District 105</t>
  </si>
  <si>
    <t>Educational Service District 112</t>
  </si>
  <si>
    <t>Educational Service District 113</t>
  </si>
  <si>
    <t>Educational Service District 123</t>
  </si>
  <si>
    <t>Ellensburg School District 401</t>
  </si>
  <si>
    <t>Elma School District 068</t>
  </si>
  <si>
    <t>Endicott School District 308</t>
  </si>
  <si>
    <t>Entiat School District 127</t>
  </si>
  <si>
    <t>Enumclaw School District 216</t>
  </si>
  <si>
    <t>Ephrata School District 165</t>
  </si>
  <si>
    <t>Evaline School District 036</t>
  </si>
  <si>
    <t>Everett School District 002</t>
  </si>
  <si>
    <t>Evergreen School District 114</t>
  </si>
  <si>
    <t>Evergreen School District 205</t>
  </si>
  <si>
    <t>Federal Way School District 210</t>
  </si>
  <si>
    <t>Fife School District 417</t>
  </si>
  <si>
    <t>Finley School District 053</t>
  </si>
  <si>
    <t>Franklin Pierce School District 402</t>
  </si>
  <si>
    <t>Freeman School District 358</t>
  </si>
  <si>
    <t>Garfield School District 302</t>
  </si>
  <si>
    <t>Glenwood School District 401</t>
  </si>
  <si>
    <t>Goldendale School District 404</t>
  </si>
  <si>
    <t>Grand Coulee Dam School District 301</t>
  </si>
  <si>
    <t>Grandview School District 200</t>
  </si>
  <si>
    <t>Granger School District 204</t>
  </si>
  <si>
    <t>Granite Falls School District 332</t>
  </si>
  <si>
    <t>Grapeview School District 054</t>
  </si>
  <si>
    <t>Great Northern School District 312</t>
  </si>
  <si>
    <t>Green Mountain School District 103</t>
  </si>
  <si>
    <t>Griffin School District 324</t>
  </si>
  <si>
    <t>Harrington School District 204</t>
  </si>
  <si>
    <t>Highland School District 203</t>
  </si>
  <si>
    <t>Highline School District 401</t>
  </si>
  <si>
    <t>Hockinson School District 098</t>
  </si>
  <si>
    <t>Hood Canal School District 404</t>
  </si>
  <si>
    <t>Hoquiam School District 028</t>
  </si>
  <si>
    <t>Inchelium School District 070</t>
  </si>
  <si>
    <t>Index School District 063</t>
  </si>
  <si>
    <t>Issaquah School District 411</t>
  </si>
  <si>
    <t>Kahlotus School District 056</t>
  </si>
  <si>
    <t>Kalama School District 402</t>
  </si>
  <si>
    <t>Keller School District 003</t>
  </si>
  <si>
    <t>Kelso School District 458</t>
  </si>
  <si>
    <t>Kennewick School District 017</t>
  </si>
  <si>
    <t>Kent School District 415</t>
  </si>
  <si>
    <t>Kettle Falls School District 212</t>
  </si>
  <si>
    <t>Kiona-Benton City School District 052</t>
  </si>
  <si>
    <t>Kittitas School District 403</t>
  </si>
  <si>
    <t>Klickitat School District 402</t>
  </si>
  <si>
    <t>La Center School District 101</t>
  </si>
  <si>
    <t>La Conner School District 311</t>
  </si>
  <si>
    <t>Lake Chelan School District 129</t>
  </si>
  <si>
    <t>Lake Stevens School District 004</t>
  </si>
  <si>
    <t>Lake Washington School District 414</t>
  </si>
  <si>
    <t>Lakewood School District 306</t>
  </si>
  <si>
    <t>Lamont School District 264</t>
  </si>
  <si>
    <t>Liberty School District 362</t>
  </si>
  <si>
    <t>Lind School District 158</t>
  </si>
  <si>
    <t>Longview School District 122</t>
  </si>
  <si>
    <t>Loon Lake School District 183</t>
  </si>
  <si>
    <t>Lopez Island School District 144</t>
  </si>
  <si>
    <t>Lyle School District 406</t>
  </si>
  <si>
    <t>Lynden School District 504</t>
  </si>
  <si>
    <t>Mabton School District 120</t>
  </si>
  <si>
    <t>Mansfield School District 207</t>
  </si>
  <si>
    <t>Manson School District 019</t>
  </si>
  <si>
    <t>Mary M. Knight School District 311</t>
  </si>
  <si>
    <t>Mary Walker School District 207</t>
  </si>
  <si>
    <t>Marysville School District 025</t>
  </si>
  <si>
    <t>McCleary School District 065</t>
  </si>
  <si>
    <t>Mead School District 354</t>
  </si>
  <si>
    <t>Medical Lake School District 326</t>
  </si>
  <si>
    <t>Mercer Island School District 400</t>
  </si>
  <si>
    <t>Meridian School District 505</t>
  </si>
  <si>
    <t>Methow Valley School District 350</t>
  </si>
  <si>
    <t>Mill A School District 031</t>
  </si>
  <si>
    <t>Monroe School District 103</t>
  </si>
  <si>
    <t>Montesano School District 066</t>
  </si>
  <si>
    <t>Morton School District 214</t>
  </si>
  <si>
    <t>Moses Lake School District 161</t>
  </si>
  <si>
    <t>Mossyrock School District 206</t>
  </si>
  <si>
    <t>Mount Adams School District 209</t>
  </si>
  <si>
    <t>Mount Baker School District 507</t>
  </si>
  <si>
    <t>Mount Pleasant School District 029-93</t>
  </si>
  <si>
    <t>Mount Vernon School District 320</t>
  </si>
  <si>
    <t>East Valley School District 090</t>
  </si>
  <si>
    <t>Mukilteo School District 006</t>
  </si>
  <si>
    <t>Naches Valley School District 003</t>
  </si>
  <si>
    <t>Napavine School District 014</t>
  </si>
  <si>
    <t>Nespelem School District 014</t>
  </si>
  <si>
    <t>Newport School District 056-415</t>
  </si>
  <si>
    <t>Nine Mile Falls School District 325</t>
  </si>
  <si>
    <t>North River School District 200</t>
  </si>
  <si>
    <t>Nooksack Valley School District 506</t>
  </si>
  <si>
    <t>North Beach School District 064</t>
  </si>
  <si>
    <t>North Franklin School District 051</t>
  </si>
  <si>
    <t>North Kitsap School District 400</t>
  </si>
  <si>
    <t>North Mason School District 403</t>
  </si>
  <si>
    <t>Northport School District 211</t>
  </si>
  <si>
    <t>Northshore School District 417</t>
  </si>
  <si>
    <t>Oak Harbor School District 201</t>
  </si>
  <si>
    <t>Oakesdale School District 324</t>
  </si>
  <si>
    <t>Oakville School District 400</t>
  </si>
  <si>
    <t>Ocean Beach School District 101</t>
  </si>
  <si>
    <t>Ocosta School District 172</t>
  </si>
  <si>
    <t>Odessa School District 105</t>
  </si>
  <si>
    <t>Okanogan School District 105</t>
  </si>
  <si>
    <t>Olympia School District 111</t>
  </si>
  <si>
    <t>Omak School District 019</t>
  </si>
  <si>
    <t>Onalaska School District 300</t>
  </si>
  <si>
    <t>Onion Creek School District 030</t>
  </si>
  <si>
    <t>Orcas Island School District 137</t>
  </si>
  <si>
    <t>Orchard Prairie School District 123</t>
  </si>
  <si>
    <t>Orient School District 065</t>
  </si>
  <si>
    <t>Orondo School District 013</t>
  </si>
  <si>
    <t>Oroville School District 410</t>
  </si>
  <si>
    <t>Orting School District 344</t>
  </si>
  <si>
    <t>Othello School District 147</t>
  </si>
  <si>
    <t>Palisades School District 102</t>
  </si>
  <si>
    <t>Palouse School District 301</t>
  </si>
  <si>
    <t>Pasco School District 001</t>
  </si>
  <si>
    <t>Pateros School District 122</t>
  </si>
  <si>
    <t>Paterson School District 050</t>
  </si>
  <si>
    <t>Pe Ell School District 301</t>
  </si>
  <si>
    <t>Peninsula School District 401</t>
  </si>
  <si>
    <t>Pioneer School District 402</t>
  </si>
  <si>
    <t>Pomeroy School District 110</t>
  </si>
  <si>
    <t>Port Angeles School District 121</t>
  </si>
  <si>
    <t>Port Townsend School District 050</t>
  </si>
  <si>
    <t>Prescott School District 402</t>
  </si>
  <si>
    <t>Prosser School District 116</t>
  </si>
  <si>
    <t>Pullman School District 267</t>
  </si>
  <si>
    <t>Puyallup School District 003</t>
  </si>
  <si>
    <t>Queets-Clearwater School District 020</t>
  </si>
  <si>
    <t>Quilcene School District 048</t>
  </si>
  <si>
    <t>Quillayute School District 402</t>
  </si>
  <si>
    <t>Quinault Lake School District 097</t>
  </si>
  <si>
    <t>Quincy School District 144</t>
  </si>
  <si>
    <t>Rainier School District 307</t>
  </si>
  <si>
    <t>Raymond School District 116</t>
  </si>
  <si>
    <t>Reardan-Edwall School District 009</t>
  </si>
  <si>
    <t>Renton School District 403</t>
  </si>
  <si>
    <t>Republic School District 309</t>
  </si>
  <si>
    <t>Richland School District 400</t>
  </si>
  <si>
    <t>Ridgefield School District 122</t>
  </si>
  <si>
    <t>Ritzville School District 160</t>
  </si>
  <si>
    <t>Riverside School District 416</t>
  </si>
  <si>
    <t>Riverview School District 407</t>
  </si>
  <si>
    <t>Rochester School District 401</t>
  </si>
  <si>
    <t>Roosevelt School District 403</t>
  </si>
  <si>
    <t>Rosalia School District 320</t>
  </si>
  <si>
    <t>Royal School District 160</t>
  </si>
  <si>
    <t>San Juan Island School District 149</t>
  </si>
  <si>
    <t>Satsop School District 104</t>
  </si>
  <si>
    <t>Seattle School District 001</t>
  </si>
  <si>
    <t>Sedro-Woolley School District 101</t>
  </si>
  <si>
    <t>Selah School District 119</t>
  </si>
  <si>
    <t>Selkirk School District 070</t>
  </si>
  <si>
    <t>Sequim School District 323</t>
  </si>
  <si>
    <t>Shaw Island School District 010</t>
  </si>
  <si>
    <t>Shelton School District 309</t>
  </si>
  <si>
    <t>Shoreline School District 412</t>
  </si>
  <si>
    <t>Skamania School District 002</t>
  </si>
  <si>
    <t>Skykomish School District 404</t>
  </si>
  <si>
    <t>Snohomish School District 201</t>
  </si>
  <si>
    <t>Snoqualmie Valley School District 410</t>
  </si>
  <si>
    <t>South Whidbey School District 206</t>
  </si>
  <si>
    <t>Soap Lake School District 156</t>
  </si>
  <si>
    <t>South Bend School District 118</t>
  </si>
  <si>
    <t>Tukwila School District 406</t>
  </si>
  <si>
    <t>South Kitsap School District 402</t>
  </si>
  <si>
    <t>Southside School District 042</t>
  </si>
  <si>
    <t>Sprague School District 008</t>
  </si>
  <si>
    <t>Saint John School District 322</t>
  </si>
  <si>
    <t>Star School District 054</t>
  </si>
  <si>
    <t>Starbuck School District 035</t>
  </si>
  <si>
    <t>Steilacoom Historical School District 001</t>
  </si>
  <si>
    <t>Steptoe School District 304</t>
  </si>
  <si>
    <t>Stevenson-Carson School District 303</t>
  </si>
  <si>
    <t>Sultan School District 311</t>
  </si>
  <si>
    <t>Summit Valley School District 202</t>
  </si>
  <si>
    <t>Sunnyside School District 201</t>
  </si>
  <si>
    <t>Tacoma School District 010</t>
  </si>
  <si>
    <t>Taholah School District 077</t>
  </si>
  <si>
    <t>Tahoma School District 409</t>
  </si>
  <si>
    <t>Tekoa School District 265</t>
  </si>
  <si>
    <t>Tenino School District 402</t>
  </si>
  <si>
    <t>Thorp School District 400</t>
  </si>
  <si>
    <t>Toledo School District 237</t>
  </si>
  <si>
    <t>Tonasket School District 404</t>
  </si>
  <si>
    <t>Toppenish School District 202</t>
  </si>
  <si>
    <t>Touchet School District 300</t>
  </si>
  <si>
    <t>Toutle Lake School District 130</t>
  </si>
  <si>
    <t>Trout Lake School District 400</t>
  </si>
  <si>
    <t>Tumwater School District 033</t>
  </si>
  <si>
    <t>Union Gap School District 002</t>
  </si>
  <si>
    <t>University Place School District 083</t>
  </si>
  <si>
    <t>Valley School District 070</t>
  </si>
  <si>
    <t>Vancouver School District 037</t>
  </si>
  <si>
    <t>Vashon Island School District 402</t>
  </si>
  <si>
    <t>Wahkiakum School District 200</t>
  </si>
  <si>
    <t>Wahluke School District 073</t>
  </si>
  <si>
    <t>Waitsburg School District 401</t>
  </si>
  <si>
    <t>Walla Walla School District 140</t>
  </si>
  <si>
    <t>Wapato School District 207</t>
  </si>
  <si>
    <t>Warden Joint Consolidated School District 146-161</t>
  </si>
  <si>
    <t>Washougal School District 112-6</t>
  </si>
  <si>
    <t>Washtucna School District 109</t>
  </si>
  <si>
    <t>Waterville School District 209</t>
  </si>
  <si>
    <t>Wellpinit School District 049</t>
  </si>
  <si>
    <t>Wenatchee School District 246</t>
  </si>
  <si>
    <t>West Valley School District 208</t>
  </si>
  <si>
    <t>West Valley School District 363</t>
  </si>
  <si>
    <t>White Pass School District 303</t>
  </si>
  <si>
    <t>White River School District 416</t>
  </si>
  <si>
    <t>White Salmon School District 405</t>
  </si>
  <si>
    <t>Wilbur School District 200</t>
  </si>
  <si>
    <t>Willapa Valley School District 160</t>
  </si>
  <si>
    <t>Wilson Creek School District 167</t>
  </si>
  <si>
    <t>Winlock School District 232</t>
  </si>
  <si>
    <t>Wishkah Valley School District 117</t>
  </si>
  <si>
    <t>Wishram School District 094</t>
  </si>
  <si>
    <t>Woodland School District 404</t>
  </si>
  <si>
    <t>Yakima School District 007</t>
  </si>
  <si>
    <t>Yelm School District 002</t>
  </si>
  <si>
    <t>Zillah School District 205</t>
  </si>
  <si>
    <t>Rainier Prep</t>
  </si>
  <si>
    <t>Green Dot Public Schools</t>
  </si>
  <si>
    <t>Spokane International Academy</t>
  </si>
  <si>
    <t>Summit Public Schools</t>
  </si>
  <si>
    <t>E2/E3</t>
  </si>
  <si>
    <t>T1</t>
  </si>
  <si>
    <t>Stehekin School District 069</t>
  </si>
  <si>
    <t>Pride Prep Schools</t>
  </si>
  <si>
    <t xml:space="preserve"> Green Dot Public Schools</t>
  </si>
  <si>
    <t xml:space="preserve"> Rainier Prep</t>
  </si>
  <si>
    <t xml:space="preserve"> SOAR Academy</t>
  </si>
  <si>
    <t xml:space="preserve"> Spokane International Academy</t>
  </si>
  <si>
    <t xml:space="preserve"> Summit Public Schools</t>
  </si>
  <si>
    <t xml:space="preserve"> WSIPC</t>
  </si>
  <si>
    <t xml:space="preserve"> Pride Prep Schools</t>
  </si>
  <si>
    <t>DRS #</t>
  </si>
  <si>
    <t>000</t>
  </si>
  <si>
    <t>T2/T3</t>
  </si>
  <si>
    <t>Sum of Compensation</t>
  </si>
  <si>
    <t>Sum of RTW/SUB Comp</t>
  </si>
  <si>
    <t>Sum of Mbr Contr</t>
  </si>
  <si>
    <t>Sum of Admin Fee</t>
  </si>
  <si>
    <t>Sum of Other Empr Contr</t>
  </si>
  <si>
    <t>Sum of Other Admin Fee</t>
  </si>
  <si>
    <t>Sum of Total Amt</t>
  </si>
  <si>
    <t>Total Sum of Admin Fee</t>
  </si>
  <si>
    <t>Total Sum of Other Empr Contr</t>
  </si>
  <si>
    <t>Total Sum of Other Admin Fee</t>
  </si>
  <si>
    <t>Total Sum of Total Amt</t>
  </si>
  <si>
    <t>7/1/16 Rate</t>
  </si>
  <si>
    <t>9/1/16 Rate</t>
  </si>
  <si>
    <t>Pension Total</t>
  </si>
  <si>
    <t>Amt due in one YR: N/A</t>
  </si>
  <si>
    <t>N/A</t>
  </si>
  <si>
    <t>LaCrosse School District 126</t>
  </si>
  <si>
    <t>Stanwood-Camano School District 401</t>
  </si>
  <si>
    <t>17908</t>
  </si>
  <si>
    <t>27904</t>
  </si>
  <si>
    <t>32901</t>
  </si>
  <si>
    <t>17902</t>
  </si>
  <si>
    <t>32907</t>
  </si>
  <si>
    <t>P2/P3</t>
  </si>
  <si>
    <t>Compensation by Plan</t>
  </si>
  <si>
    <t>RTW/SUB Comp by Plan</t>
  </si>
  <si>
    <t>Member Contributions</t>
  </si>
  <si>
    <t>Employer Contributions</t>
  </si>
  <si>
    <t>Employer UAAL Contributions</t>
  </si>
  <si>
    <t xml:space="preserve">Admin Fees to DRS </t>
  </si>
  <si>
    <t>Other Employer Contributions</t>
  </si>
  <si>
    <t>Other Admin Fees to DRS</t>
  </si>
  <si>
    <t>Payments to DRS by Plan</t>
  </si>
  <si>
    <t>check amount</t>
  </si>
  <si>
    <t>2016 Total Contributions pulled from DRS raw PEFI data sent  9/1/16</t>
  </si>
  <si>
    <t>The Pension Total is informational only. Report the pension amounts, by plan, on the Schedule of Long-Term Liabilities.</t>
  </si>
  <si>
    <r>
      <rPr>
        <b/>
        <sz val="11"/>
        <color theme="1"/>
        <rFont val="Calibri"/>
        <family val="2"/>
        <scheme val="minor"/>
      </rPr>
      <t>District's Annual Contributions</t>
    </r>
    <r>
      <rPr>
        <sz val="11"/>
        <color theme="1"/>
        <rFont val="Calibri"/>
        <family val="2"/>
        <scheme val="minor"/>
      </rPr>
      <t xml:space="preserve">: This information is obtained from DRS at the close of the Plan fiscal year and it is also included in the PEFI. The amounts represent the district's annual contributions for the Plan fiscal year ending June 30. Embedded in the PRT, annual contributions files are stored in separate tabs for certain districts needing RSI schedules for Full-Accrual CAFR reporting.   </t>
    </r>
    <r>
      <rPr>
        <b/>
        <sz val="11"/>
        <color theme="1"/>
        <rFont val="Calibri"/>
        <family val="2"/>
        <scheme val="minor"/>
      </rPr>
      <t xml:space="preserve">Districts are encouraged to independently verify the contribution amounts with the tool provided by DRS for this purpose. The DRS tool is located on the DRS website under: eServices Contribution Reconciliation. </t>
    </r>
  </si>
  <si>
    <r>
      <rPr>
        <b/>
        <sz val="11"/>
        <color theme="1"/>
        <rFont val="Calibri"/>
        <family val="2"/>
        <scheme val="minor"/>
      </rPr>
      <t xml:space="preserve">Proportionate Share of the Net Pension Liability: </t>
    </r>
    <r>
      <rPr>
        <sz val="11"/>
        <color theme="1"/>
        <rFont val="Calibri"/>
        <family val="2"/>
        <scheme val="minor"/>
      </rPr>
      <t>This information is the district-specific share of the Pension Plan Net Liability.  The calculation is the Employer's Allocation Percentage multiplied by the Total Pension Plan Net Liability. The amounts represented are transferred to the Schedule of Long-Term Liabilities for annual financial statement (F-196) reporting and recognizes on the balance sheet on Government-wide CAFRS and the ESD F-185 Annual Financial Statements.</t>
    </r>
  </si>
  <si>
    <t xml:space="preserve">Independent Employer Verification </t>
  </si>
  <si>
    <t xml:space="preserve">Timing Challenges to Contribution Verification </t>
  </si>
  <si>
    <t xml:space="preserve"> Quileute Tribal School</t>
  </si>
  <si>
    <t>2017 Total Contributions pulled from DRS raw PEFI data sent  8/23/17</t>
  </si>
  <si>
    <t xml:space="preserve"> Summit: Sierra </t>
  </si>
  <si>
    <t xml:space="preserve"> Green Dot: Excel</t>
  </si>
  <si>
    <t xml:space="preserve"> Green Dot: Destiny</t>
  </si>
  <si>
    <t xml:space="preserve"> Quileute Tribal School </t>
  </si>
  <si>
    <t>WSIPC Only</t>
  </si>
  <si>
    <t>NO SPLIT</t>
  </si>
  <si>
    <t>TRS 1 RTW</t>
  </si>
  <si>
    <t>TRS 2/3 RTW</t>
  </si>
  <si>
    <t>SERS 2/3 RTW</t>
  </si>
  <si>
    <t>PERS 1 RTW</t>
  </si>
  <si>
    <t>PERS 2/3 RTW</t>
  </si>
  <si>
    <t>Employer Contribution</t>
  </si>
  <si>
    <t>UAAL Contributions</t>
  </si>
  <si>
    <t>7/1/17 Rate</t>
  </si>
  <si>
    <t>9/1/17 Rate</t>
  </si>
  <si>
    <t>Active Plan Members</t>
  </si>
  <si>
    <t>Currently Receiving Benefits</t>
  </si>
  <si>
    <t>Inactive Entitled Members</t>
  </si>
  <si>
    <t>good.</t>
  </si>
  <si>
    <t>Quileute Tribal School</t>
  </si>
  <si>
    <t>Spokane School District 081</t>
  </si>
  <si>
    <t>2018 Total Contributions from DRS Prelim "Totals" spreadsheet 8/21/18</t>
  </si>
  <si>
    <t>9/1/18 Rate</t>
  </si>
  <si>
    <t xml:space="preserve"> Sumner – Bonney Lake School District 320 </t>
  </si>
  <si>
    <r>
      <t xml:space="preserve">1% Decrease </t>
    </r>
    <r>
      <rPr>
        <b/>
        <sz val="12"/>
        <color theme="1"/>
        <rFont val="Arial"/>
        <family val="2"/>
      </rPr>
      <t>(6.40%</t>
    </r>
    <r>
      <rPr>
        <sz val="12"/>
        <color theme="1"/>
        <rFont val="Arial"/>
        <family val="2"/>
      </rPr>
      <t>)</t>
    </r>
  </si>
  <si>
    <r>
      <t xml:space="preserve">Current Discount Rate </t>
    </r>
    <r>
      <rPr>
        <b/>
        <sz val="12"/>
        <color theme="1"/>
        <rFont val="Arial"/>
        <family val="2"/>
      </rPr>
      <t>(7.40%)</t>
    </r>
  </si>
  <si>
    <r>
      <t xml:space="preserve">1% Increase </t>
    </r>
    <r>
      <rPr>
        <b/>
        <sz val="12"/>
        <color theme="1"/>
        <rFont val="Arial"/>
        <family val="2"/>
      </rPr>
      <t>(8.40%)</t>
    </r>
  </si>
  <si>
    <t>PERS 2</t>
  </si>
  <si>
    <t>PERS 3</t>
  </si>
  <si>
    <t>DRS Org ID</t>
  </si>
  <si>
    <t>The data below is informational only and not used in the pension note.</t>
  </si>
  <si>
    <t>05903</t>
  </si>
  <si>
    <t>17911</t>
  </si>
  <si>
    <t xml:space="preserve"> Impact Public Schools</t>
  </si>
  <si>
    <t>31801</t>
  </si>
  <si>
    <t>North Central WA Educational Service District 171</t>
  </si>
  <si>
    <t>Puget Sound Educational Service District 121</t>
  </si>
  <si>
    <t>Impact Public Schools</t>
  </si>
  <si>
    <t>Olympic Educational Service District 114</t>
  </si>
  <si>
    <t>Naselle-Grays River Valley School District 155</t>
  </si>
  <si>
    <t>Sumner-Bonney Lake School District 320</t>
  </si>
  <si>
    <t>Northwest Regional Educational Service District 189</t>
  </si>
  <si>
    <t>North Thurston Public Schools 003</t>
  </si>
  <si>
    <t>Willow Public School</t>
  </si>
  <si>
    <t>2019 Total Contributions from DRS Prelim "Totals" spreadsheet 7/26/19</t>
  </si>
  <si>
    <t>for Plan year ending June 2019</t>
  </si>
  <si>
    <t>The latest actuarial valuations for all plans was June 30, 2019.</t>
  </si>
  <si>
    <t>7/1/19Rate</t>
  </si>
  <si>
    <t>Pension contribution rates as of September 1, 2019 for school employees from the Department of Retirement Systems are summarized in the table above. This information should be used in preparing the school districts' pension note.</t>
  </si>
  <si>
    <t>2020 Pension Reporting Tool for the F-196</t>
  </si>
  <si>
    <t>Placeholder set 7/17/20</t>
  </si>
  <si>
    <t>27901</t>
  </si>
  <si>
    <t xml:space="preserve"> Chief Leschi Tribal Compact</t>
  </si>
  <si>
    <t>7/1/20Rate</t>
  </si>
  <si>
    <t>NO UPDATE 7/1/20</t>
  </si>
  <si>
    <t>No change 7/1/20</t>
  </si>
  <si>
    <t>9/1/20 Rate</t>
  </si>
  <si>
    <t>9/1/19 Rate</t>
  </si>
  <si>
    <t xml:space="preserve">At June 30, 2020, the district reported a total liability of </t>
  </si>
  <si>
    <t>At June 30, 2020, the district's percentage of the proportionate share of the collective net pension liability was as follows and in the allocation percentage from the prior period is illustrated below:</t>
  </si>
  <si>
    <t xml:space="preserve">Source: DRS CAFR 6/30/2020 </t>
  </si>
  <si>
    <t>need to change to 2020</t>
  </si>
  <si>
    <t>ready for 2020 updates</t>
  </si>
  <si>
    <t>DRS Employer Webpage</t>
  </si>
  <si>
    <r>
      <t xml:space="preserve">In the worksheet </t>
    </r>
    <r>
      <rPr>
        <b/>
        <u/>
        <sz val="11"/>
        <color theme="1"/>
        <rFont val="Calibri"/>
        <family val="2"/>
        <scheme val="minor"/>
      </rPr>
      <t>2020 PRT</t>
    </r>
    <r>
      <rPr>
        <sz val="11"/>
        <color theme="1"/>
        <rFont val="Calibri"/>
        <family val="2"/>
        <scheme val="minor"/>
      </rPr>
      <t xml:space="preserve">, additional information can be found in the data range A59:G109. This is </t>
    </r>
    <r>
      <rPr>
        <b/>
        <sz val="11"/>
        <color theme="1"/>
        <rFont val="Calibri"/>
        <family val="2"/>
        <scheme val="minor"/>
      </rPr>
      <t xml:space="preserve">summary information only </t>
    </r>
    <r>
      <rPr>
        <sz val="11"/>
        <color theme="1"/>
        <rFont val="Calibri"/>
        <family val="2"/>
        <scheme val="minor"/>
      </rPr>
      <t xml:space="preserve">and the tables illustrated here </t>
    </r>
    <r>
      <rPr>
        <b/>
        <sz val="11"/>
        <color theme="1"/>
        <rFont val="Calibri"/>
        <family val="2"/>
        <scheme val="minor"/>
      </rPr>
      <t>are not included in the Notes to the Financial Statements</t>
    </r>
    <r>
      <rPr>
        <sz val="11"/>
        <color theme="1"/>
        <rFont val="Calibri"/>
        <family val="2"/>
        <scheme val="minor"/>
      </rPr>
      <t>.  The information contained in these Tables is used to populate other Note tables and RSI schedules.</t>
    </r>
  </si>
  <si>
    <r>
      <t xml:space="preserve">The "CCDDD" is the district's "county-district" identification number. The first two digits are the county number, the last three digits are the district's number. All district names with CCDDD numbers are in the worksheet </t>
    </r>
    <r>
      <rPr>
        <b/>
        <sz val="11"/>
        <color theme="1"/>
        <rFont val="Calibri"/>
        <family val="2"/>
        <scheme val="minor"/>
      </rPr>
      <t>CCDDD List</t>
    </r>
    <r>
      <rPr>
        <sz val="11"/>
        <color theme="1"/>
        <rFont val="Calibri"/>
        <family val="2"/>
        <scheme val="minor"/>
      </rPr>
      <t xml:space="preserve">. </t>
    </r>
  </si>
  <si>
    <t>I do not see any changes to pension rates in 2020</t>
  </si>
  <si>
    <t>CHIEF LESCHI SCHOOLS</t>
  </si>
  <si>
    <t>5,7</t>
  </si>
  <si>
    <t>11,13</t>
  </si>
  <si>
    <t>4,6</t>
  </si>
  <si>
    <t>10,12</t>
  </si>
  <si>
    <t>Chief Leschi Tribal Compact</t>
  </si>
  <si>
    <t xml:space="preserve">2020 Total Contributions from DRS Prelim "Totals" spreadsheet 7/28/2020 </t>
  </si>
  <si>
    <t>Net Pension Liability figures are not yet available to create the Pension Reporting Tool.</t>
  </si>
  <si>
    <r>
      <t xml:space="preserve">The School District Business Official will need to provide </t>
    </r>
    <r>
      <rPr>
        <b/>
        <i/>
        <sz val="11"/>
        <color rgb="FF000000"/>
        <rFont val="Segoe UI"/>
        <family val="2"/>
      </rPr>
      <t>assurance</t>
    </r>
    <r>
      <rPr>
        <sz val="11"/>
        <color rgb="FF000000"/>
        <rFont val="Segoe UI"/>
        <family val="2"/>
      </rPr>
      <t xml:space="preserve"> that district-specific annual contribution amounts presented in DRS-provided schedules are </t>
    </r>
    <r>
      <rPr>
        <b/>
        <i/>
        <sz val="11"/>
        <color rgb="FF000000"/>
        <rFont val="Segoe UI"/>
        <family val="2"/>
      </rPr>
      <t>reasonably</t>
    </r>
    <r>
      <rPr>
        <sz val="11"/>
        <color rgb="FF000000"/>
        <rFont val="Segoe UI"/>
        <family val="2"/>
      </rPr>
      <t xml:space="preserve"> accurate.  </t>
    </r>
  </si>
  <si>
    <r>
      <t xml:space="preserve">Focus your reconciliation on the </t>
    </r>
    <r>
      <rPr>
        <b/>
        <u/>
        <sz val="14"/>
        <color rgb="FFC00000"/>
        <rFont val="Segoe UI"/>
        <family val="2"/>
      </rPr>
      <t>DRS Process Dates</t>
    </r>
    <r>
      <rPr>
        <b/>
        <sz val="14"/>
        <color rgb="FFC00000"/>
        <rFont val="Segoe UI"/>
        <family val="2"/>
      </rPr>
      <t>.</t>
    </r>
  </si>
  <si>
    <r>
      <t>•</t>
    </r>
    <r>
      <rPr>
        <sz val="11"/>
        <color rgb="FF000000"/>
        <rFont val="Segoe UI"/>
        <family val="2"/>
      </rPr>
      <t>Your monthly contributions are most likely processed by DRS with a one-month lag.</t>
    </r>
  </si>
  <si>
    <r>
      <t xml:space="preserve">•Go to the </t>
    </r>
    <r>
      <rPr>
        <sz val="11"/>
        <color rgb="FF000000"/>
        <rFont val="Segoe UI"/>
        <family val="2"/>
      </rPr>
      <t xml:space="preserve"> </t>
    </r>
  </si>
  <si>
    <r>
      <rPr>
        <b/>
        <sz val="14"/>
        <rFont val="Segoe UI"/>
        <family val="2"/>
      </rPr>
      <t>Enter</t>
    </r>
    <r>
      <rPr>
        <b/>
        <sz val="14"/>
        <color rgb="FFC00000"/>
        <rFont val="Segoe UI"/>
        <family val="2"/>
      </rPr>
      <t xml:space="preserve"> CCDDD </t>
    </r>
    <r>
      <rPr>
        <b/>
        <sz val="14"/>
        <rFont val="Segoe UI"/>
        <family val="2"/>
      </rPr>
      <t>number in cell</t>
    </r>
    <r>
      <rPr>
        <b/>
        <sz val="14"/>
        <color rgb="FFC00000"/>
        <rFont val="Segoe UI"/>
        <family val="2"/>
      </rPr>
      <t xml:space="preserve"> A4</t>
    </r>
  </si>
  <si>
    <t>Reportable Compensation Data and Contributions to Pensions</t>
  </si>
  <si>
    <t>`</t>
  </si>
  <si>
    <t>Employer Contributions and Administration Fees</t>
  </si>
  <si>
    <t xml:space="preserve">A summary of amounts from above that may assist in a reconciliation with the district's vendor pay system. </t>
  </si>
  <si>
    <t>18901</t>
  </si>
  <si>
    <t>Catalyst Public School</t>
  </si>
  <si>
    <t>32903</t>
  </si>
  <si>
    <t xml:space="preserve"> Lumens Public School </t>
  </si>
  <si>
    <t>TOTAL SUM OF</t>
  </si>
  <si>
    <t>WSIPC</t>
  </si>
  <si>
    <t xml:space="preserve">Lumens Public School </t>
  </si>
  <si>
    <t xml:space="preserve">2021 Total Contributions from DRS Prelim "Totals" spreadsheet 8/31/2021 </t>
  </si>
  <si>
    <t xml:space="preserve"> Catalyst Public School</t>
  </si>
  <si>
    <t xml:space="preserve">Total Sum of  Employer Contributions  </t>
  </si>
  <si>
    <t>04901</t>
  </si>
  <si>
    <t xml:space="preserve"> Pennacles Prep Charter School</t>
  </si>
  <si>
    <t>17917</t>
  </si>
  <si>
    <t xml:space="preserve"> Why Not You Academy </t>
  </si>
  <si>
    <t>37902</t>
  </si>
  <si>
    <t xml:space="preserve"> Whatcom Intergenerational </t>
  </si>
  <si>
    <t>38901</t>
  </si>
  <si>
    <t xml:space="preserve"> Pullman Community Montessori </t>
  </si>
  <si>
    <t>99999</t>
  </si>
  <si>
    <t xml:space="preserve"> WSRMP</t>
  </si>
  <si>
    <r>
      <t>•</t>
    </r>
    <r>
      <rPr>
        <sz val="11"/>
        <color rgb="FF000000"/>
        <rFont val="Segoe UI"/>
        <family val="2"/>
      </rPr>
      <t>The Employer Reporting Application guide is for DRS employers who use the DR</t>
    </r>
    <r>
      <rPr>
        <sz val="11"/>
        <color theme="1"/>
        <rFont val="Segoe UI"/>
        <family val="2"/>
      </rPr>
      <t>S Employer Reporting Application (ERA). Employers who have not adopted ERA should continue to access DRS reports through eServices.  Employers using the ERA guide should have registered through Secure Access Washington (SAW).</t>
    </r>
  </si>
  <si>
    <r>
      <t xml:space="preserve">This worksheet breaksdown contributions as reported by DRS. The employer contributions to pension plans are reported by the </t>
    </r>
    <r>
      <rPr>
        <b/>
        <sz val="12"/>
        <color theme="1"/>
        <rFont val="Segoe UI"/>
        <family val="2"/>
      </rPr>
      <t>DRS PROCESS DATE</t>
    </r>
    <r>
      <rPr>
        <sz val="12"/>
        <color theme="1"/>
        <rFont val="Segoe UI"/>
        <family val="2"/>
      </rPr>
      <t>.</t>
    </r>
  </si>
  <si>
    <r>
      <t xml:space="preserve">•Review information on </t>
    </r>
    <r>
      <rPr>
        <sz val="11"/>
        <color rgb="FF000000"/>
        <rFont val="Segoe UI"/>
        <family val="2"/>
      </rPr>
      <t xml:space="preserve">the Employer Reporting Application </t>
    </r>
    <r>
      <rPr>
        <sz val="11"/>
        <color theme="1"/>
        <rFont val="Segoe UI"/>
        <family val="2"/>
      </rPr>
      <t>(ERA) guide.</t>
    </r>
  </si>
  <si>
    <t xml:space="preserve">2022 Total Contributions from DRS Prelim "Totals" spreadsheet 7/15/2022 </t>
  </si>
  <si>
    <t xml:space="preserve">Districts no longer reported by DRS as DRS employers are removed from the list. </t>
  </si>
  <si>
    <r>
      <t xml:space="preserve">The "CCDDD" is the district's "county-district" identification number. The first two digits are the county number, the last three digits are the district's number. All DRS employer-districts included in this tool are in the worksheet </t>
    </r>
    <r>
      <rPr>
        <b/>
        <sz val="11"/>
        <color theme="1"/>
        <rFont val="Segoe UI"/>
        <family val="2"/>
      </rPr>
      <t>CCDDD List</t>
    </r>
    <r>
      <rPr>
        <sz val="11"/>
        <color theme="1"/>
        <rFont val="Segoe UI"/>
        <family val="2"/>
      </rPr>
      <t xml:space="preserve">. </t>
    </r>
  </si>
  <si>
    <t xml:space="preserve">2023 Total Contributions from DRS Prelim "Totals" spreadsheet 7/17/2023 </t>
  </si>
  <si>
    <t xml:space="preserve"> Pinnacles Prep Charter School</t>
  </si>
  <si>
    <t>Pension Plan components as reported by DRS</t>
  </si>
  <si>
    <t>Employer Reporting Application Portal</t>
  </si>
  <si>
    <r>
      <t>•</t>
    </r>
    <r>
      <rPr>
        <sz val="11"/>
        <color rgb="FF000000"/>
        <rFont val="Segoe UI"/>
        <family val="2"/>
      </rPr>
      <t xml:space="preserve">DRS could process </t>
    </r>
    <r>
      <rPr>
        <b/>
        <sz val="11"/>
        <color rgb="FF000000"/>
        <rFont val="Segoe UI"/>
        <family val="2"/>
      </rPr>
      <t>only eleven</t>
    </r>
    <r>
      <rPr>
        <sz val="11"/>
        <color rgb="FF000000"/>
        <rFont val="Segoe UI"/>
        <family val="2"/>
      </rPr>
      <t xml:space="preserve"> monthly amounts in the plan fiscal period.</t>
    </r>
  </si>
  <si>
    <r>
      <t>•</t>
    </r>
    <r>
      <rPr>
        <sz val="11"/>
        <color rgb="FF000000"/>
        <rFont val="Segoe UI"/>
        <family val="2"/>
      </rPr>
      <t xml:space="preserve">DRS could process </t>
    </r>
    <r>
      <rPr>
        <b/>
        <sz val="11"/>
        <color rgb="FF000000"/>
        <rFont val="Segoe UI"/>
        <family val="2"/>
      </rPr>
      <t>thirteen</t>
    </r>
    <r>
      <rPr>
        <sz val="11"/>
        <color rgb="FF000000"/>
        <rFont val="Segoe UI"/>
        <family val="2"/>
      </rPr>
      <t xml:space="preserve"> monthly amounts in the plan fiscal period.</t>
    </r>
  </si>
  <si>
    <t>Org ID</t>
  </si>
  <si>
    <t>JR - Added</t>
  </si>
  <si>
    <t>Rooted School Washington</t>
  </si>
  <si>
    <t>New DRS Employers included in this tool for 2024:</t>
  </si>
  <si>
    <t xml:space="preserve"> Rooted School Washington</t>
  </si>
  <si>
    <t xml:space="preserve"> Rooted School Vancouver</t>
  </si>
  <si>
    <t xml:space="preserve"> Rooted School Vancouver </t>
  </si>
  <si>
    <t xml:space="preserve">2024 Total Contributions from DRS Prelim "Totals" spreadsheet 7/17/2024 </t>
  </si>
  <si>
    <t>A summary of Pension Contributions, the district's Allocation Percentages, and Reportable Compensation.</t>
  </si>
  <si>
    <t>DATA RANGE TO ROW 327; vLookups go to ROW 350</t>
  </si>
  <si>
    <t xml:space="preserve">2025 Total Contributions from DRS Prelim "Totals" spreadsheet 7/14/2025 </t>
  </si>
  <si>
    <t>The 2025 Pension Compensation and Contribution Reconciliation Tool</t>
  </si>
  <si>
    <t xml:space="preserve">Pension contributions included in this tool are amounts as reported by the Department of Retirement Systems (DRS) for the plan year ending June 30, 2025. </t>
  </si>
  <si>
    <r>
      <rPr>
        <sz val="14"/>
        <rFont val="Segoe UI"/>
        <family val="2"/>
      </rPr>
      <t>Enter your district's</t>
    </r>
    <r>
      <rPr>
        <b/>
        <sz val="14"/>
        <color rgb="FFC00000"/>
        <rFont val="Segoe UI"/>
        <family val="2"/>
      </rPr>
      <t xml:space="preserve"> </t>
    </r>
    <r>
      <rPr>
        <b/>
        <u/>
        <sz val="14"/>
        <color rgb="FFC00000"/>
        <rFont val="Segoe UI"/>
        <family val="2"/>
      </rPr>
      <t>CCDDD</t>
    </r>
    <r>
      <rPr>
        <b/>
        <sz val="14"/>
        <color rgb="FFC00000"/>
        <rFont val="Segoe UI"/>
        <family val="2"/>
      </rPr>
      <t xml:space="preserve"> </t>
    </r>
    <r>
      <rPr>
        <sz val="14"/>
        <rFont val="Segoe UI"/>
        <family val="2"/>
      </rPr>
      <t xml:space="preserve">in the space provide in </t>
    </r>
    <r>
      <rPr>
        <b/>
        <sz val="14"/>
        <color rgb="FFC00000"/>
        <rFont val="Segoe UI"/>
        <family val="2"/>
      </rPr>
      <t xml:space="preserve">cell </t>
    </r>
    <r>
      <rPr>
        <b/>
        <u/>
        <sz val="14"/>
        <color rgb="FFC00000"/>
        <rFont val="Segoe UI"/>
        <family val="2"/>
      </rPr>
      <t xml:space="preserve">A4 </t>
    </r>
    <r>
      <rPr>
        <sz val="14"/>
        <rFont val="Segoe UI"/>
        <family val="2"/>
      </rPr>
      <t>in the worksheet labled "</t>
    </r>
    <r>
      <rPr>
        <b/>
        <sz val="14"/>
        <rFont val="Segoe UI"/>
        <family val="2"/>
      </rPr>
      <t>2025Comp&amp;Contr</t>
    </r>
    <r>
      <rPr>
        <sz val="14"/>
        <rFont val="Segoe UI"/>
        <family val="2"/>
      </rPr>
      <t>".</t>
    </r>
  </si>
  <si>
    <t>2025 Comp&amp; Contr</t>
  </si>
  <si>
    <r>
      <t xml:space="preserve">TRS Plan 1 and PERS Plan 1, are financially supported by contributions from other pension plans, by law.  UAAL stands for </t>
    </r>
    <r>
      <rPr>
        <b/>
        <sz val="11"/>
        <color theme="1"/>
        <rFont val="Segoe UI"/>
        <family val="2"/>
      </rPr>
      <t>Unfunded Actuarially Accrued Liability</t>
    </r>
    <r>
      <rPr>
        <sz val="11"/>
        <color theme="1"/>
        <rFont val="Segoe UI"/>
        <family val="2"/>
      </rPr>
      <t>. Some of the UAAL contribution funding methodology is discussed in 41.45 RCW.  The DRS Participating Employer Financial Information (PEFI) report provides a list of your contributions. The UAAL categories represent the Plan 1 support coming in from other plans. PERS 1 is supported by SERS 2/3 and PERS 2/3. TRS 1 is supported by TRS 2/3. The PEFI will not be published until late October 2025.</t>
    </r>
  </si>
  <si>
    <t>Pinnacles Prep Charter School</t>
  </si>
  <si>
    <t>Cascade Public Schools</t>
  </si>
  <si>
    <t>Catalyst Public Schools</t>
  </si>
  <si>
    <t>Chief Leschi Schools</t>
  </si>
  <si>
    <t>Rainier Valley Leadership Academy</t>
  </si>
  <si>
    <t>Lumen Public School</t>
  </si>
  <si>
    <t>Ferndale School District 502</t>
  </si>
  <si>
    <t>Intergenerational School</t>
  </si>
  <si>
    <t>Pullman Community Motessori</t>
  </si>
  <si>
    <t>WSRMP</t>
  </si>
  <si>
    <t>2025: data to row 327</t>
  </si>
  <si>
    <t>2025 data ok</t>
  </si>
  <si>
    <r>
      <t>•</t>
    </r>
    <r>
      <rPr>
        <b/>
        <sz val="11"/>
        <color theme="1"/>
        <rFont val="Segoe UI"/>
        <family val="2"/>
      </rPr>
      <t>This is all about the timing</t>
    </r>
    <r>
      <rPr>
        <sz val="11"/>
        <color theme="1"/>
        <rFont val="Segoe UI"/>
        <family val="2"/>
      </rPr>
      <t xml:space="preserve"> of when </t>
    </r>
    <r>
      <rPr>
        <sz val="11"/>
        <color rgb="FF000000"/>
        <rFont val="Segoe UI"/>
        <family val="2"/>
      </rPr>
      <t xml:space="preserve">DRS processes your contributions… </t>
    </r>
  </si>
  <si>
    <r>
      <t>•</t>
    </r>
    <r>
      <rPr>
        <sz val="11"/>
        <color rgb="FF000000"/>
        <rFont val="Segoe UI"/>
        <family val="2"/>
      </rPr>
      <t>Contributions processed by DRS for the Plan Fiscal Year (July 2024 through June 2025) are most likely to be your June 2024 through May 2025 monthly contribution amounts.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</si>
</sst>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1" formatCode="_(* #,##0_);_(* \(#,##0\);_(* &quot;-&quot;_);_(@_)"/>
    <numFmt numFmtId="44" formatCode="_(&quot;$&quot;* #,##0.00_);_(&quot;$&quot;* \(#,##0.00\);_(&quot;$&quot;* &quot;-&quot;??_);_(@_)"/>
    <numFmt numFmtId="43" formatCode="_(* #,##0.00_);_(* \(#,##0.00\);_(* &quot;-&quot;??_);_(@_)"/>
    <numFmt numFmtId="164" formatCode="0.000000%"/>
    <numFmt numFmtId="165" formatCode="_(* #,##0_);_(* \(#,##0\);_(* &quot;-&quot;??_);_(@_)"/>
    <numFmt numFmtId="166" formatCode="00000"/>
    <numFmt numFmtId="167" formatCode="[$-409]mmmm\ d\,\ yyyy;@"/>
    <numFmt numFmtId="168" formatCode="_(&quot;$&quot;* #,##0_);_(&quot;$&quot;* \(#,##0\);_(&quot;$&quot;* &quot;-&quot;??_);_(@_)"/>
    <numFmt numFmtId="169" formatCode="_(* #,##0.0000_);_(* \(#,##0.0000\);_(* &quot;-&quot;????_);_(@_)"/>
    <numFmt numFmtId="170" formatCode="0.0000"/>
    <numFmt numFmtId="171" formatCode="&quot;$&quot;#,##0"/>
    <numFmt numFmtId="172" formatCode="0000"/>
  </numFmts>
  <fonts count="8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sz val="12"/>
      <color theme="1"/>
      <name val="Calibri"/>
      <family val="2"/>
      <scheme val="minor"/>
    </font>
    <font>
      <sz val="11"/>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0"/>
      <color indexed="8"/>
      <name val="Calibri"/>
      <family val="2"/>
      <scheme val="minor"/>
    </font>
    <font>
      <b/>
      <sz val="10"/>
      <name val="Calibri"/>
      <family val="2"/>
      <scheme val="minor"/>
    </font>
    <font>
      <sz val="11"/>
      <color theme="1"/>
      <name val="Calibri"/>
      <family val="2"/>
    </font>
    <font>
      <sz val="10"/>
      <color indexed="8"/>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sz val="9"/>
      <color theme="1"/>
      <name val="Calibri"/>
      <family val="2"/>
      <scheme val="minor"/>
    </font>
    <font>
      <b/>
      <sz val="14"/>
      <color theme="1"/>
      <name val="Calibri"/>
      <family val="2"/>
      <scheme val="minor"/>
    </font>
    <font>
      <sz val="20"/>
      <color theme="1"/>
      <name val="Calibri"/>
      <family val="2"/>
      <scheme val="minor"/>
    </font>
    <font>
      <b/>
      <sz val="11"/>
      <color rgb="FFC00000"/>
      <name val="Calibri"/>
      <family val="2"/>
      <scheme val="minor"/>
    </font>
    <font>
      <sz val="12"/>
      <name val="Calibri"/>
      <family val="2"/>
      <scheme val="minor"/>
    </font>
    <font>
      <sz val="14"/>
      <color theme="1"/>
      <name val="Calibri"/>
      <family val="2"/>
      <scheme val="minor"/>
    </font>
    <font>
      <b/>
      <sz val="18"/>
      <color theme="1"/>
      <name val="Calibri"/>
      <family val="2"/>
      <scheme val="minor"/>
    </font>
    <font>
      <sz val="11"/>
      <color rgb="FF000000"/>
      <name val="Calibri"/>
      <family val="2"/>
      <scheme val="minor"/>
    </font>
    <font>
      <b/>
      <sz val="11"/>
      <color rgb="FF000000"/>
      <name val="Calibri"/>
      <family val="2"/>
      <scheme val="minor"/>
    </font>
    <font>
      <sz val="18"/>
      <color theme="1"/>
      <name val="Calibri"/>
      <family val="2"/>
      <scheme val="minor"/>
    </font>
    <font>
      <b/>
      <sz val="22"/>
      <color theme="1"/>
      <name val="Calibri"/>
      <family val="2"/>
      <scheme val="minor"/>
    </font>
    <font>
      <b/>
      <sz val="11"/>
      <name val="Calibri"/>
      <family val="2"/>
      <scheme val="minor"/>
    </font>
    <font>
      <b/>
      <i/>
      <sz val="10"/>
      <name val="Calibri"/>
      <family val="2"/>
      <scheme val="minor"/>
    </font>
    <font>
      <sz val="10"/>
      <color theme="1"/>
      <name val="Arial"/>
      <family val="2"/>
    </font>
    <font>
      <sz val="10"/>
      <name val="Arial"/>
      <family val="2"/>
    </font>
    <font>
      <b/>
      <u/>
      <sz val="11"/>
      <color theme="1"/>
      <name val="Calibri"/>
      <family val="2"/>
      <scheme val="minor"/>
    </font>
    <font>
      <sz val="12"/>
      <color theme="1"/>
      <name val="Arial"/>
      <family val="2"/>
    </font>
    <font>
      <b/>
      <sz val="12"/>
      <color theme="1"/>
      <name val="Arial"/>
      <family val="2"/>
    </font>
    <font>
      <b/>
      <sz val="14"/>
      <color theme="1"/>
      <name val="Arial"/>
      <family val="2"/>
    </font>
    <font>
      <sz val="11"/>
      <color theme="1"/>
      <name val="Arial"/>
      <family val="2"/>
    </font>
    <font>
      <b/>
      <sz val="11"/>
      <color rgb="FFFF0000"/>
      <name val="Calibri"/>
      <family val="2"/>
      <scheme val="minor"/>
    </font>
    <font>
      <b/>
      <sz val="11"/>
      <color theme="1"/>
      <name val="Arial"/>
      <family val="2"/>
    </font>
    <font>
      <sz val="11"/>
      <color rgb="FF000000"/>
      <name val="Arial"/>
      <family val="2"/>
    </font>
    <font>
      <sz val="11"/>
      <name val="Arial"/>
      <family val="2"/>
    </font>
    <font>
      <i/>
      <sz val="11"/>
      <name val="Arial"/>
      <family val="2"/>
    </font>
    <font>
      <i/>
      <sz val="11"/>
      <color theme="1"/>
      <name val="Arial"/>
      <family val="2"/>
    </font>
    <font>
      <b/>
      <sz val="20"/>
      <color theme="1"/>
      <name val="Arial"/>
      <family val="2"/>
    </font>
    <font>
      <b/>
      <sz val="8"/>
      <color theme="1"/>
      <name val="Calibri"/>
      <family val="2"/>
      <scheme val="minor"/>
    </font>
    <font>
      <b/>
      <sz val="12"/>
      <color rgb="FFC00000"/>
      <name val="Calibri"/>
      <family val="2"/>
      <scheme val="minor"/>
    </font>
    <font>
      <u/>
      <sz val="11"/>
      <color theme="10"/>
      <name val="Calibri"/>
      <family val="2"/>
      <scheme val="minor"/>
    </font>
    <font>
      <b/>
      <sz val="14"/>
      <color rgb="FFC00000"/>
      <name val="Segoe UI"/>
      <family val="2"/>
    </font>
    <font>
      <b/>
      <sz val="11"/>
      <color rgb="FFC00000"/>
      <name val="Segoe UI"/>
      <family val="2"/>
    </font>
    <font>
      <b/>
      <sz val="14"/>
      <color theme="1"/>
      <name val="Segoe UI"/>
      <family val="2"/>
    </font>
    <font>
      <sz val="10"/>
      <color indexed="8"/>
      <name val="Arial"/>
      <family val="2"/>
    </font>
    <font>
      <sz val="11"/>
      <color indexed="8"/>
      <name val="Calibri"/>
      <family val="2"/>
    </font>
    <font>
      <b/>
      <sz val="10"/>
      <color rgb="FFFF0000"/>
      <name val="Calibri"/>
      <family val="2"/>
      <scheme val="minor"/>
    </font>
    <font>
      <sz val="12"/>
      <name val="Arial"/>
      <family val="2"/>
    </font>
    <font>
      <b/>
      <sz val="16"/>
      <color rgb="FFFF0000"/>
      <name val="Calibri"/>
      <family val="2"/>
      <scheme val="minor"/>
    </font>
    <font>
      <u/>
      <sz val="11"/>
      <color theme="1"/>
      <name val="Calibri"/>
      <family val="2"/>
      <scheme val="minor"/>
    </font>
    <font>
      <sz val="12"/>
      <color theme="1"/>
      <name val="Segoe UI"/>
      <family val="2"/>
    </font>
    <font>
      <b/>
      <u/>
      <sz val="14"/>
      <color rgb="FFC00000"/>
      <name val="Segoe UI"/>
      <family val="2"/>
    </font>
    <font>
      <b/>
      <sz val="14"/>
      <name val="Segoe UI"/>
      <family val="2"/>
    </font>
    <font>
      <b/>
      <sz val="12"/>
      <color theme="1"/>
      <name val="Segoe UI"/>
      <family val="2"/>
    </font>
    <font>
      <b/>
      <sz val="18"/>
      <color rgb="FFC00000"/>
      <name val="Calibri"/>
      <family val="2"/>
      <scheme val="minor"/>
    </font>
    <font>
      <b/>
      <sz val="12"/>
      <color rgb="FFC00000"/>
      <name val="Segoe UI"/>
      <family val="2"/>
    </font>
    <font>
      <b/>
      <sz val="18"/>
      <color theme="1"/>
      <name val="Segoe UI"/>
      <family val="2"/>
    </font>
    <font>
      <sz val="11"/>
      <color theme="1"/>
      <name val="Segoe UI"/>
      <family val="2"/>
    </font>
    <font>
      <b/>
      <sz val="11"/>
      <color theme="1"/>
      <name val="Segoe UI"/>
      <family val="2"/>
    </font>
    <font>
      <sz val="11"/>
      <color rgb="FF000000"/>
      <name val="Segoe UI"/>
      <family val="2"/>
    </font>
    <font>
      <b/>
      <i/>
      <sz val="11"/>
      <color rgb="FF000000"/>
      <name val="Segoe UI"/>
      <family val="2"/>
    </font>
    <font>
      <sz val="14"/>
      <color theme="1"/>
      <name val="Segoe UI"/>
      <family val="2"/>
    </font>
    <font>
      <b/>
      <sz val="16"/>
      <color rgb="FF000000"/>
      <name val="Segoe UI"/>
      <family val="2"/>
    </font>
    <font>
      <sz val="18"/>
      <color theme="1"/>
      <name val="Segoe UI"/>
      <family val="2"/>
    </font>
    <font>
      <sz val="16"/>
      <color theme="1"/>
      <name val="Segoe UI"/>
      <family val="2"/>
    </font>
    <font>
      <b/>
      <sz val="12"/>
      <color rgb="FF000000"/>
      <name val="Segoe UI"/>
      <family val="2"/>
    </font>
    <font>
      <u/>
      <sz val="11"/>
      <color theme="10"/>
      <name val="Segoe UI"/>
      <family val="2"/>
    </font>
    <font>
      <b/>
      <sz val="10"/>
      <color theme="1"/>
      <name val="Segoe UI"/>
      <family val="2"/>
    </font>
    <font>
      <b/>
      <sz val="20"/>
      <color theme="1"/>
      <name val="Segoe UI"/>
      <family val="2"/>
    </font>
    <font>
      <b/>
      <sz val="22"/>
      <color theme="1"/>
      <name val="Segoe UI"/>
      <family val="2"/>
    </font>
    <font>
      <sz val="20"/>
      <color theme="1"/>
      <name val="Segoe UI"/>
      <family val="2"/>
    </font>
    <font>
      <b/>
      <sz val="16"/>
      <color rgb="FFC00000"/>
      <name val="Segoe UI"/>
      <family val="2"/>
    </font>
    <font>
      <b/>
      <sz val="11"/>
      <color rgb="FF000000"/>
      <name val="Segoe UI"/>
      <family val="2"/>
    </font>
    <font>
      <sz val="14"/>
      <name val="Segoe UI"/>
      <family val="2"/>
    </font>
    <font>
      <b/>
      <sz val="14"/>
      <color rgb="FFC00000"/>
      <name val="Calibri"/>
      <family val="2"/>
      <scheme val="minor"/>
    </font>
    <font>
      <b/>
      <sz val="16"/>
      <color rgb="FFC00000"/>
      <name val="Calibri"/>
      <family val="2"/>
      <scheme val="minor"/>
    </font>
    <font>
      <b/>
      <sz val="9"/>
      <color rgb="FFC00000"/>
      <name val="Calibri"/>
      <family val="2"/>
      <scheme val="minor"/>
    </font>
    <font>
      <i/>
      <sz val="11"/>
      <color theme="1"/>
      <name val="Segoe UI"/>
      <family val="2"/>
    </font>
    <font>
      <b/>
      <i/>
      <sz val="12"/>
      <color theme="1"/>
      <name val="Segoe UI"/>
      <family val="2"/>
    </font>
    <font>
      <b/>
      <i/>
      <sz val="11"/>
      <color theme="1"/>
      <name val="Segoe UI"/>
      <family val="2"/>
    </font>
    <font>
      <sz val="8"/>
      <name val="Calibri"/>
      <family val="2"/>
      <scheme val="minor"/>
    </font>
    <font>
      <b/>
      <i/>
      <sz val="14"/>
      <color theme="1"/>
      <name val="Segoe UI"/>
      <family val="2"/>
    </font>
  </fonts>
  <fills count="38">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FF"/>
        <bgColor indexed="64"/>
      </patternFill>
    </fill>
    <fill>
      <patternFill patternType="solid">
        <fgColor rgb="FF99FF99"/>
        <bgColor indexed="64"/>
      </patternFill>
    </fill>
    <fill>
      <patternFill patternType="solid">
        <fgColor rgb="FF00FFFF"/>
        <bgColor indexed="64"/>
      </patternFill>
    </fill>
    <fill>
      <patternFill patternType="solid">
        <fgColor theme="6" tint="0.79998168889431442"/>
        <bgColor indexed="64"/>
      </patternFill>
    </fill>
    <fill>
      <patternFill patternType="solid">
        <fgColor theme="0"/>
        <bgColor indexed="64"/>
      </patternFill>
    </fill>
    <fill>
      <patternFill patternType="gray0625"/>
    </fill>
    <fill>
      <patternFill patternType="solid">
        <fgColor rgb="FFFFC000"/>
        <bgColor indexed="64"/>
      </patternFill>
    </fill>
    <fill>
      <patternFill patternType="solid">
        <fgColor rgb="FFFFFFE1"/>
        <bgColor indexed="64"/>
      </patternFill>
    </fill>
    <fill>
      <patternFill patternType="solid">
        <fgColor rgb="FFFFFFCC"/>
        <bgColor indexed="64"/>
      </patternFill>
    </fill>
    <fill>
      <patternFill patternType="gray0625">
        <bgColor rgb="FFFFCCFF"/>
      </patternFill>
    </fill>
    <fill>
      <patternFill patternType="solid">
        <fgColor rgb="FF00E4FF"/>
        <bgColor indexed="64"/>
      </patternFill>
    </fill>
    <fill>
      <patternFill patternType="solid">
        <fgColor theme="8" tint="0.79998168889431442"/>
        <bgColor indexed="64"/>
      </patternFill>
    </fill>
    <fill>
      <patternFill patternType="solid">
        <fgColor rgb="FF90E8FA"/>
        <bgColor indexed="64"/>
      </patternFill>
    </fill>
    <fill>
      <patternFill patternType="solid">
        <fgColor rgb="FF8BFFD8"/>
        <bgColor indexed="64"/>
      </patternFill>
    </fill>
    <fill>
      <patternFill patternType="solid">
        <fgColor rgb="FF99FFCC"/>
        <bgColor indexed="64"/>
      </patternFill>
    </fill>
    <fill>
      <patternFill patternType="solid">
        <fgColor rgb="FFDECDFF"/>
        <bgColor indexed="64"/>
      </patternFill>
    </fill>
    <fill>
      <patternFill patternType="solid">
        <fgColor theme="6" tint="0.39997558519241921"/>
        <bgColor indexed="64"/>
      </patternFill>
    </fill>
    <fill>
      <patternFill patternType="solid">
        <fgColor rgb="FF00FF00"/>
        <bgColor indexed="64"/>
      </patternFill>
    </fill>
    <fill>
      <patternFill patternType="solid">
        <fgColor rgb="FFDAEEF3"/>
        <bgColor indexed="64"/>
      </patternFill>
    </fill>
    <fill>
      <patternFill patternType="solid">
        <fgColor rgb="FFDCEDCB"/>
        <bgColor indexed="64"/>
      </patternFill>
    </fill>
    <fill>
      <patternFill patternType="gray125">
        <fgColor auto="1"/>
        <bgColor rgb="FF99FF99"/>
      </patternFill>
    </fill>
    <fill>
      <patternFill patternType="solid">
        <fgColor theme="6" tint="0.59999389629810485"/>
        <bgColor indexed="64"/>
      </patternFill>
    </fill>
    <fill>
      <patternFill patternType="lightGray"/>
    </fill>
    <fill>
      <patternFill patternType="lightGray">
        <fgColor auto="1"/>
      </patternFill>
    </fill>
    <fill>
      <patternFill patternType="solid">
        <fgColor theme="7" tint="0.59999389629810485"/>
        <bgColor indexed="64"/>
      </patternFill>
    </fill>
    <fill>
      <patternFill patternType="solid">
        <fgColor rgb="FF75DBFF"/>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lightGray">
        <bgColor rgb="FFFFFFE1"/>
      </patternFill>
    </fill>
    <fill>
      <patternFill patternType="solid">
        <fgColor rgb="FFFFFF99"/>
        <bgColor indexed="64"/>
      </patternFill>
    </fill>
    <fill>
      <patternFill patternType="solid">
        <fgColor rgb="FFCCC0DA"/>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3">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4" fillId="0" borderId="0"/>
    <xf numFmtId="0" fontId="4" fillId="0" borderId="0"/>
    <xf numFmtId="0" fontId="12" fillId="0" borderId="0"/>
    <xf numFmtId="0" fontId="3" fillId="0" borderId="0"/>
    <xf numFmtId="0" fontId="4" fillId="0" borderId="0"/>
    <xf numFmtId="0" fontId="4"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1" fillId="0" borderId="0"/>
    <xf numFmtId="0" fontId="3" fillId="0" borderId="0"/>
    <xf numFmtId="43" fontId="12" fillId="0" borderId="0" applyFont="0" applyFill="0" applyBorder="0" applyAlignment="0" applyProtection="0"/>
    <xf numFmtId="43" fontId="3"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6" fillId="0" borderId="0" applyNumberFormat="0" applyFill="0" applyBorder="0" applyAlignment="0" applyProtection="0"/>
    <xf numFmtId="0" fontId="50" fillId="0" borderId="0"/>
    <xf numFmtId="0" fontId="12" fillId="0" borderId="0"/>
  </cellStyleXfs>
  <cellXfs count="671">
    <xf numFmtId="0" fontId="0" fillId="0" borderId="0" xfId="0"/>
    <xf numFmtId="164" fontId="0" fillId="0" borderId="13" xfId="2" applyNumberFormat="1" applyFont="1" applyFill="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22" fillId="0" borderId="27" xfId="0" applyFont="1" applyBorder="1" applyAlignment="1">
      <alignment horizontal="center" vertical="center" wrapText="1"/>
    </xf>
    <xf numFmtId="0" fontId="0" fillId="0" borderId="0" xfId="0" applyAlignment="1">
      <alignment horizontal="left"/>
    </xf>
    <xf numFmtId="0" fontId="8" fillId="0" borderId="0" xfId="0" applyFont="1" applyAlignment="1">
      <alignment vertical="center"/>
    </xf>
    <xf numFmtId="167" fontId="18" fillId="9" borderId="20" xfId="0" applyNumberFormat="1" applyFont="1" applyFill="1" applyBorder="1" applyAlignment="1">
      <alignment horizontal="left" vertical="center" wrapText="1"/>
    </xf>
    <xf numFmtId="43" fontId="8" fillId="0" borderId="0" xfId="1" applyFont="1" applyFill="1" applyBorder="1" applyAlignment="1">
      <alignment vertical="center"/>
    </xf>
    <xf numFmtId="0" fontId="8" fillId="0" borderId="0" xfId="0" applyFont="1" applyAlignment="1">
      <alignment horizontal="center" vertical="center"/>
    </xf>
    <xf numFmtId="0" fontId="9" fillId="5" borderId="0" xfId="0" applyFont="1" applyFill="1" applyAlignment="1">
      <alignment horizontal="center" vertical="center"/>
    </xf>
    <xf numFmtId="0" fontId="8" fillId="5" borderId="0" xfId="0" applyFont="1" applyFill="1" applyAlignment="1">
      <alignment horizontal="center" vertical="center"/>
    </xf>
    <xf numFmtId="0" fontId="0" fillId="11" borderId="1" xfId="0" applyFill="1" applyBorder="1"/>
    <xf numFmtId="0" fontId="0" fillId="11" borderId="2" xfId="0" applyFill="1" applyBorder="1"/>
    <xf numFmtId="0" fontId="0" fillId="11" borderId="3" xfId="0" applyFill="1" applyBorder="1"/>
    <xf numFmtId="0" fontId="0" fillId="11" borderId="5" xfId="0" applyFill="1" applyBorder="1"/>
    <xf numFmtId="0" fontId="0" fillId="11" borderId="24" xfId="0" applyFill="1" applyBorder="1"/>
    <xf numFmtId="0" fontId="0" fillId="11" borderId="22" xfId="0" applyFill="1" applyBorder="1"/>
    <xf numFmtId="0" fontId="0" fillId="11" borderId="23" xfId="0" applyFill="1" applyBorder="1"/>
    <xf numFmtId="0" fontId="0" fillId="0" borderId="0" xfId="0" applyAlignment="1">
      <alignment horizontal="center" vertical="center"/>
    </xf>
    <xf numFmtId="0" fontId="0" fillId="11" borderId="0" xfId="0" applyFill="1"/>
    <xf numFmtId="0" fontId="22" fillId="0" borderId="33" xfId="0" applyFont="1" applyBorder="1" applyAlignment="1">
      <alignment horizontal="center" vertical="center" wrapText="1"/>
    </xf>
    <xf numFmtId="0" fontId="0" fillId="0" borderId="33" xfId="0" applyBorder="1"/>
    <xf numFmtId="167" fontId="25" fillId="0" borderId="33" xfId="0" applyNumberFormat="1" applyFont="1" applyBorder="1" applyAlignment="1">
      <alignment vertical="center" wrapText="1"/>
    </xf>
    <xf numFmtId="0" fontId="24" fillId="0" borderId="33" xfId="0" applyFont="1" applyBorder="1" applyAlignment="1">
      <alignment vertical="center" wrapText="1"/>
    </xf>
    <xf numFmtId="0" fontId="27" fillId="11" borderId="0" xfId="0" applyFont="1" applyFill="1" applyAlignment="1">
      <alignment horizontal="center" vertical="center"/>
    </xf>
    <xf numFmtId="0" fontId="5" fillId="11" borderId="0" xfId="0" applyFont="1" applyFill="1" applyAlignment="1">
      <alignment horizontal="center"/>
    </xf>
    <xf numFmtId="0" fontId="23" fillId="11" borderId="0" xfId="0" applyFont="1" applyFill="1" applyAlignment="1">
      <alignment horizontal="center" vertical="center"/>
    </xf>
    <xf numFmtId="168" fontId="0" fillId="11" borderId="0" xfId="0" applyNumberFormat="1" applyFill="1" applyAlignment="1">
      <alignment vertical="center"/>
    </xf>
    <xf numFmtId="164" fontId="0" fillId="11" borderId="0" xfId="2" applyNumberFormat="1" applyFont="1" applyFill="1" applyAlignment="1">
      <alignment horizontal="right" vertical="center"/>
    </xf>
    <xf numFmtId="0" fontId="22" fillId="11" borderId="0" xfId="0" applyFont="1" applyFill="1" applyAlignment="1">
      <alignment horizontal="center" vertical="center" wrapText="1"/>
    </xf>
    <xf numFmtId="168" fontId="0" fillId="11" borderId="0" xfId="14" applyNumberFormat="1" applyFont="1" applyFill="1" applyAlignment="1">
      <alignment horizontal="center" vertical="center"/>
    </xf>
    <xf numFmtId="167" fontId="18" fillId="9" borderId="33" xfId="0" applyNumberFormat="1" applyFont="1" applyFill="1" applyBorder="1" applyAlignment="1">
      <alignment horizontal="left" vertical="center" wrapText="1"/>
    </xf>
    <xf numFmtId="168" fontId="0" fillId="0" borderId="33" xfId="14" applyNumberFormat="1" applyFont="1" applyBorder="1" applyAlignment="1">
      <alignment vertical="center"/>
    </xf>
    <xf numFmtId="168" fontId="0" fillId="0" borderId="33" xfId="0" applyNumberFormat="1" applyBorder="1" applyAlignment="1">
      <alignment vertical="center"/>
    </xf>
    <xf numFmtId="164" fontId="0" fillId="0" borderId="33" xfId="2" applyNumberFormat="1" applyFont="1" applyBorder="1" applyAlignment="1">
      <alignment horizontal="right" vertical="center"/>
    </xf>
    <xf numFmtId="0" fontId="0" fillId="0" borderId="32" xfId="0" applyBorder="1" applyAlignment="1">
      <alignment vertical="center" wrapText="1"/>
    </xf>
    <xf numFmtId="165" fontId="0" fillId="0" borderId="0" xfId="0" applyNumberFormat="1" applyAlignment="1">
      <alignment vertical="center"/>
    </xf>
    <xf numFmtId="0" fontId="0" fillId="0" borderId="1" xfId="0" applyBorder="1"/>
    <xf numFmtId="3" fontId="0" fillId="0" borderId="0" xfId="0" applyNumberFormat="1"/>
    <xf numFmtId="0" fontId="0" fillId="0" borderId="0" xfId="0" applyAlignment="1">
      <alignment horizontal="center" vertical="center" wrapText="1"/>
    </xf>
    <xf numFmtId="0" fontId="0" fillId="0" borderId="4" xfId="0" applyBorder="1" applyAlignment="1">
      <alignment horizontal="left" vertical="center"/>
    </xf>
    <xf numFmtId="0" fontId="7" fillId="0" borderId="4" xfId="7" applyFont="1" applyBorder="1"/>
    <xf numFmtId="0" fontId="7" fillId="0" borderId="5" xfId="7" applyFont="1" applyBorder="1"/>
    <xf numFmtId="0" fontId="11" fillId="0" borderId="37" xfId="7" applyFont="1" applyBorder="1" applyAlignment="1">
      <alignment vertical="center"/>
    </xf>
    <xf numFmtId="0" fontId="7" fillId="0" borderId="38" xfId="7" applyFont="1" applyBorder="1"/>
    <xf numFmtId="0" fontId="7" fillId="0" borderId="4" xfId="7" applyFont="1" applyBorder="1" applyAlignment="1">
      <alignment vertical="center"/>
    </xf>
    <xf numFmtId="0" fontId="7" fillId="0" borderId="36" xfId="7" applyFont="1" applyBorder="1" applyAlignment="1">
      <alignment vertical="center"/>
    </xf>
    <xf numFmtId="0" fontId="7" fillId="0" borderId="39" xfId="7" applyFont="1" applyBorder="1"/>
    <xf numFmtId="0" fontId="7" fillId="0" borderId="38" xfId="7" applyFont="1" applyBorder="1" applyAlignment="1">
      <alignment vertical="center"/>
    </xf>
    <xf numFmtId="0" fontId="7" fillId="0" borderId="5" xfId="7" applyFont="1" applyBorder="1" applyAlignment="1">
      <alignment vertical="center"/>
    </xf>
    <xf numFmtId="0" fontId="7" fillId="0" borderId="39" xfId="7" applyFont="1" applyBorder="1" applyAlignment="1">
      <alignment vertical="center"/>
    </xf>
    <xf numFmtId="169" fontId="6" fillId="0" borderId="34" xfId="7" applyNumberFormat="1" applyFont="1" applyBorder="1" applyAlignment="1">
      <alignment horizontal="center" vertical="center"/>
    </xf>
    <xf numFmtId="0" fontId="6" fillId="0" borderId="0" xfId="7" applyFont="1" applyAlignment="1">
      <alignment horizontal="center" vertical="center"/>
    </xf>
    <xf numFmtId="0" fontId="28" fillId="0" borderId="34" xfId="7" applyFont="1" applyBorder="1" applyAlignment="1">
      <alignment horizontal="center" vertical="center"/>
    </xf>
    <xf numFmtId="0" fontId="11" fillId="0" borderId="39" xfId="7" applyFont="1" applyBorder="1" applyAlignment="1">
      <alignment vertical="center"/>
    </xf>
    <xf numFmtId="0" fontId="11" fillId="0" borderId="38" xfId="7" applyFont="1" applyBorder="1" applyAlignment="1">
      <alignment vertical="center"/>
    </xf>
    <xf numFmtId="0" fontId="11" fillId="0" borderId="5" xfId="7" applyFont="1" applyBorder="1" applyAlignment="1">
      <alignment vertical="center"/>
    </xf>
    <xf numFmtId="0" fontId="0" fillId="0" borderId="0" xfId="0" applyAlignment="1">
      <alignment wrapText="1"/>
    </xf>
    <xf numFmtId="0" fontId="8" fillId="0" borderId="0" xfId="0" applyFont="1" applyAlignment="1">
      <alignment horizontal="center" vertical="center" wrapText="1"/>
    </xf>
    <xf numFmtId="0" fontId="14" fillId="0" borderId="0" xfId="0" applyFont="1" applyAlignment="1">
      <alignment vertical="center"/>
    </xf>
    <xf numFmtId="0" fontId="19" fillId="0" borderId="0" xfId="0" applyFont="1" applyAlignment="1">
      <alignment horizontal="center" vertical="center" wrapText="1"/>
    </xf>
    <xf numFmtId="0" fontId="23" fillId="0" borderId="0" xfId="0" applyFont="1" applyAlignment="1">
      <alignment horizontal="center" vertical="center"/>
    </xf>
    <xf numFmtId="166" fontId="16" fillId="0" borderId="0" xfId="0" applyNumberFormat="1" applyFont="1" applyAlignment="1">
      <alignment horizontal="center" vertical="center"/>
    </xf>
    <xf numFmtId="0" fontId="36" fillId="0" borderId="0" xfId="0" applyFont="1" applyAlignment="1">
      <alignment horizontal="center" vertical="center" wrapText="1"/>
    </xf>
    <xf numFmtId="0" fontId="40" fillId="0" borderId="0" xfId="19" applyFont="1" applyAlignment="1">
      <alignment horizontal="center" vertical="center" wrapText="1"/>
    </xf>
    <xf numFmtId="0" fontId="38" fillId="0" borderId="19" xfId="0" applyFont="1" applyBorder="1" applyAlignment="1">
      <alignment horizontal="center" vertical="center"/>
    </xf>
    <xf numFmtId="166" fontId="38" fillId="0" borderId="0" xfId="0" applyNumberFormat="1" applyFont="1" applyAlignment="1">
      <alignment horizontal="center" vertical="center"/>
    </xf>
    <xf numFmtId="0" fontId="38" fillId="0" borderId="0" xfId="0" applyFont="1" applyAlignment="1">
      <alignment horizontal="center" vertical="center"/>
    </xf>
    <xf numFmtId="0" fontId="40" fillId="0" borderId="0" xfId="20" applyFont="1" applyAlignment="1">
      <alignment vertical="center"/>
    </xf>
    <xf numFmtId="0" fontId="38" fillId="0" borderId="0" xfId="0" applyFont="1" applyAlignment="1">
      <alignment horizontal="left" vertical="center"/>
    </xf>
    <xf numFmtId="0" fontId="15" fillId="0" borderId="0" xfId="0" applyFont="1" applyAlignment="1">
      <alignment horizontal="center" wrapText="1"/>
    </xf>
    <xf numFmtId="0" fontId="36" fillId="0" borderId="0" xfId="0" applyFont="1"/>
    <xf numFmtId="0" fontId="33" fillId="11" borderId="0" xfId="0" applyFont="1" applyFill="1" applyAlignment="1">
      <alignment horizontal="center"/>
    </xf>
    <xf numFmtId="0" fontId="41" fillId="0" borderId="0" xfId="20" applyFont="1" applyAlignment="1">
      <alignment vertical="center"/>
    </xf>
    <xf numFmtId="0" fontId="42" fillId="0" borderId="0" xfId="0" applyFont="1"/>
    <xf numFmtId="0" fontId="39" fillId="0" borderId="46" xfId="0" applyFont="1" applyBorder="1" applyAlignment="1">
      <alignment horizontal="center" vertical="center" wrapText="1"/>
    </xf>
    <xf numFmtId="0" fontId="39" fillId="0" borderId="46" xfId="0" applyFont="1" applyBorder="1" applyAlignment="1">
      <alignment vertical="center" wrapText="1"/>
    </xf>
    <xf numFmtId="0" fontId="36" fillId="0" borderId="0" xfId="0" applyFont="1" applyAlignment="1">
      <alignment horizontal="left" vertical="top" wrapText="1"/>
    </xf>
    <xf numFmtId="165" fontId="33" fillId="0" borderId="46" xfId="1" applyNumberFormat="1" applyFont="1" applyBorder="1" applyAlignment="1">
      <alignment horizontal="center" vertical="center" wrapText="1"/>
    </xf>
    <xf numFmtId="165" fontId="17" fillId="0" borderId="0" xfId="0" applyNumberFormat="1" applyFont="1" applyAlignment="1">
      <alignment horizontal="center" vertical="center"/>
    </xf>
    <xf numFmtId="164" fontId="33" fillId="0" borderId="46" xfId="0" applyNumberFormat="1" applyFont="1" applyBorder="1" applyAlignment="1">
      <alignment horizontal="center" vertical="center" wrapText="1"/>
    </xf>
    <xf numFmtId="0" fontId="36" fillId="0" borderId="46" xfId="0" applyFont="1" applyBorder="1" applyAlignment="1">
      <alignment horizontal="left" vertical="center"/>
    </xf>
    <xf numFmtId="0" fontId="36" fillId="0" borderId="46" xfId="0" applyFont="1" applyBorder="1" applyAlignment="1">
      <alignment horizontal="center" vertical="center" wrapText="1"/>
    </xf>
    <xf numFmtId="0" fontId="36" fillId="0" borderId="40" xfId="0" applyFont="1" applyBorder="1" applyAlignment="1">
      <alignment vertical="center" wrapText="1"/>
    </xf>
    <xf numFmtId="0" fontId="36" fillId="0" borderId="20" xfId="0" applyFont="1" applyBorder="1" applyAlignment="1">
      <alignment vertical="center" wrapText="1"/>
    </xf>
    <xf numFmtId="0" fontId="36" fillId="0" borderId="46" xfId="0" applyFont="1" applyBorder="1" applyAlignment="1">
      <alignment vertical="center" wrapText="1"/>
    </xf>
    <xf numFmtId="0" fontId="33" fillId="0" borderId="0" xfId="0" applyFont="1" applyAlignment="1">
      <alignment horizontal="center" wrapText="1"/>
    </xf>
    <xf numFmtId="171" fontId="30" fillId="3" borderId="46" xfId="1" applyNumberFormat="1" applyFont="1" applyFill="1" applyBorder="1" applyAlignment="1">
      <alignment horizontal="right" vertical="center"/>
    </xf>
    <xf numFmtId="0" fontId="36" fillId="0" borderId="25" xfId="0" applyFont="1" applyBorder="1" applyAlignment="1">
      <alignment vertical="center" wrapText="1"/>
    </xf>
    <xf numFmtId="164" fontId="30" fillId="0" borderId="46" xfId="0" applyNumberFormat="1" applyFont="1" applyBorder="1" applyAlignment="1">
      <alignment horizontal="center" vertical="center" wrapText="1"/>
    </xf>
    <xf numFmtId="168" fontId="30" fillId="0" borderId="46" xfId="14" applyNumberFormat="1" applyFont="1" applyBorder="1" applyAlignment="1">
      <alignment horizontal="center" vertical="center" wrapText="1"/>
    </xf>
    <xf numFmtId="168" fontId="30" fillId="0" borderId="46" xfId="14" applyNumberFormat="1" applyFont="1" applyFill="1" applyBorder="1" applyAlignment="1">
      <alignment horizontal="center" vertical="center" wrapText="1"/>
    </xf>
    <xf numFmtId="0" fontId="33" fillId="0" borderId="12" xfId="0" applyFont="1" applyBorder="1" applyAlignment="1">
      <alignment horizontal="left" vertical="center"/>
    </xf>
    <xf numFmtId="0" fontId="2" fillId="15" borderId="0" xfId="0" applyFont="1" applyFill="1" applyAlignment="1">
      <alignment horizontal="center"/>
    </xf>
    <xf numFmtId="0" fontId="22" fillId="6" borderId="46" xfId="0" applyFont="1" applyFill="1" applyBorder="1" applyAlignment="1">
      <alignment horizontal="center" vertical="center" wrapText="1"/>
    </xf>
    <xf numFmtId="0" fontId="2" fillId="15" borderId="0" xfId="0" applyFont="1" applyFill="1" applyAlignment="1">
      <alignment horizontal="center" vertical="center"/>
    </xf>
    <xf numFmtId="0" fontId="2" fillId="0" borderId="0" xfId="0" applyFont="1" applyAlignment="1">
      <alignment horizontal="center" vertical="top" wrapText="1"/>
    </xf>
    <xf numFmtId="0" fontId="0" fillId="0" borderId="0" xfId="0" applyAlignment="1">
      <alignment horizontal="left" vertical="top" wrapText="1"/>
    </xf>
    <xf numFmtId="0" fontId="2" fillId="0" borderId="0" xfId="0" applyFont="1" applyAlignment="1">
      <alignment horizontal="center" vertical="center" wrapText="1"/>
    </xf>
    <xf numFmtId="0" fontId="36" fillId="0" borderId="43" xfId="0" applyFont="1" applyBorder="1" applyAlignment="1">
      <alignment horizontal="left" vertical="top" wrapText="1"/>
    </xf>
    <xf numFmtId="0" fontId="0" fillId="0" borderId="0" xfId="0" quotePrefix="1" applyAlignment="1">
      <alignment horizontal="center" vertical="center"/>
    </xf>
    <xf numFmtId="0" fontId="1" fillId="0" borderId="0" xfId="0" applyFont="1" applyAlignment="1">
      <alignment horizontal="center" vertical="center"/>
    </xf>
    <xf numFmtId="169" fontId="28" fillId="16" borderId="0" xfId="7" applyNumberFormat="1" applyFont="1" applyFill="1" applyAlignment="1">
      <alignment horizontal="center" vertical="center"/>
    </xf>
    <xf numFmtId="170" fontId="6" fillId="0" borderId="0" xfId="7" applyNumberFormat="1" applyFont="1" applyAlignment="1">
      <alignment horizontal="center" vertical="center"/>
    </xf>
    <xf numFmtId="170" fontId="6" fillId="0" borderId="31" xfId="7" applyNumberFormat="1" applyFont="1" applyBorder="1" applyAlignment="1">
      <alignment horizontal="center" vertical="center"/>
    </xf>
    <xf numFmtId="0" fontId="6" fillId="0" borderId="31" xfId="7" applyFont="1" applyBorder="1" applyAlignment="1">
      <alignment horizontal="center" vertical="center"/>
    </xf>
    <xf numFmtId="0" fontId="28" fillId="0" borderId="0" xfId="7" applyFont="1" applyAlignment="1">
      <alignment horizontal="center" vertical="center"/>
    </xf>
    <xf numFmtId="0" fontId="0" fillId="0" borderId="53" xfId="0" applyBorder="1" applyAlignment="1">
      <alignment vertical="center" wrapText="1"/>
    </xf>
    <xf numFmtId="0" fontId="0" fillId="11" borderId="0" xfId="0" applyFill="1" applyAlignment="1">
      <alignment horizontal="center"/>
    </xf>
    <xf numFmtId="0" fontId="39" fillId="0" borderId="0" xfId="0" applyFont="1" applyAlignment="1">
      <alignment vertical="center" wrapText="1"/>
    </xf>
    <xf numFmtId="165" fontId="33" fillId="0" borderId="0" xfId="1" applyNumberFormat="1" applyFont="1" applyBorder="1" applyAlignment="1">
      <alignment horizontal="center" vertical="center" wrapText="1"/>
    </xf>
    <xf numFmtId="0" fontId="36" fillId="0" borderId="31" xfId="0" applyFont="1" applyBorder="1" applyAlignment="1">
      <alignment horizontal="left" vertical="top" wrapText="1"/>
    </xf>
    <xf numFmtId="167" fontId="36" fillId="0" borderId="53" xfId="0" applyNumberFormat="1" applyFont="1" applyBorder="1" applyAlignment="1">
      <alignment horizontal="left" vertical="center"/>
    </xf>
    <xf numFmtId="0" fontId="42" fillId="0" borderId="0" xfId="0" applyFont="1" applyAlignment="1">
      <alignment horizontal="left" vertical="center"/>
    </xf>
    <xf numFmtId="165" fontId="42" fillId="0" borderId="28" xfId="1" applyNumberFormat="1" applyFont="1" applyBorder="1" applyAlignment="1">
      <alignment vertical="center"/>
    </xf>
    <xf numFmtId="0" fontId="0" fillId="0" borderId="53" xfId="0" applyBorder="1" applyAlignment="1">
      <alignment horizontal="center" vertical="center"/>
    </xf>
    <xf numFmtId="0" fontId="36" fillId="11" borderId="46" xfId="0" applyFont="1" applyFill="1" applyBorder="1" applyAlignment="1">
      <alignment horizontal="center" vertical="center" wrapText="1"/>
    </xf>
    <xf numFmtId="165" fontId="42" fillId="11" borderId="28" xfId="1" applyNumberFormat="1" applyFont="1" applyFill="1" applyBorder="1" applyAlignment="1">
      <alignment horizontal="center" vertical="center"/>
    </xf>
    <xf numFmtId="0" fontId="0" fillId="0" borderId="0" xfId="0" applyAlignment="1">
      <alignment vertical="center"/>
    </xf>
    <xf numFmtId="164" fontId="0" fillId="0" borderId="0" xfId="2" applyNumberFormat="1" applyFont="1"/>
    <xf numFmtId="165" fontId="0" fillId="0" borderId="0" xfId="0" applyNumberFormat="1"/>
    <xf numFmtId="165" fontId="0" fillId="0" borderId="0" xfId="1" applyNumberFormat="1" applyFont="1"/>
    <xf numFmtId="0" fontId="0" fillId="5" borderId="0" xfId="0" applyFill="1"/>
    <xf numFmtId="43" fontId="0" fillId="0" borderId="0" xfId="0" applyNumberFormat="1"/>
    <xf numFmtId="166" fontId="0" fillId="0" borderId="0" xfId="0" applyNumberFormat="1" applyAlignment="1">
      <alignment horizontal="center" vertical="center"/>
    </xf>
    <xf numFmtId="172" fontId="0" fillId="0" borderId="0" xfId="0" applyNumberFormat="1" applyAlignment="1">
      <alignment horizontal="center" vertical="center"/>
    </xf>
    <xf numFmtId="165" fontId="0" fillId="0" borderId="0" xfId="1" applyNumberFormat="1" applyFont="1" applyAlignment="1">
      <alignment horizontal="center" vertical="center"/>
    </xf>
    <xf numFmtId="165" fontId="8" fillId="0" borderId="53" xfId="1" applyNumberFormat="1" applyFont="1" applyFill="1" applyBorder="1" applyAlignment="1">
      <alignment horizontal="center" vertical="center"/>
    </xf>
    <xf numFmtId="165" fontId="7" fillId="0" borderId="53" xfId="1" applyNumberFormat="1" applyFont="1" applyFill="1" applyBorder="1" applyAlignment="1">
      <alignment horizontal="center" vertical="center"/>
    </xf>
    <xf numFmtId="164" fontId="0" fillId="0" borderId="0" xfId="0" applyNumberFormat="1"/>
    <xf numFmtId="0" fontId="0" fillId="0" borderId="53" xfId="0" applyBorder="1"/>
    <xf numFmtId="0" fontId="0" fillId="0" borderId="53" xfId="0" applyBorder="1" applyAlignment="1">
      <alignment horizontal="center" vertical="center" wrapText="1"/>
    </xf>
    <xf numFmtId="0" fontId="0" fillId="0" borderId="2" xfId="0" applyBorder="1"/>
    <xf numFmtId="0" fontId="0" fillId="0" borderId="0" xfId="0" applyAlignment="1">
      <alignment horizontal="left" vertical="center" wrapText="1"/>
    </xf>
    <xf numFmtId="0" fontId="6" fillId="0" borderId="0" xfId="0" applyFont="1" applyAlignment="1">
      <alignment vertical="center" wrapText="1"/>
    </xf>
    <xf numFmtId="0" fontId="0" fillId="0" borderId="0" xfId="0" applyAlignment="1">
      <alignment vertical="center" wrapText="1"/>
    </xf>
    <xf numFmtId="0" fontId="36" fillId="0" borderId="52" xfId="0" applyFont="1" applyBorder="1" applyAlignment="1">
      <alignment horizontal="left" vertical="center"/>
    </xf>
    <xf numFmtId="43" fontId="36" fillId="11" borderId="45" xfId="1" applyFont="1" applyFill="1" applyBorder="1" applyAlignment="1">
      <alignment horizontal="center" vertical="center" wrapText="1"/>
    </xf>
    <xf numFmtId="0" fontId="36" fillId="11" borderId="45" xfId="0" applyFont="1" applyFill="1" applyBorder="1" applyAlignment="1">
      <alignment horizontal="center" vertical="center" wrapText="1"/>
    </xf>
    <xf numFmtId="168" fontId="36" fillId="0" borderId="32" xfId="0" applyNumberFormat="1" applyFont="1" applyBorder="1" applyAlignment="1">
      <alignment horizontal="center" vertical="center" wrapText="1"/>
    </xf>
    <xf numFmtId="165" fontId="36" fillId="0" borderId="32" xfId="1" applyNumberFormat="1" applyFont="1" applyBorder="1" applyAlignment="1">
      <alignment horizontal="center" vertical="center" wrapText="1"/>
    </xf>
    <xf numFmtId="165" fontId="36" fillId="0" borderId="32" xfId="0" applyNumberFormat="1" applyFont="1" applyBorder="1" applyAlignment="1">
      <alignment horizontal="center" vertical="center" wrapText="1"/>
    </xf>
    <xf numFmtId="168" fontId="36" fillId="0" borderId="14" xfId="0" applyNumberFormat="1" applyFont="1" applyBorder="1" applyAlignment="1">
      <alignment horizontal="center" vertical="center" wrapText="1"/>
    </xf>
    <xf numFmtId="165" fontId="36" fillId="0" borderId="15" xfId="1" applyNumberFormat="1" applyFont="1" applyBorder="1" applyAlignment="1">
      <alignment horizontal="center" vertical="center" wrapText="1"/>
    </xf>
    <xf numFmtId="165" fontId="36" fillId="0" borderId="16" xfId="0" applyNumberFormat="1" applyFont="1" applyBorder="1" applyAlignment="1">
      <alignment horizontal="center" vertical="center" wrapText="1"/>
    </xf>
    <xf numFmtId="168" fontId="36" fillId="0" borderId="20" xfId="0" applyNumberFormat="1" applyFont="1" applyBorder="1" applyAlignment="1">
      <alignment horizontal="center" vertical="center" wrapText="1"/>
    </xf>
    <xf numFmtId="165" fontId="36" fillId="0" borderId="53" xfId="1" applyNumberFormat="1" applyFont="1" applyBorder="1" applyAlignment="1">
      <alignment horizontal="center" vertical="center" wrapText="1"/>
    </xf>
    <xf numFmtId="165" fontId="36" fillId="0" borderId="21" xfId="0" applyNumberFormat="1" applyFont="1" applyBorder="1" applyAlignment="1">
      <alignment horizontal="center" vertical="center" wrapText="1"/>
    </xf>
    <xf numFmtId="168" fontId="36" fillId="0" borderId="17" xfId="0" applyNumberFormat="1" applyFont="1" applyBorder="1" applyAlignment="1">
      <alignment horizontal="center" vertical="center" wrapText="1"/>
    </xf>
    <xf numFmtId="165" fontId="36" fillId="0" borderId="18" xfId="1" applyNumberFormat="1" applyFont="1" applyBorder="1" applyAlignment="1">
      <alignment horizontal="center" vertical="center" wrapText="1"/>
    </xf>
    <xf numFmtId="165" fontId="36" fillId="0" borderId="19" xfId="0" applyNumberFormat="1" applyFont="1" applyBorder="1" applyAlignment="1">
      <alignment horizontal="center" vertical="center" wrapText="1"/>
    </xf>
    <xf numFmtId="0" fontId="44" fillId="15" borderId="0" xfId="0" applyFont="1" applyFill="1" applyAlignment="1">
      <alignment horizontal="center" wrapText="1"/>
    </xf>
    <xf numFmtId="0" fontId="22" fillId="15" borderId="46" xfId="0" applyFont="1" applyFill="1" applyBorder="1" applyAlignment="1">
      <alignment horizontal="center" vertical="center" wrapText="1"/>
    </xf>
    <xf numFmtId="165" fontId="33" fillId="11" borderId="46" xfId="1" applyNumberFormat="1" applyFont="1" applyFill="1" applyBorder="1" applyAlignment="1">
      <alignment horizontal="center" vertical="center" wrapText="1"/>
    </xf>
    <xf numFmtId="164" fontId="33" fillId="11" borderId="46" xfId="0" applyNumberFormat="1" applyFont="1" applyFill="1" applyBorder="1" applyAlignment="1">
      <alignment horizontal="center" vertical="center" wrapText="1"/>
    </xf>
    <xf numFmtId="0" fontId="36" fillId="11" borderId="46" xfId="0" applyFont="1" applyFill="1" applyBorder="1" applyAlignment="1">
      <alignment vertical="center" wrapText="1"/>
    </xf>
    <xf numFmtId="164" fontId="30" fillId="11" borderId="46" xfId="0" applyNumberFormat="1" applyFont="1" applyFill="1" applyBorder="1" applyAlignment="1">
      <alignment horizontal="center" vertical="center" wrapText="1"/>
    </xf>
    <xf numFmtId="168" fontId="30" fillId="11" borderId="46" xfId="14" applyNumberFormat="1" applyFont="1" applyFill="1" applyBorder="1" applyAlignment="1">
      <alignment horizontal="center" vertical="center" wrapText="1"/>
    </xf>
    <xf numFmtId="0" fontId="0" fillId="18" borderId="53" xfId="0" applyFill="1" applyBorder="1" applyAlignment="1">
      <alignment horizontal="center" vertical="center"/>
    </xf>
    <xf numFmtId="0" fontId="0" fillId="20" borderId="53" xfId="0" applyFill="1" applyBorder="1" applyAlignment="1">
      <alignment horizontal="center" vertical="center"/>
    </xf>
    <xf numFmtId="0" fontId="0" fillId="3" borderId="53" xfId="0" applyFill="1" applyBorder="1" applyAlignment="1">
      <alignment horizontal="center" vertical="center"/>
    </xf>
    <xf numFmtId="0" fontId="0" fillId="6" borderId="53" xfId="0" applyFill="1" applyBorder="1" applyAlignment="1">
      <alignment horizontal="center" vertical="center"/>
    </xf>
    <xf numFmtId="0" fontId="0" fillId="21" borderId="53" xfId="0" applyFill="1" applyBorder="1" applyAlignment="1">
      <alignment horizontal="center" vertical="center"/>
    </xf>
    <xf numFmtId="0" fontId="0" fillId="19" borderId="53" xfId="0" applyFill="1" applyBorder="1" applyAlignment="1">
      <alignment horizontal="center" vertical="center"/>
    </xf>
    <xf numFmtId="165" fontId="0" fillId="0" borderId="53" xfId="1" applyNumberFormat="1" applyFont="1" applyBorder="1" applyAlignment="1">
      <alignment horizontal="center" vertical="center"/>
    </xf>
    <xf numFmtId="0" fontId="6" fillId="12" borderId="53" xfId="0" applyFont="1" applyFill="1" applyBorder="1" applyAlignment="1">
      <alignment horizontal="center" vertical="center"/>
    </xf>
    <xf numFmtId="0" fontId="0" fillId="12" borderId="53" xfId="0" applyFill="1" applyBorder="1" applyAlignment="1">
      <alignment horizontal="center" vertical="center"/>
    </xf>
    <xf numFmtId="0" fontId="0" fillId="6" borderId="2" xfId="0" applyFill="1" applyBorder="1" applyAlignment="1">
      <alignment horizontal="left" vertical="top" wrapText="1"/>
    </xf>
    <xf numFmtId="0" fontId="11" fillId="0" borderId="1" xfId="7" applyFont="1" applyBorder="1" applyAlignment="1">
      <alignment horizontal="center"/>
    </xf>
    <xf numFmtId="0" fontId="11" fillId="0" borderId="2" xfId="7" applyFont="1" applyBorder="1" applyAlignment="1">
      <alignment horizontal="center"/>
    </xf>
    <xf numFmtId="0" fontId="11" fillId="0" borderId="3" xfId="7" applyFont="1" applyBorder="1" applyAlignment="1">
      <alignment horizontal="center"/>
    </xf>
    <xf numFmtId="165" fontId="17" fillId="0" borderId="0" xfId="1" applyNumberFormat="1" applyFont="1" applyAlignment="1">
      <alignment vertical="center"/>
    </xf>
    <xf numFmtId="0" fontId="0" fillId="0" borderId="50" xfId="0" applyBorder="1"/>
    <xf numFmtId="0" fontId="0" fillId="0" borderId="37" xfId="0" applyBorder="1"/>
    <xf numFmtId="3" fontId="0" fillId="0" borderId="53" xfId="0" applyNumberFormat="1" applyBorder="1"/>
    <xf numFmtId="0" fontId="0" fillId="6" borderId="2" xfId="0" applyFill="1" applyBorder="1" applyAlignment="1">
      <alignment horizontal="left" vertical="top"/>
    </xf>
    <xf numFmtId="3" fontId="0" fillId="0" borderId="0" xfId="0" applyNumberFormat="1" applyAlignment="1">
      <alignment horizontal="center" vertical="center"/>
    </xf>
    <xf numFmtId="169" fontId="28" fillId="7" borderId="0" xfId="7" applyNumberFormat="1" applyFont="1" applyFill="1" applyAlignment="1">
      <alignment horizontal="center" vertical="center"/>
    </xf>
    <xf numFmtId="170" fontId="6" fillId="5" borderId="31" xfId="7" applyNumberFormat="1" applyFont="1" applyFill="1" applyBorder="1" applyAlignment="1">
      <alignment horizontal="center" vertical="center"/>
    </xf>
    <xf numFmtId="0" fontId="6" fillId="5" borderId="0" xfId="7" applyFont="1" applyFill="1" applyAlignment="1">
      <alignment horizontal="center" vertical="center"/>
    </xf>
    <xf numFmtId="0" fontId="6" fillId="5" borderId="31" xfId="7" applyFont="1" applyFill="1" applyBorder="1" applyAlignment="1">
      <alignment horizontal="center" vertical="center"/>
    </xf>
    <xf numFmtId="0" fontId="0" fillId="22" borderId="0" xfId="0" applyFill="1"/>
    <xf numFmtId="169" fontId="28" fillId="5" borderId="0" xfId="7" applyNumberFormat="1" applyFont="1" applyFill="1" applyAlignment="1">
      <alignment horizontal="center" vertical="center"/>
    </xf>
    <xf numFmtId="0" fontId="7" fillId="0" borderId="4" xfId="7" applyFont="1" applyBorder="1" applyAlignment="1">
      <alignment horizontal="center" vertical="center" wrapText="1"/>
    </xf>
    <xf numFmtId="0" fontId="0" fillId="23" borderId="0" xfId="0" applyFill="1" applyAlignment="1">
      <alignment horizontal="center" vertical="center"/>
    </xf>
    <xf numFmtId="41" fontId="0" fillId="0" borderId="0" xfId="0" applyNumberFormat="1"/>
    <xf numFmtId="0" fontId="0" fillId="0" borderId="0" xfId="0" applyAlignment="1">
      <alignment horizontal="left" vertical="center"/>
    </xf>
    <xf numFmtId="0" fontId="0" fillId="0" borderId="32" xfId="0" applyBorder="1" applyAlignment="1">
      <alignment horizontal="center" vertical="center"/>
    </xf>
    <xf numFmtId="0" fontId="11" fillId="0" borderId="44" xfId="7" applyFont="1" applyBorder="1" applyAlignment="1">
      <alignment vertical="center"/>
    </xf>
    <xf numFmtId="0" fontId="28" fillId="0" borderId="44" xfId="7" applyFont="1" applyBorder="1" applyAlignment="1">
      <alignment horizontal="center" vertical="center"/>
    </xf>
    <xf numFmtId="0" fontId="6" fillId="0" borderId="0" xfId="7" applyFont="1" applyAlignment="1">
      <alignment horizontal="center"/>
    </xf>
    <xf numFmtId="0" fontId="6" fillId="12" borderId="31" xfId="7" applyFont="1" applyFill="1" applyBorder="1" applyAlignment="1">
      <alignment horizontal="center" vertical="center"/>
    </xf>
    <xf numFmtId="170" fontId="6" fillId="12" borderId="31" xfId="7" applyNumberFormat="1" applyFont="1" applyFill="1" applyBorder="1" applyAlignment="1">
      <alignment horizontal="center" vertical="center"/>
    </xf>
    <xf numFmtId="0" fontId="28" fillId="12" borderId="0" xfId="7" applyFont="1" applyFill="1" applyAlignment="1">
      <alignment horizontal="center" vertical="center"/>
    </xf>
    <xf numFmtId="0" fontId="28" fillId="12" borderId="0" xfId="7" applyFont="1" applyFill="1" applyAlignment="1">
      <alignment horizontal="center"/>
    </xf>
    <xf numFmtId="171" fontId="30" fillId="3" borderId="46" xfId="14" applyNumberFormat="1" applyFont="1" applyFill="1" applyBorder="1" applyAlignment="1">
      <alignment horizontal="right" vertical="center"/>
    </xf>
    <xf numFmtId="5" fontId="30" fillId="3" borderId="46" xfId="1" applyNumberFormat="1" applyFont="1" applyFill="1" applyBorder="1" applyAlignment="1">
      <alignment horizontal="right" vertical="center"/>
    </xf>
    <xf numFmtId="3" fontId="0" fillId="3" borderId="0" xfId="0" applyNumberFormat="1" applyFill="1"/>
    <xf numFmtId="166" fontId="33" fillId="13" borderId="0" xfId="0" applyNumberFormat="1" applyFont="1" applyFill="1" applyAlignment="1">
      <alignment horizontal="left" vertical="center"/>
    </xf>
    <xf numFmtId="0" fontId="33" fillId="13" borderId="0" xfId="0" applyFont="1" applyFill="1" applyAlignment="1">
      <alignment horizontal="left"/>
    </xf>
    <xf numFmtId="166" fontId="33" fillId="0" borderId="32" xfId="0" applyNumberFormat="1" applyFont="1" applyBorder="1" applyAlignment="1">
      <alignment horizontal="center" vertical="center" wrapText="1"/>
    </xf>
    <xf numFmtId="0" fontId="33" fillId="0" borderId="32" xfId="0" applyFont="1" applyBorder="1" applyAlignment="1">
      <alignment horizontal="center" vertical="center" wrapText="1"/>
    </xf>
    <xf numFmtId="0" fontId="33" fillId="13" borderId="4" xfId="0" applyFont="1" applyFill="1" applyBorder="1" applyAlignment="1">
      <alignment horizontal="left" vertical="center"/>
    </xf>
    <xf numFmtId="0" fontId="19" fillId="13" borderId="5" xfId="0" applyFont="1" applyFill="1" applyBorder="1" applyAlignment="1">
      <alignment horizontal="center" vertical="center" wrapText="1"/>
    </xf>
    <xf numFmtId="0" fontId="33" fillId="13" borderId="22" xfId="0" applyFont="1" applyFill="1" applyBorder="1" applyAlignment="1">
      <alignment horizontal="left" vertical="center"/>
    </xf>
    <xf numFmtId="166" fontId="33" fillId="13" borderId="23" xfId="0" applyNumberFormat="1" applyFont="1" applyFill="1" applyBorder="1" applyAlignment="1">
      <alignment horizontal="left" vertical="center"/>
    </xf>
    <xf numFmtId="0" fontId="33" fillId="13" borderId="23" xfId="0" applyFont="1" applyFill="1" applyBorder="1" applyAlignment="1">
      <alignment horizontal="left"/>
    </xf>
    <xf numFmtId="0" fontId="33" fillId="13" borderId="48" xfId="0" applyFont="1" applyFill="1" applyBorder="1" applyAlignment="1">
      <alignment horizontal="left"/>
    </xf>
    <xf numFmtId="0" fontId="19" fillId="13" borderId="24" xfId="0" applyFont="1" applyFill="1" applyBorder="1" applyAlignment="1">
      <alignment horizontal="center" vertical="center" wrapText="1"/>
    </xf>
    <xf numFmtId="0" fontId="19" fillId="0" borderId="0" xfId="0" applyFont="1" applyAlignment="1">
      <alignment horizontal="left" vertical="center"/>
    </xf>
    <xf numFmtId="0" fontId="6" fillId="0" borderId="33" xfId="0" applyFont="1" applyBorder="1" applyAlignment="1">
      <alignment vertical="center" wrapText="1"/>
    </xf>
    <xf numFmtId="165" fontId="45" fillId="0" borderId="0" xfId="0" applyNumberFormat="1" applyFont="1"/>
    <xf numFmtId="0" fontId="36" fillId="15" borderId="46" xfId="0" applyFont="1" applyFill="1" applyBorder="1" applyAlignment="1">
      <alignment vertical="center" wrapText="1"/>
    </xf>
    <xf numFmtId="0" fontId="37" fillId="0" borderId="0" xfId="0" applyFont="1"/>
    <xf numFmtId="0" fontId="0" fillId="13" borderId="53" xfId="0" applyFill="1" applyBorder="1"/>
    <xf numFmtId="0" fontId="51" fillId="0" borderId="54" xfId="51" applyFont="1" applyBorder="1" applyAlignment="1">
      <alignment horizontal="center" vertical="center" wrapText="1"/>
    </xf>
    <xf numFmtId="0" fontId="37" fillId="0" borderId="0" xfId="0" applyFont="1" applyAlignment="1">
      <alignment horizontal="center" vertical="center"/>
    </xf>
    <xf numFmtId="0" fontId="52" fillId="0" borderId="0" xfId="0" applyFont="1" applyAlignment="1">
      <alignment horizontal="center" vertical="center"/>
    </xf>
    <xf numFmtId="0" fontId="7" fillId="0" borderId="0" xfId="7" applyFont="1" applyAlignment="1">
      <alignment horizontal="left" vertical="top" wrapText="1"/>
    </xf>
    <xf numFmtId="0" fontId="7" fillId="0" borderId="0" xfId="7" applyFont="1"/>
    <xf numFmtId="165" fontId="53" fillId="0" borderId="46" xfId="1" applyNumberFormat="1" applyFont="1" applyBorder="1" applyAlignment="1">
      <alignment horizontal="center" vertical="center" wrapText="1"/>
    </xf>
    <xf numFmtId="164" fontId="53" fillId="0" borderId="46" xfId="0" applyNumberFormat="1" applyFont="1" applyBorder="1" applyAlignment="1">
      <alignment horizontal="center" vertical="center" wrapText="1"/>
    </xf>
    <xf numFmtId="164" fontId="53" fillId="11" borderId="46" xfId="0" applyNumberFormat="1" applyFont="1" applyFill="1" applyBorder="1" applyAlignment="1">
      <alignment horizontal="center" vertical="center" wrapText="1"/>
    </xf>
    <xf numFmtId="168" fontId="21" fillId="0" borderId="33" xfId="14" applyNumberFormat="1" applyFont="1" applyBorder="1" applyAlignment="1">
      <alignment vertical="center"/>
    </xf>
    <xf numFmtId="0" fontId="21" fillId="0" borderId="53" xfId="0" applyFont="1" applyBorder="1"/>
    <xf numFmtId="168" fontId="21" fillId="0" borderId="33" xfId="0" applyNumberFormat="1" applyFont="1" applyBorder="1" applyAlignment="1">
      <alignment vertical="center"/>
    </xf>
    <xf numFmtId="0" fontId="0" fillId="0" borderId="53" xfId="0" applyBorder="1" applyAlignment="1">
      <alignment horizontal="center"/>
    </xf>
    <xf numFmtId="0" fontId="0" fillId="12" borderId="53" xfId="0" applyFill="1" applyBorder="1" applyAlignment="1">
      <alignment horizontal="center"/>
    </xf>
    <xf numFmtId="0" fontId="8" fillId="11" borderId="0" xfId="0" applyFont="1" applyFill="1"/>
    <xf numFmtId="0" fontId="8" fillId="11" borderId="0" xfId="0" applyFont="1" applyFill="1" applyAlignment="1">
      <alignment horizontal="center"/>
    </xf>
    <xf numFmtId="0" fontId="9" fillId="15" borderId="0" xfId="0" applyFont="1" applyFill="1" applyAlignment="1">
      <alignment horizontal="center"/>
    </xf>
    <xf numFmtId="0" fontId="0" fillId="5" borderId="0" xfId="0" applyFill="1" applyAlignment="1">
      <alignment horizontal="left" vertical="center"/>
    </xf>
    <xf numFmtId="167" fontId="25" fillId="5" borderId="33" xfId="0" applyNumberFormat="1" applyFont="1" applyFill="1" applyBorder="1" applyAlignment="1">
      <alignment vertical="center" wrapText="1"/>
    </xf>
    <xf numFmtId="0" fontId="0" fillId="4" borderId="53" xfId="0" applyFill="1" applyBorder="1" applyAlignment="1">
      <alignment horizontal="left" vertical="center"/>
    </xf>
    <xf numFmtId="0" fontId="0" fillId="4" borderId="53" xfId="0" applyFill="1" applyBorder="1"/>
    <xf numFmtId="0" fontId="7" fillId="0" borderId="0" xfId="7" applyFont="1" applyAlignment="1">
      <alignment vertical="center"/>
    </xf>
    <xf numFmtId="0" fontId="6" fillId="12" borderId="0" xfId="7" applyFont="1" applyFill="1" applyAlignment="1">
      <alignment horizontal="center" vertical="center"/>
    </xf>
    <xf numFmtId="171" fontId="30" fillId="7" borderId="46" xfId="1" applyNumberFormat="1" applyFont="1" applyFill="1" applyBorder="1" applyAlignment="1">
      <alignment horizontal="right" vertical="center"/>
    </xf>
    <xf numFmtId="171" fontId="30" fillId="26" borderId="46" xfId="1" applyNumberFormat="1" applyFont="1" applyFill="1" applyBorder="1" applyAlignment="1">
      <alignment horizontal="right" vertical="center"/>
    </xf>
    <xf numFmtId="0" fontId="55" fillId="0" borderId="0" xfId="0" applyFont="1"/>
    <xf numFmtId="0" fontId="56" fillId="0" borderId="5" xfId="0" applyFont="1" applyBorder="1"/>
    <xf numFmtId="0" fontId="56" fillId="0" borderId="5" xfId="0" applyFont="1" applyBorder="1" applyAlignment="1">
      <alignment vertical="center" wrapText="1" readingOrder="1"/>
    </xf>
    <xf numFmtId="0" fontId="59" fillId="5" borderId="55" xfId="0" applyFont="1" applyFill="1" applyBorder="1" applyAlignment="1">
      <alignment horizontal="center" vertical="center"/>
    </xf>
    <xf numFmtId="0" fontId="59" fillId="0" borderId="56" xfId="0" applyFont="1" applyBorder="1" applyAlignment="1">
      <alignment horizontal="left" vertical="center"/>
    </xf>
    <xf numFmtId="0" fontId="59" fillId="17" borderId="56" xfId="0" applyFont="1" applyFill="1" applyBorder="1" applyAlignment="1">
      <alignment horizontal="center" vertical="center"/>
    </xf>
    <xf numFmtId="0" fontId="59" fillId="0" borderId="57" xfId="0" applyFont="1" applyBorder="1" applyAlignment="1">
      <alignment horizontal="center" vertical="center"/>
    </xf>
    <xf numFmtId="0" fontId="0" fillId="5" borderId="53" xfId="0" applyFill="1" applyBorder="1" applyAlignment="1">
      <alignment horizontal="center" vertical="center"/>
    </xf>
    <xf numFmtId="172" fontId="0" fillId="17" borderId="53" xfId="0" applyNumberFormat="1" applyFill="1" applyBorder="1" applyAlignment="1">
      <alignment horizontal="center" vertical="center"/>
    </xf>
    <xf numFmtId="0" fontId="0" fillId="25" borderId="53" xfId="0" applyFill="1" applyBorder="1" applyAlignment="1">
      <alignment vertical="center" wrapText="1"/>
    </xf>
    <xf numFmtId="0" fontId="0" fillId="0" borderId="53" xfId="0" quotePrefix="1" applyBorder="1" applyAlignment="1">
      <alignment horizontal="center" vertical="center"/>
    </xf>
    <xf numFmtId="0" fontId="0" fillId="13" borderId="53" xfId="0" applyFill="1" applyBorder="1" applyAlignment="1">
      <alignment vertical="center"/>
    </xf>
    <xf numFmtId="0" fontId="0" fillId="13" borderId="53" xfId="0" applyFill="1" applyBorder="1" applyAlignment="1">
      <alignment vertical="center" wrapText="1"/>
    </xf>
    <xf numFmtId="172" fontId="0" fillId="24" borderId="53" xfId="0" applyNumberFormat="1" applyFill="1" applyBorder="1" applyAlignment="1">
      <alignment horizontal="center" vertical="center"/>
    </xf>
    <xf numFmtId="0" fontId="0" fillId="5" borderId="32" xfId="0" applyFill="1" applyBorder="1" applyAlignment="1">
      <alignment horizontal="center" vertical="center"/>
    </xf>
    <xf numFmtId="172" fontId="0" fillId="17" borderId="32" xfId="0" applyNumberFormat="1" applyFill="1" applyBorder="1" applyAlignment="1">
      <alignment horizontal="center" vertical="center"/>
    </xf>
    <xf numFmtId="164" fontId="30" fillId="7" borderId="46" xfId="0" applyNumberFormat="1" applyFont="1" applyFill="1" applyBorder="1" applyAlignment="1">
      <alignment horizontal="center" vertical="center" wrapText="1"/>
    </xf>
    <xf numFmtId="0" fontId="11" fillId="7" borderId="44" xfId="7" applyFont="1" applyFill="1" applyBorder="1" applyAlignment="1">
      <alignment vertical="center"/>
    </xf>
    <xf numFmtId="0" fontId="0" fillId="7" borderId="0" xfId="0" applyFill="1"/>
    <xf numFmtId="0" fontId="0" fillId="0" borderId="0" xfId="0" applyAlignment="1">
      <alignment horizontal="center"/>
    </xf>
    <xf numFmtId="164" fontId="15" fillId="0" borderId="0" xfId="2" applyNumberFormat="1" applyFont="1" applyAlignment="1">
      <alignment horizontal="center" vertical="center"/>
    </xf>
    <xf numFmtId="164" fontId="0" fillId="2" borderId="33" xfId="2" applyNumberFormat="1" applyFont="1" applyFill="1" applyBorder="1" applyAlignment="1">
      <alignment horizontal="right" vertical="center"/>
    </xf>
    <xf numFmtId="168" fontId="0" fillId="22" borderId="33" xfId="14" applyNumberFormat="1" applyFont="1" applyFill="1" applyBorder="1" applyAlignment="1">
      <alignment horizontal="center" vertical="center"/>
    </xf>
    <xf numFmtId="168" fontId="0" fillId="12" borderId="33" xfId="14" applyNumberFormat="1" applyFont="1" applyFill="1" applyBorder="1" applyAlignment="1">
      <alignment horizontal="right" vertical="center"/>
    </xf>
    <xf numFmtId="168" fontId="0" fillId="5" borderId="33" xfId="14" applyNumberFormat="1" applyFont="1" applyFill="1" applyBorder="1" applyAlignment="1">
      <alignment vertical="center"/>
    </xf>
    <xf numFmtId="0" fontId="0" fillId="27" borderId="53" xfId="0" applyFill="1" applyBorder="1" applyAlignment="1">
      <alignment horizontal="center" vertical="top"/>
    </xf>
    <xf numFmtId="0" fontId="0" fillId="2" borderId="53" xfId="0" applyFill="1" applyBorder="1" applyAlignment="1">
      <alignment horizontal="center" vertical="center"/>
    </xf>
    <xf numFmtId="0" fontId="18" fillId="5" borderId="53" xfId="0" applyFont="1" applyFill="1" applyBorder="1" applyAlignment="1">
      <alignment horizontal="center" vertical="center"/>
    </xf>
    <xf numFmtId="0" fontId="6" fillId="0" borderId="0" xfId="0" applyFont="1"/>
    <xf numFmtId="0" fontId="63" fillId="0" borderId="0" xfId="0" applyFont="1"/>
    <xf numFmtId="0" fontId="63" fillId="0" borderId="1" xfId="0" applyFont="1" applyBorder="1"/>
    <xf numFmtId="0" fontId="63" fillId="0" borderId="4" xfId="0" applyFont="1" applyBorder="1"/>
    <xf numFmtId="0" fontId="68" fillId="0" borderId="1" xfId="0" applyFont="1" applyBorder="1" applyAlignment="1">
      <alignment horizontal="left" vertical="center" readingOrder="1"/>
    </xf>
    <xf numFmtId="0" fontId="69" fillId="0" borderId="2" xfId="0" applyFont="1" applyBorder="1"/>
    <xf numFmtId="0" fontId="69" fillId="0" borderId="3" xfId="0" applyFont="1" applyBorder="1"/>
    <xf numFmtId="0" fontId="70" fillId="0" borderId="5" xfId="0" applyFont="1" applyBorder="1" applyAlignment="1">
      <alignment vertical="center" wrapText="1" readingOrder="1"/>
    </xf>
    <xf numFmtId="0" fontId="63" fillId="0" borderId="22" xfId="0" applyFont="1" applyBorder="1"/>
    <xf numFmtId="0" fontId="63" fillId="0" borderId="24" xfId="0" applyFont="1" applyBorder="1"/>
    <xf numFmtId="0" fontId="56" fillId="0" borderId="0" xfId="0" applyFont="1" applyAlignment="1">
      <alignment vertical="center" readingOrder="1"/>
    </xf>
    <xf numFmtId="0" fontId="56" fillId="0" borderId="5" xfId="0" applyFont="1" applyBorder="1" applyAlignment="1">
      <alignment vertical="center" readingOrder="1"/>
    </xf>
    <xf numFmtId="0" fontId="47" fillId="0" borderId="0" xfId="0" applyFont="1" applyAlignment="1">
      <alignment vertical="center" readingOrder="1"/>
    </xf>
    <xf numFmtId="0" fontId="47" fillId="0" borderId="5" xfId="0" applyFont="1" applyBorder="1" applyAlignment="1">
      <alignment vertical="center" readingOrder="1"/>
    </xf>
    <xf numFmtId="0" fontId="72" fillId="0" borderId="0" xfId="50" applyFont="1" applyBorder="1" applyAlignment="1">
      <alignment vertical="center"/>
    </xf>
    <xf numFmtId="0" fontId="63" fillId="0" borderId="0" xfId="0" applyFont="1" applyAlignment="1">
      <alignment vertical="center" wrapText="1" readingOrder="1"/>
    </xf>
    <xf numFmtId="0" fontId="75" fillId="11" borderId="0" xfId="0" applyFont="1" applyFill="1" applyAlignment="1">
      <alignment horizontal="center" vertical="center"/>
    </xf>
    <xf numFmtId="0" fontId="56" fillId="11" borderId="0" xfId="0" applyFont="1" applyFill="1" applyAlignment="1">
      <alignment horizontal="center"/>
    </xf>
    <xf numFmtId="166" fontId="77" fillId="5" borderId="47" xfId="0" applyNumberFormat="1" applyFont="1" applyFill="1" applyBorder="1" applyAlignment="1">
      <alignment horizontal="center" vertical="center"/>
    </xf>
    <xf numFmtId="0" fontId="64" fillId="0" borderId="19" xfId="0" applyFont="1" applyBorder="1" applyAlignment="1">
      <alignment horizontal="center" vertical="center"/>
    </xf>
    <xf numFmtId="0" fontId="62" fillId="11" borderId="0" xfId="0" applyFont="1" applyFill="1" applyAlignment="1">
      <alignment horizontal="center" vertical="center"/>
    </xf>
    <xf numFmtId="166" fontId="64" fillId="0" borderId="0" xfId="0" applyNumberFormat="1" applyFont="1" applyAlignment="1">
      <alignment horizontal="center" vertical="center"/>
    </xf>
    <xf numFmtId="0" fontId="63" fillId="0" borderId="0" xfId="0" applyFont="1" applyAlignment="1">
      <alignment horizontal="center" vertical="center" wrapText="1"/>
    </xf>
    <xf numFmtId="0" fontId="64" fillId="0" borderId="0" xfId="0" applyFont="1" applyAlignment="1">
      <alignment horizontal="center" vertical="center"/>
    </xf>
    <xf numFmtId="0" fontId="49" fillId="0" borderId="0" xfId="0" applyFont="1" applyAlignment="1">
      <alignment vertical="center"/>
    </xf>
    <xf numFmtId="0" fontId="63" fillId="0" borderId="0" xfId="0" applyFont="1" applyAlignment="1">
      <alignment vertical="center"/>
    </xf>
    <xf numFmtId="0" fontId="63" fillId="11" borderId="0" xfId="0" applyFont="1" applyFill="1"/>
    <xf numFmtId="0" fontId="63" fillId="11" borderId="0" xfId="0" applyFont="1" applyFill="1" applyAlignment="1">
      <alignment horizontal="center" vertical="center"/>
    </xf>
    <xf numFmtId="0" fontId="67" fillId="0" borderId="33" xfId="0" applyFont="1" applyBorder="1" applyAlignment="1">
      <alignment horizontal="center" vertical="center" wrapText="1"/>
    </xf>
    <xf numFmtId="0" fontId="67" fillId="0" borderId="46" xfId="0" applyFont="1" applyBorder="1" applyAlignment="1">
      <alignment horizontal="center" vertical="center" wrapText="1"/>
    </xf>
    <xf numFmtId="167" fontId="78" fillId="0" borderId="33" xfId="0" applyNumberFormat="1" applyFont="1" applyBorder="1" applyAlignment="1">
      <alignment vertical="center" wrapText="1"/>
    </xf>
    <xf numFmtId="168" fontId="63" fillId="0" borderId="33" xfId="14" applyNumberFormat="1" applyFont="1" applyBorder="1" applyAlignment="1">
      <alignment vertical="center"/>
    </xf>
    <xf numFmtId="0" fontId="63" fillId="0" borderId="33" xfId="0" applyFont="1" applyBorder="1" applyAlignment="1">
      <alignment vertical="center"/>
    </xf>
    <xf numFmtId="0" fontId="65" fillId="0" borderId="33" xfId="0" applyFont="1" applyBorder="1" applyAlignment="1">
      <alignment vertical="center" wrapText="1"/>
    </xf>
    <xf numFmtId="168" fontId="63" fillId="0" borderId="33" xfId="0" applyNumberFormat="1" applyFont="1" applyBorder="1" applyAlignment="1">
      <alignment vertical="center"/>
    </xf>
    <xf numFmtId="164" fontId="63" fillId="0" borderId="33" xfId="2" applyNumberFormat="1" applyFont="1" applyBorder="1" applyAlignment="1">
      <alignment horizontal="right" vertical="center"/>
    </xf>
    <xf numFmtId="0" fontId="48" fillId="0" borderId="53" xfId="0" applyFont="1" applyBorder="1" applyAlignment="1">
      <alignment horizontal="right" vertical="center"/>
    </xf>
    <xf numFmtId="164" fontId="48" fillId="0" borderId="53" xfId="2" applyNumberFormat="1" applyFont="1" applyBorder="1" applyAlignment="1">
      <alignment horizontal="right" vertical="center"/>
    </xf>
    <xf numFmtId="164" fontId="61" fillId="0" borderId="53" xfId="2" applyNumberFormat="1" applyFont="1" applyBorder="1" applyAlignment="1">
      <alignment horizontal="right" vertical="center"/>
    </xf>
    <xf numFmtId="168" fontId="63" fillId="0" borderId="33" xfId="14" applyNumberFormat="1" applyFont="1" applyBorder="1" applyAlignment="1">
      <alignment horizontal="right" vertical="center"/>
    </xf>
    <xf numFmtId="0" fontId="65" fillId="0" borderId="14" xfId="0" applyFont="1" applyBorder="1" applyAlignment="1">
      <alignment vertical="center"/>
    </xf>
    <xf numFmtId="0" fontId="67" fillId="0" borderId="15" xfId="0" applyFont="1" applyBorder="1" applyAlignment="1">
      <alignment horizontal="center" vertical="center" wrapText="1"/>
    </xf>
    <xf numFmtId="164" fontId="63" fillId="0" borderId="16" xfId="2" applyNumberFormat="1" applyFont="1" applyBorder="1" applyAlignment="1">
      <alignment horizontal="right" vertical="center"/>
    </xf>
    <xf numFmtId="0" fontId="65" fillId="0" borderId="20" xfId="0" applyFont="1" applyBorder="1" applyAlignment="1">
      <alignment vertical="center" wrapText="1"/>
    </xf>
    <xf numFmtId="168" fontId="63" fillId="0" borderId="53" xfId="14" applyNumberFormat="1" applyFont="1" applyBorder="1" applyAlignment="1">
      <alignment horizontal="right" vertical="center"/>
    </xf>
    <xf numFmtId="168" fontId="63" fillId="0" borderId="21" xfId="0" applyNumberFormat="1" applyFont="1" applyBorder="1" applyAlignment="1">
      <alignment vertical="center"/>
    </xf>
    <xf numFmtId="0" fontId="63" fillId="0" borderId="20" xfId="0" applyFont="1" applyBorder="1" applyAlignment="1">
      <alignment vertical="center" wrapText="1"/>
    </xf>
    <xf numFmtId="0" fontId="63" fillId="11" borderId="4" xfId="0" applyFont="1" applyFill="1" applyBorder="1" applyAlignment="1">
      <alignment vertical="center"/>
    </xf>
    <xf numFmtId="0" fontId="63" fillId="11" borderId="5" xfId="0" applyFont="1" applyFill="1" applyBorder="1" applyAlignment="1">
      <alignment horizontal="center" vertical="center"/>
    </xf>
    <xf numFmtId="168" fontId="63" fillId="6" borderId="53" xfId="14" applyNumberFormat="1" applyFont="1" applyFill="1" applyBorder="1" applyAlignment="1">
      <alignment horizontal="center" vertical="center"/>
    </xf>
    <xf numFmtId="168" fontId="63" fillId="0" borderId="53" xfId="14" applyNumberFormat="1" applyFont="1" applyFill="1" applyBorder="1" applyAlignment="1">
      <alignment horizontal="center" vertical="center"/>
    </xf>
    <xf numFmtId="168" fontId="63" fillId="11" borderId="0" xfId="0" applyNumberFormat="1" applyFont="1" applyFill="1" applyAlignment="1">
      <alignment horizontal="center" vertical="center"/>
    </xf>
    <xf numFmtId="0" fontId="63" fillId="0" borderId="17" xfId="0" applyFont="1" applyBorder="1" applyAlignment="1">
      <alignment vertical="center" wrapText="1"/>
    </xf>
    <xf numFmtId="168" fontId="63" fillId="0" borderId="18" xfId="0" applyNumberFormat="1" applyFont="1" applyBorder="1" applyAlignment="1">
      <alignment vertical="center"/>
    </xf>
    <xf numFmtId="168" fontId="63" fillId="0" borderId="19" xfId="0" applyNumberFormat="1" applyFont="1" applyBorder="1" applyAlignment="1">
      <alignment vertical="center"/>
    </xf>
    <xf numFmtId="0" fontId="67" fillId="0" borderId="16" xfId="0" applyFont="1" applyBorder="1" applyAlignment="1">
      <alignment horizontal="center" vertical="center" wrapText="1"/>
    </xf>
    <xf numFmtId="168" fontId="63" fillId="0" borderId="53" xfId="0" applyNumberFormat="1" applyFont="1" applyBorder="1"/>
    <xf numFmtId="168" fontId="63" fillId="0" borderId="21" xfId="0" applyNumberFormat="1" applyFont="1" applyBorder="1"/>
    <xf numFmtId="168" fontId="63" fillId="0" borderId="18" xfId="0" applyNumberFormat="1" applyFont="1" applyBorder="1"/>
    <xf numFmtId="168" fontId="63" fillId="0" borderId="19" xfId="0" applyNumberFormat="1" applyFont="1" applyBorder="1"/>
    <xf numFmtId="0" fontId="76"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vertical="top" wrapText="1"/>
    </xf>
    <xf numFmtId="166" fontId="63" fillId="29" borderId="0" xfId="0" applyNumberFormat="1" applyFont="1" applyFill="1" applyAlignment="1">
      <alignment horizontal="center" vertical="center"/>
    </xf>
    <xf numFmtId="0" fontId="63" fillId="29" borderId="0" xfId="0" applyFont="1" applyFill="1" applyAlignment="1">
      <alignment vertical="center"/>
    </xf>
    <xf numFmtId="0" fontId="63" fillId="29" borderId="0" xfId="0" applyFont="1" applyFill="1"/>
    <xf numFmtId="0" fontId="63" fillId="29" borderId="0" xfId="0" applyFont="1" applyFill="1" applyAlignment="1">
      <alignment horizontal="left" vertical="center"/>
    </xf>
    <xf numFmtId="0" fontId="73" fillId="23" borderId="1" xfId="0" applyFont="1" applyFill="1" applyBorder="1" applyAlignment="1">
      <alignment horizontal="center" vertical="center" wrapText="1"/>
    </xf>
    <xf numFmtId="0" fontId="73" fillId="0" borderId="22" xfId="0" applyFont="1" applyBorder="1" applyAlignment="1">
      <alignment horizontal="center" vertical="center" wrapText="1"/>
    </xf>
    <xf numFmtId="0" fontId="71" fillId="0" borderId="2" xfId="0" applyFont="1" applyBorder="1" applyAlignment="1">
      <alignment vertical="center" readingOrder="1"/>
    </xf>
    <xf numFmtId="0" fontId="71" fillId="0" borderId="3" xfId="0" applyFont="1" applyBorder="1" applyAlignment="1">
      <alignment vertical="center" readingOrder="1"/>
    </xf>
    <xf numFmtId="0" fontId="63" fillId="0" borderId="0" xfId="0" applyFont="1" applyAlignment="1">
      <alignment vertical="center" readingOrder="1"/>
    </xf>
    <xf numFmtId="0" fontId="68" fillId="0" borderId="1" xfId="0" applyFont="1" applyBorder="1" applyAlignment="1">
      <alignment vertical="center" readingOrder="1"/>
    </xf>
    <xf numFmtId="0" fontId="63" fillId="28" borderId="8" xfId="0" applyFont="1" applyFill="1" applyBorder="1" applyAlignment="1">
      <alignment vertical="center"/>
    </xf>
    <xf numFmtId="0" fontId="63" fillId="28" borderId="9" xfId="0" applyFont="1" applyFill="1" applyBorder="1" applyAlignment="1">
      <alignment horizontal="center" vertical="center"/>
    </xf>
    <xf numFmtId="0" fontId="63" fillId="28" borderId="10" xfId="0" applyFont="1" applyFill="1" applyBorder="1" applyAlignment="1">
      <alignment horizontal="center" vertical="center"/>
    </xf>
    <xf numFmtId="168" fontId="63" fillId="0" borderId="53" xfId="0" applyNumberFormat="1" applyFont="1" applyBorder="1" applyAlignment="1">
      <alignment vertical="center"/>
    </xf>
    <xf numFmtId="0" fontId="63" fillId="0" borderId="0" xfId="0" applyFont="1" applyAlignment="1">
      <alignment vertical="top"/>
    </xf>
    <xf numFmtId="0" fontId="63" fillId="0" borderId="25" xfId="0" applyFont="1" applyBorder="1"/>
    <xf numFmtId="0" fontId="63" fillId="0" borderId="26" xfId="0" applyFont="1" applyBorder="1"/>
    <xf numFmtId="0" fontId="6" fillId="12" borderId="0" xfId="0" applyFont="1" applyFill="1" applyAlignment="1">
      <alignment horizontal="left" vertical="center"/>
    </xf>
    <xf numFmtId="0" fontId="6" fillId="7" borderId="53" xfId="0" applyFont="1" applyFill="1" applyBorder="1" applyAlignment="1">
      <alignment vertical="center" wrapText="1"/>
    </xf>
    <xf numFmtId="0" fontId="0" fillId="5" borderId="53" xfId="0" applyFill="1" applyBorder="1" applyAlignment="1">
      <alignment horizontal="center"/>
    </xf>
    <xf numFmtId="0" fontId="0" fillId="23" borderId="0" xfId="0" applyFill="1"/>
    <xf numFmtId="0" fontId="80" fillId="0" borderId="0" xfId="0" applyFont="1" applyAlignment="1">
      <alignment horizontal="center" vertical="center"/>
    </xf>
    <xf numFmtId="0" fontId="60" fillId="0" borderId="0" xfId="0" applyFont="1"/>
    <xf numFmtId="0" fontId="0" fillId="12" borderId="52" xfId="0" applyFill="1" applyBorder="1"/>
    <xf numFmtId="0" fontId="0" fillId="12" borderId="51" xfId="0" applyFill="1" applyBorder="1"/>
    <xf numFmtId="0" fontId="0" fillId="12" borderId="45" xfId="0" applyFill="1" applyBorder="1"/>
    <xf numFmtId="0" fontId="0" fillId="12" borderId="53" xfId="0" applyFill="1" applyBorder="1" applyAlignment="1">
      <alignment horizontal="left" vertical="center"/>
    </xf>
    <xf numFmtId="164" fontId="0" fillId="6" borderId="0" xfId="0" applyNumberFormat="1" applyFill="1" applyAlignment="1">
      <alignment horizontal="center" vertical="center"/>
    </xf>
    <xf numFmtId="164" fontId="0" fillId="19" borderId="0" xfId="0" applyNumberFormat="1" applyFill="1" applyAlignment="1">
      <alignment horizontal="center" vertical="center"/>
    </xf>
    <xf numFmtId="43" fontId="0" fillId="0" borderId="0" xfId="0" applyNumberFormat="1" applyAlignment="1">
      <alignment vertical="center"/>
    </xf>
    <xf numFmtId="0" fontId="0" fillId="12" borderId="0" xfId="0" applyFill="1" applyAlignment="1">
      <alignment vertical="center"/>
    </xf>
    <xf numFmtId="0" fontId="45" fillId="0" borderId="0" xfId="0" applyFont="1" applyAlignment="1">
      <alignment vertical="center" wrapText="1"/>
    </xf>
    <xf numFmtId="0" fontId="0" fillId="12" borderId="0" xfId="0" applyFill="1"/>
    <xf numFmtId="0" fontId="20" fillId="0" borderId="0" xfId="0" applyFont="1"/>
    <xf numFmtId="0" fontId="80" fillId="0" borderId="0" xfId="0" applyFont="1"/>
    <xf numFmtId="0" fontId="80" fillId="0" borderId="0" xfId="0" applyFont="1" applyAlignment="1">
      <alignment horizontal="center" vertical="center" wrapText="1"/>
    </xf>
    <xf numFmtId="0" fontId="0" fillId="30" borderId="53" xfId="0" applyFill="1" applyBorder="1" applyAlignment="1">
      <alignment horizontal="center" vertical="center"/>
    </xf>
    <xf numFmtId="0" fontId="2" fillId="0" borderId="53" xfId="0" applyFont="1" applyBorder="1" applyAlignment="1">
      <alignment vertical="center"/>
    </xf>
    <xf numFmtId="0" fontId="0" fillId="14" borderId="0" xfId="0" applyFill="1"/>
    <xf numFmtId="0" fontId="0" fillId="0" borderId="12" xfId="0" applyBorder="1" applyAlignment="1">
      <alignment horizontal="center" vertical="center" wrapText="1"/>
    </xf>
    <xf numFmtId="0" fontId="3" fillId="0" borderId="0" xfId="0" applyFont="1" applyAlignment="1">
      <alignment horizontal="center" vertical="center" wrapText="1"/>
    </xf>
    <xf numFmtId="43" fontId="0" fillId="0" borderId="0" xfId="25" applyFont="1"/>
    <xf numFmtId="172" fontId="0" fillId="0" borderId="0" xfId="0" applyNumberFormat="1"/>
    <xf numFmtId="0" fontId="3" fillId="0" borderId="0" xfId="0" applyFont="1"/>
    <xf numFmtId="0" fontId="0" fillId="19" borderId="0" xfId="0" applyFill="1"/>
    <xf numFmtId="43" fontId="0" fillId="0" borderId="0" xfId="25" applyFont="1" applyFill="1"/>
    <xf numFmtId="0" fontId="0" fillId="31" borderId="53" xfId="0" applyFill="1" applyBorder="1" applyAlignment="1">
      <alignment horizontal="center" vertical="center"/>
    </xf>
    <xf numFmtId="167" fontId="18" fillId="0" borderId="20" xfId="0" applyNumberFormat="1" applyFont="1" applyBorder="1" applyAlignment="1">
      <alignment horizontal="left" vertical="center" wrapText="1"/>
    </xf>
    <xf numFmtId="167" fontId="18" fillId="0" borderId="53" xfId="0" applyNumberFormat="1" applyFont="1" applyBorder="1" applyAlignment="1">
      <alignment horizontal="left" vertical="center" wrapText="1"/>
    </xf>
    <xf numFmtId="0" fontId="7" fillId="0" borderId="52" xfId="0" applyFont="1" applyBorder="1" applyAlignment="1">
      <alignment vertical="center" wrapText="1"/>
    </xf>
    <xf numFmtId="168" fontId="8" fillId="0" borderId="53" xfId="39" applyNumberFormat="1" applyFont="1" applyBorder="1" applyAlignment="1">
      <alignment vertical="center"/>
    </xf>
    <xf numFmtId="165" fontId="8" fillId="0" borderId="53" xfId="0" applyNumberFormat="1" applyFont="1" applyBorder="1" applyAlignment="1">
      <alignment horizontal="center" vertical="center" wrapText="1"/>
    </xf>
    <xf numFmtId="165" fontId="8" fillId="0" borderId="0" xfId="0" applyNumberFormat="1" applyFont="1" applyAlignment="1">
      <alignment horizontal="center" vertical="center" wrapText="1"/>
    </xf>
    <xf numFmtId="0" fontId="9" fillId="0" borderId="1" xfId="0" applyFont="1" applyBorder="1" applyAlignment="1">
      <alignment vertical="center" wrapText="1"/>
    </xf>
    <xf numFmtId="0" fontId="9" fillId="0" borderId="0" xfId="0" applyFont="1" applyAlignment="1">
      <alignment vertical="center"/>
    </xf>
    <xf numFmtId="0" fontId="7" fillId="0" borderId="1" xfId="0" applyFont="1" applyBorder="1" applyAlignment="1">
      <alignment vertical="center" wrapText="1"/>
    </xf>
    <xf numFmtId="43" fontId="8" fillId="0" borderId="2" xfId="1" applyFont="1" applyFill="1" applyBorder="1" applyAlignment="1">
      <alignment vertical="center"/>
    </xf>
    <xf numFmtId="43" fontId="8" fillId="0" borderId="3" xfId="1" applyFont="1" applyFill="1" applyBorder="1" applyAlignment="1">
      <alignment vertical="center"/>
    </xf>
    <xf numFmtId="0" fontId="7" fillId="0" borderId="4" xfId="0" applyFont="1" applyBorder="1" applyAlignment="1">
      <alignment vertical="center" wrapText="1"/>
    </xf>
    <xf numFmtId="43" fontId="8" fillId="0" borderId="5" xfId="1" applyFont="1" applyFill="1" applyBorder="1" applyAlignment="1">
      <alignment vertical="center"/>
    </xf>
    <xf numFmtId="0" fontId="7" fillId="0" borderId="11" xfId="0" applyFont="1" applyBorder="1" applyAlignment="1">
      <alignment vertical="center" wrapText="1"/>
    </xf>
    <xf numFmtId="43" fontId="8" fillId="0" borderId="6" xfId="1" applyFont="1" applyFill="1" applyBorder="1" applyAlignment="1">
      <alignment vertical="center"/>
    </xf>
    <xf numFmtId="43" fontId="8" fillId="6" borderId="7" xfId="1" applyFont="1" applyFill="1" applyBorder="1" applyAlignment="1">
      <alignment vertical="center"/>
    </xf>
    <xf numFmtId="0" fontId="8" fillId="0" borderId="0" xfId="0" applyFont="1" applyAlignment="1">
      <alignment vertical="center" wrapText="1"/>
    </xf>
    <xf numFmtId="0" fontId="9" fillId="0" borderId="8" xfId="0" applyFont="1" applyBorder="1" applyAlignment="1">
      <alignment vertical="center" wrapText="1"/>
    </xf>
    <xf numFmtId="43" fontId="8" fillId="0" borderId="53" xfId="1" applyFont="1" applyBorder="1" applyAlignment="1">
      <alignment vertical="center"/>
    </xf>
    <xf numFmtId="0" fontId="8" fillId="0" borderId="53" xfId="0" applyFont="1" applyBorder="1" applyAlignment="1">
      <alignment horizontal="center" vertical="center"/>
    </xf>
    <xf numFmtId="0" fontId="7" fillId="0" borderId="8" xfId="0" applyFont="1" applyBorder="1" applyAlignment="1">
      <alignment vertical="center" wrapText="1"/>
    </xf>
    <xf numFmtId="43" fontId="8" fillId="0" borderId="9" xfId="1" applyFont="1" applyFill="1" applyBorder="1" applyAlignment="1">
      <alignment vertical="center"/>
    </xf>
    <xf numFmtId="43" fontId="8" fillId="4" borderId="10" xfId="1" applyFont="1" applyFill="1" applyBorder="1" applyAlignment="1">
      <alignment vertical="center"/>
    </xf>
    <xf numFmtId="43" fontId="8" fillId="3" borderId="53" xfId="1" applyFont="1" applyFill="1" applyBorder="1" applyAlignment="1">
      <alignment vertical="center"/>
    </xf>
    <xf numFmtId="43" fontId="8" fillId="4" borderId="53" xfId="0" applyNumberFormat="1" applyFont="1" applyFill="1" applyBorder="1" applyAlignment="1">
      <alignment vertical="center"/>
    </xf>
    <xf numFmtId="0" fontId="11" fillId="0" borderId="1" xfId="0" applyFont="1" applyBorder="1" applyAlignment="1">
      <alignment vertical="center" wrapText="1"/>
    </xf>
    <xf numFmtId="43" fontId="8" fillId="2" borderId="53" xfId="1" applyFont="1" applyFill="1" applyBorder="1" applyAlignment="1">
      <alignment vertical="center"/>
    </xf>
    <xf numFmtId="43" fontId="8" fillId="8" borderId="7" xfId="1" applyFont="1" applyFill="1" applyBorder="1" applyAlignment="1">
      <alignment vertical="center"/>
    </xf>
    <xf numFmtId="43" fontId="7" fillId="3" borderId="53" xfId="20" applyNumberFormat="1" applyFont="1" applyFill="1" applyBorder="1" applyAlignment="1">
      <alignment vertical="center"/>
    </xf>
    <xf numFmtId="43" fontId="8" fillId="7" borderId="10" xfId="1" applyFont="1" applyFill="1" applyBorder="1" applyAlignment="1">
      <alignment vertical="center"/>
    </xf>
    <xf numFmtId="43" fontId="7" fillId="2" borderId="53" xfId="20" applyNumberFormat="1" applyFont="1" applyFill="1" applyBorder="1" applyAlignment="1">
      <alignment vertical="center"/>
    </xf>
    <xf numFmtId="0" fontId="26" fillId="0" borderId="0" xfId="0" applyFont="1" applyAlignment="1">
      <alignment vertical="top"/>
    </xf>
    <xf numFmtId="0" fontId="26" fillId="0" borderId="23" xfId="0" applyFont="1" applyBorder="1" applyAlignment="1">
      <alignment vertical="top"/>
    </xf>
    <xf numFmtId="165" fontId="17" fillId="0" borderId="0" xfId="1" applyNumberFormat="1" applyFont="1" applyAlignment="1"/>
    <xf numFmtId="0" fontId="82" fillId="0" borderId="0" xfId="0" applyFont="1" applyAlignment="1">
      <alignment horizontal="left"/>
    </xf>
    <xf numFmtId="0" fontId="7" fillId="0" borderId="0" xfId="0" applyFont="1" applyAlignment="1">
      <alignment horizontal="center" vertical="center"/>
    </xf>
    <xf numFmtId="168" fontId="8" fillId="0" borderId="53" xfId="14" applyNumberFormat="1" applyFont="1" applyBorder="1" applyAlignment="1">
      <alignment vertical="center"/>
    </xf>
    <xf numFmtId="164" fontId="0" fillId="0" borderId="53" xfId="2" applyNumberFormat="1" applyFont="1" applyFill="1" applyBorder="1" applyAlignment="1">
      <alignment horizontal="center" vertical="center" wrapText="1"/>
    </xf>
    <xf numFmtId="0" fontId="15" fillId="0" borderId="53" xfId="0" applyFont="1" applyBorder="1" applyAlignment="1">
      <alignment horizontal="center" vertical="center" wrapText="1"/>
    </xf>
    <xf numFmtId="165" fontId="0" fillId="6" borderId="0" xfId="1" applyNumberFormat="1" applyFont="1" applyFill="1" applyAlignment="1">
      <alignment horizontal="center" vertical="center"/>
    </xf>
    <xf numFmtId="0" fontId="14" fillId="17" borderId="58" xfId="26" applyFont="1" applyFill="1" applyBorder="1" applyAlignment="1">
      <alignment horizontal="center" vertical="center"/>
    </xf>
    <xf numFmtId="0" fontId="14" fillId="5" borderId="59" xfId="26" applyFont="1" applyFill="1" applyBorder="1" applyAlignment="1">
      <alignment horizontal="center" vertical="center"/>
    </xf>
    <xf numFmtId="0" fontId="14" fillId="0" borderId="60" xfId="26" applyFont="1" applyBorder="1" applyAlignment="1">
      <alignment horizontal="center" vertical="center"/>
    </xf>
    <xf numFmtId="172" fontId="1" fillId="17" borderId="53" xfId="26" applyNumberFormat="1" applyFill="1" applyBorder="1" applyAlignment="1">
      <alignment horizontal="center" vertical="center"/>
    </xf>
    <xf numFmtId="0" fontId="1" fillId="0" borderId="53" xfId="26" applyBorder="1" applyAlignment="1">
      <alignment horizontal="center" vertical="center"/>
    </xf>
    <xf numFmtId="0" fontId="1" fillId="0" borderId="53" xfId="26" applyBorder="1" applyAlignment="1">
      <alignment horizontal="left" vertical="center" wrapText="1"/>
    </xf>
    <xf numFmtId="172" fontId="1" fillId="24" borderId="53" xfId="26" applyNumberFormat="1" applyFill="1" applyBorder="1" applyAlignment="1">
      <alignment horizontal="center" vertical="center"/>
    </xf>
    <xf numFmtId="0" fontId="1" fillId="0" borderId="53" xfId="26" quotePrefix="1" applyBorder="1" applyAlignment="1">
      <alignment horizontal="center" vertical="center"/>
    </xf>
    <xf numFmtId="0" fontId="6" fillId="0" borderId="53" xfId="26" applyFont="1" applyBorder="1" applyAlignment="1">
      <alignment vertical="center"/>
    </xf>
    <xf numFmtId="0" fontId="1" fillId="0" borderId="53" xfId="26" applyBorder="1" applyAlignment="1">
      <alignment vertical="center"/>
    </xf>
    <xf numFmtId="0" fontId="1" fillId="0" borderId="53" xfId="26" applyBorder="1"/>
    <xf numFmtId="0" fontId="6" fillId="0" borderId="53" xfId="26" applyFont="1" applyBorder="1" applyAlignment="1">
      <alignment horizontal="left" vertical="center"/>
    </xf>
    <xf numFmtId="0" fontId="2" fillId="0" borderId="53" xfId="26" applyFont="1" applyBorder="1" applyAlignment="1">
      <alignment horizontal="center" vertical="center"/>
    </xf>
    <xf numFmtId="0" fontId="2" fillId="0" borderId="53" xfId="26" applyFont="1" applyBorder="1" applyAlignment="1">
      <alignment vertical="center"/>
    </xf>
    <xf numFmtId="0" fontId="1" fillId="0" borderId="53" xfId="26" applyBorder="1" applyAlignment="1">
      <alignment vertical="center" wrapText="1"/>
    </xf>
    <xf numFmtId="0" fontId="6" fillId="23" borderId="53" xfId="26" applyFont="1" applyFill="1" applyBorder="1" applyAlignment="1">
      <alignment vertical="center" wrapText="1"/>
    </xf>
    <xf numFmtId="0" fontId="1" fillId="32" borderId="53" xfId="26" applyFill="1" applyBorder="1" applyAlignment="1">
      <alignment horizontal="center" vertical="center"/>
    </xf>
    <xf numFmtId="0" fontId="1" fillId="33" borderId="53" xfId="26" applyFill="1" applyBorder="1" applyAlignment="1">
      <alignment horizontal="left" vertical="center" wrapText="1"/>
    </xf>
    <xf numFmtId="166" fontId="1" fillId="0" borderId="53" xfId="26" applyNumberFormat="1" applyBorder="1" applyAlignment="1">
      <alignment horizontal="center" vertical="center"/>
    </xf>
    <xf numFmtId="166" fontId="3" fillId="5" borderId="53" xfId="0" applyNumberFormat="1" applyFont="1" applyFill="1" applyBorder="1" applyAlignment="1">
      <alignment horizontal="center" vertical="center"/>
    </xf>
    <xf numFmtId="172" fontId="0" fillId="5" borderId="53" xfId="0" applyNumberFormat="1" applyFill="1" applyBorder="1" applyAlignment="1">
      <alignment horizontal="center" vertical="center"/>
    </xf>
    <xf numFmtId="166" fontId="2" fillId="0" borderId="53" xfId="26" applyNumberFormat="1" applyFont="1" applyBorder="1" applyAlignment="1">
      <alignment horizontal="center" vertical="center"/>
    </xf>
    <xf numFmtId="166" fontId="3" fillId="0" borderId="53" xfId="0" applyNumberFormat="1" applyFont="1" applyBorder="1" applyAlignment="1">
      <alignment horizontal="center" vertical="center"/>
    </xf>
    <xf numFmtId="0" fontId="81" fillId="0" borderId="0" xfId="0" applyFont="1" applyAlignment="1">
      <alignment horizontal="left" vertical="center"/>
    </xf>
    <xf numFmtId="0" fontId="15" fillId="0" borderId="0" xfId="0" applyFont="1" applyAlignment="1">
      <alignment horizontal="center" vertical="center"/>
    </xf>
    <xf numFmtId="168" fontId="63" fillId="0" borderId="0" xfId="0" applyNumberFormat="1" applyFont="1" applyAlignment="1">
      <alignment vertical="top"/>
    </xf>
    <xf numFmtId="0" fontId="59" fillId="0" borderId="55" xfId="0" applyFont="1" applyBorder="1" applyAlignment="1">
      <alignment horizontal="center" vertical="center"/>
    </xf>
    <xf numFmtId="0" fontId="2" fillId="34" borderId="0" xfId="0" applyFont="1" applyFill="1"/>
    <xf numFmtId="0" fontId="0" fillId="34" borderId="0" xfId="0" applyFill="1"/>
    <xf numFmtId="0" fontId="1" fillId="13" borderId="53" xfId="26" applyFill="1" applyBorder="1" applyAlignment="1">
      <alignment horizontal="left" vertical="center" wrapText="1"/>
    </xf>
    <xf numFmtId="0" fontId="6" fillId="13" borderId="0" xfId="0" applyFont="1" applyFill="1" applyAlignment="1">
      <alignment horizontal="left" vertical="center"/>
    </xf>
    <xf numFmtId="0" fontId="6" fillId="4" borderId="0" xfId="0" applyFont="1" applyFill="1" applyAlignment="1">
      <alignment horizontal="left" vertical="center"/>
    </xf>
    <xf numFmtId="0" fontId="1" fillId="13" borderId="53" xfId="26" applyFill="1" applyBorder="1" applyAlignment="1">
      <alignment vertical="center"/>
    </xf>
    <xf numFmtId="0" fontId="1" fillId="5" borderId="53" xfId="26" applyFill="1" applyBorder="1" applyAlignment="1">
      <alignment horizontal="center" vertical="center"/>
    </xf>
    <xf numFmtId="0" fontId="2" fillId="0" borderId="0" xfId="0" applyFont="1"/>
    <xf numFmtId="0" fontId="82" fillId="0" borderId="0" xfId="0" applyFont="1"/>
    <xf numFmtId="0" fontId="17" fillId="0" borderId="0" xfId="0" applyFont="1"/>
    <xf numFmtId="168" fontId="63" fillId="23" borderId="53" xfId="14" applyNumberFormat="1" applyFont="1" applyFill="1" applyBorder="1" applyAlignment="1">
      <alignment horizontal="center" vertical="center"/>
    </xf>
    <xf numFmtId="168" fontId="63" fillId="5" borderId="53" xfId="14" applyNumberFormat="1" applyFont="1" applyFill="1" applyBorder="1" applyAlignment="1">
      <alignment horizontal="center" vertical="center"/>
    </xf>
    <xf numFmtId="168" fontId="63" fillId="5" borderId="33" xfId="14" applyNumberFormat="1" applyFont="1" applyFill="1" applyBorder="1" applyAlignment="1">
      <alignment horizontal="center" vertical="center"/>
    </xf>
    <xf numFmtId="168" fontId="63" fillId="23" borderId="33" xfId="14" applyNumberFormat="1" applyFont="1" applyFill="1" applyBorder="1" applyAlignment="1">
      <alignment horizontal="center" vertical="center"/>
    </xf>
    <xf numFmtId="168" fontId="63" fillId="2" borderId="53" xfId="14" applyNumberFormat="1" applyFont="1" applyFill="1" applyBorder="1" applyAlignment="1">
      <alignment horizontal="center" vertical="center"/>
    </xf>
    <xf numFmtId="168" fontId="63" fillId="2" borderId="33" xfId="14" applyNumberFormat="1" applyFont="1" applyFill="1" applyBorder="1" applyAlignment="1">
      <alignment horizontal="center" vertical="center"/>
    </xf>
    <xf numFmtId="168" fontId="63" fillId="6" borderId="33" xfId="14" applyNumberFormat="1" applyFont="1" applyFill="1" applyBorder="1" applyAlignment="1">
      <alignment horizontal="center" vertical="center"/>
    </xf>
    <xf numFmtId="168" fontId="63" fillId="34" borderId="33" xfId="14" applyNumberFormat="1" applyFont="1" applyFill="1" applyBorder="1" applyAlignment="1">
      <alignment horizontal="center" vertical="center"/>
    </xf>
    <xf numFmtId="168" fontId="63" fillId="34" borderId="53" xfId="14" applyNumberFormat="1" applyFont="1" applyFill="1" applyBorder="1" applyAlignment="1">
      <alignment horizontal="center" vertical="center"/>
    </xf>
    <xf numFmtId="164" fontId="63" fillId="0" borderId="33" xfId="2" applyNumberFormat="1" applyFont="1" applyFill="1" applyBorder="1" applyAlignment="1">
      <alignment horizontal="right" vertical="center"/>
    </xf>
    <xf numFmtId="0" fontId="0" fillId="0" borderId="20" xfId="0" applyBorder="1" applyAlignment="1">
      <alignment vertical="center" wrapText="1"/>
    </xf>
    <xf numFmtId="0" fontId="0" fillId="0" borderId="17" xfId="0" applyBorder="1" applyAlignment="1">
      <alignment vertical="center" wrapText="1"/>
    </xf>
    <xf numFmtId="0" fontId="0" fillId="5" borderId="0" xfId="0" applyFill="1" applyAlignment="1">
      <alignment horizontal="center" vertical="center"/>
    </xf>
    <xf numFmtId="0" fontId="7" fillId="5" borderId="0" xfId="0" applyFont="1" applyFill="1" applyAlignment="1">
      <alignment horizontal="center" vertical="center"/>
    </xf>
    <xf numFmtId="44" fontId="1" fillId="0" borderId="0" xfId="12" applyNumberFormat="1"/>
    <xf numFmtId="44" fontId="0" fillId="0" borderId="0" xfId="0" applyNumberFormat="1"/>
    <xf numFmtId="9" fontId="1" fillId="0" borderId="0" xfId="2" applyBorder="1"/>
    <xf numFmtId="9" fontId="0" fillId="0" borderId="0" xfId="2" applyFont="1" applyBorder="1"/>
    <xf numFmtId="168" fontId="1" fillId="0" borderId="0" xfId="12" applyNumberFormat="1"/>
    <xf numFmtId="168" fontId="0" fillId="0" borderId="0" xfId="0" applyNumberFormat="1"/>
    <xf numFmtId="168" fontId="8" fillId="0" borderId="53" xfId="12" applyNumberFormat="1" applyFont="1" applyBorder="1" applyAlignment="1">
      <alignment vertical="center"/>
    </xf>
    <xf numFmtId="0" fontId="84" fillId="13" borderId="4" xfId="0" applyFont="1" applyFill="1" applyBorder="1" applyAlignment="1">
      <alignment horizontal="centerContinuous" vertical="center"/>
    </xf>
    <xf numFmtId="0" fontId="85" fillId="13" borderId="0" xfId="0" applyFont="1" applyFill="1" applyAlignment="1">
      <alignment horizontal="centerContinuous" vertical="center"/>
    </xf>
    <xf numFmtId="0" fontId="85" fillId="13" borderId="5" xfId="0" applyFont="1" applyFill="1" applyBorder="1" applyAlignment="1">
      <alignment horizontal="centerContinuous" vertical="center"/>
    </xf>
    <xf numFmtId="0" fontId="83" fillId="35" borderId="9" xfId="0" applyFont="1" applyFill="1" applyBorder="1" applyAlignment="1">
      <alignment horizontal="centerContinuous" vertical="center"/>
    </xf>
    <xf numFmtId="0" fontId="83" fillId="35" borderId="10" xfId="0" applyFont="1" applyFill="1" applyBorder="1" applyAlignment="1">
      <alignment horizontal="centerContinuous" vertical="center"/>
    </xf>
    <xf numFmtId="0" fontId="63" fillId="35" borderId="9" xfId="0" applyFont="1" applyFill="1" applyBorder="1" applyAlignment="1">
      <alignment horizontal="centerContinuous" vertical="center"/>
    </xf>
    <xf numFmtId="0" fontId="63" fillId="35" borderId="10" xfId="0" applyFont="1" applyFill="1" applyBorder="1" applyAlignment="1">
      <alignment horizontal="centerContinuous" vertical="center"/>
    </xf>
    <xf numFmtId="167" fontId="49" fillId="9" borderId="33" xfId="0" applyNumberFormat="1" applyFont="1" applyFill="1" applyBorder="1" applyAlignment="1">
      <alignment horizontal="center" vertical="center" wrapText="1"/>
    </xf>
    <xf numFmtId="0" fontId="6" fillId="17" borderId="53" xfId="0" applyFont="1" applyFill="1" applyBorder="1" applyAlignment="1">
      <alignment horizontal="center" vertical="center"/>
    </xf>
    <xf numFmtId="172" fontId="6" fillId="17" borderId="53" xfId="0" applyNumberFormat="1" applyFont="1" applyFill="1" applyBorder="1" applyAlignment="1">
      <alignment horizontal="center" vertical="center"/>
    </xf>
    <xf numFmtId="0" fontId="1" fillId="23" borderId="53" xfId="26" applyFill="1" applyBorder="1" applyAlignment="1">
      <alignment horizontal="left" vertical="center" wrapText="1"/>
    </xf>
    <xf numFmtId="0" fontId="72" fillId="0" borderId="0" xfId="50" applyFont="1" applyFill="1" applyAlignment="1">
      <alignment vertical="center"/>
    </xf>
    <xf numFmtId="0" fontId="59" fillId="5" borderId="55" xfId="26" applyFont="1" applyFill="1" applyBorder="1" applyAlignment="1">
      <alignment horizontal="center" vertical="center"/>
    </xf>
    <xf numFmtId="0" fontId="59" fillId="0" borderId="57" xfId="26" applyFont="1" applyBorder="1" applyAlignment="1">
      <alignment horizontal="center" vertical="center"/>
    </xf>
    <xf numFmtId="0" fontId="59" fillId="0" borderId="56" xfId="26" applyFont="1" applyBorder="1" applyAlignment="1">
      <alignment horizontal="left" vertical="center"/>
    </xf>
    <xf numFmtId="0" fontId="1" fillId="0" borderId="0" xfId="26"/>
    <xf numFmtId="0" fontId="1" fillId="0" borderId="32" xfId="26" applyBorder="1" applyAlignment="1">
      <alignment horizontal="center" vertical="center"/>
    </xf>
    <xf numFmtId="0" fontId="1" fillId="0" borderId="32" xfId="26" applyBorder="1" applyAlignment="1">
      <alignment vertical="center" wrapText="1"/>
    </xf>
    <xf numFmtId="172" fontId="1" fillId="17" borderId="32" xfId="26" applyNumberFormat="1" applyFill="1" applyBorder="1" applyAlignment="1">
      <alignment horizontal="center" vertical="center"/>
    </xf>
    <xf numFmtId="0" fontId="1" fillId="25" borderId="53" xfId="26" applyFill="1" applyBorder="1" applyAlignment="1">
      <alignment vertical="center" wrapText="1"/>
    </xf>
    <xf numFmtId="0" fontId="6" fillId="17" borderId="53" xfId="26" applyFont="1" applyFill="1" applyBorder="1" applyAlignment="1">
      <alignment horizontal="center" vertical="center"/>
    </xf>
    <xf numFmtId="0" fontId="1" fillId="4" borderId="53" xfId="26" applyFill="1" applyBorder="1"/>
    <xf numFmtId="0" fontId="1" fillId="13" borderId="53" xfId="26" applyFill="1" applyBorder="1"/>
    <xf numFmtId="172" fontId="6" fillId="17" borderId="53" xfId="26" applyNumberFormat="1" applyFont="1" applyFill="1" applyBorder="1" applyAlignment="1">
      <alignment horizontal="center" vertical="center"/>
    </xf>
    <xf numFmtId="0" fontId="1" fillId="4" borderId="53" xfId="26" applyFill="1" applyBorder="1" applyAlignment="1">
      <alignment horizontal="left" vertical="center"/>
    </xf>
    <xf numFmtId="0" fontId="6" fillId="7" borderId="53" xfId="26" applyFont="1" applyFill="1" applyBorder="1" applyAlignment="1">
      <alignment vertical="center" wrapText="1"/>
    </xf>
    <xf numFmtId="0" fontId="1" fillId="5" borderId="53" xfId="26" applyFill="1" applyBorder="1" applyAlignment="1">
      <alignment horizontal="center"/>
    </xf>
    <xf numFmtId="0" fontId="1" fillId="13" borderId="53" xfId="26" applyFill="1" applyBorder="1" applyAlignment="1">
      <alignment vertical="center" wrapText="1"/>
    </xf>
    <xf numFmtId="166" fontId="1" fillId="5" borderId="53" xfId="26" applyNumberFormat="1" applyFill="1" applyBorder="1" applyAlignment="1">
      <alignment horizontal="center" vertical="center"/>
    </xf>
    <xf numFmtId="166" fontId="1" fillId="5" borderId="32" xfId="26" applyNumberFormat="1" applyFill="1" applyBorder="1" applyAlignment="1">
      <alignment horizontal="center" vertical="center"/>
    </xf>
    <xf numFmtId="49" fontId="0" fillId="0" borderId="53" xfId="0" applyNumberFormat="1" applyBorder="1" applyAlignment="1">
      <alignment horizontal="left" vertical="top"/>
    </xf>
    <xf numFmtId="1" fontId="0" fillId="0" borderId="0" xfId="0" applyNumberFormat="1"/>
    <xf numFmtId="1" fontId="0" fillId="0" borderId="0" xfId="0" applyNumberFormat="1" applyAlignment="1">
      <alignment horizontal="center" vertical="center"/>
    </xf>
    <xf numFmtId="0" fontId="6" fillId="12" borderId="53" xfId="0" applyFont="1" applyFill="1" applyBorder="1" applyAlignment="1">
      <alignment horizontal="left" vertical="center"/>
    </xf>
    <xf numFmtId="0" fontId="0" fillId="13" borderId="0" xfId="0" applyFill="1" applyAlignment="1">
      <alignment vertical="center"/>
    </xf>
    <xf numFmtId="0" fontId="0" fillId="25" borderId="0" xfId="0" applyFill="1" applyAlignment="1">
      <alignment vertical="center" wrapText="1"/>
    </xf>
    <xf numFmtId="0" fontId="1" fillId="33" borderId="0" xfId="26" applyFill="1" applyAlignment="1">
      <alignment horizontal="left" vertical="center" wrapText="1"/>
    </xf>
    <xf numFmtId="0" fontId="6" fillId="17" borderId="0" xfId="26" applyFont="1" applyFill="1" applyAlignment="1">
      <alignment horizontal="center" vertical="center"/>
    </xf>
    <xf numFmtId="0" fontId="6" fillId="4" borderId="53" xfId="26" applyFont="1" applyFill="1" applyBorder="1" applyAlignment="1">
      <alignment horizontal="left" vertical="center"/>
    </xf>
    <xf numFmtId="0" fontId="1" fillId="13" borderId="0" xfId="26" applyFill="1" applyAlignment="1">
      <alignment vertical="center"/>
    </xf>
    <xf numFmtId="0" fontId="6" fillId="13" borderId="53" xfId="26" applyFont="1" applyFill="1" applyBorder="1" applyAlignment="1">
      <alignment horizontal="left" vertical="center"/>
    </xf>
    <xf numFmtId="0" fontId="1" fillId="25" borderId="0" xfId="26" applyFill="1" applyAlignment="1">
      <alignment vertical="center" wrapText="1"/>
    </xf>
    <xf numFmtId="0" fontId="1" fillId="17" borderId="53" xfId="26" applyFill="1" applyBorder="1" applyAlignment="1">
      <alignment horizontal="center" vertical="center"/>
    </xf>
    <xf numFmtId="172" fontId="1" fillId="0" borderId="53" xfId="26" applyNumberFormat="1" applyBorder="1" applyAlignment="1">
      <alignment horizontal="center" vertical="center"/>
    </xf>
    <xf numFmtId="0" fontId="1" fillId="0" borderId="53" xfId="26" applyBorder="1" applyAlignment="1">
      <alignment horizontal="left" vertical="center"/>
    </xf>
    <xf numFmtId="0" fontId="1" fillId="0" borderId="53" xfId="26" applyBorder="1" applyAlignment="1">
      <alignment horizontal="center"/>
    </xf>
    <xf numFmtId="172" fontId="6" fillId="0" borderId="53" xfId="26" applyNumberFormat="1" applyFont="1" applyBorder="1" applyAlignment="1">
      <alignment horizontal="center" vertical="center"/>
    </xf>
    <xf numFmtId="0" fontId="6" fillId="0" borderId="53" xfId="26" applyFont="1" applyBorder="1" applyAlignment="1">
      <alignment horizontal="center" vertical="center"/>
    </xf>
    <xf numFmtId="0" fontId="6" fillId="0" borderId="32" xfId="26" applyFont="1" applyBorder="1" applyAlignment="1">
      <alignment horizontal="center" vertical="center"/>
    </xf>
    <xf numFmtId="0" fontId="0" fillId="25" borderId="53" xfId="0" applyFill="1" applyBorder="1" applyAlignment="1">
      <alignment vertical="center"/>
    </xf>
    <xf numFmtId="0" fontId="1" fillId="25" borderId="53" xfId="26" applyFill="1" applyBorder="1" applyAlignment="1">
      <alignment vertical="center"/>
    </xf>
    <xf numFmtId="0" fontId="0" fillId="0" borderId="53" xfId="0" applyBorder="1" applyAlignment="1">
      <alignment vertical="center"/>
    </xf>
    <xf numFmtId="0" fontId="22" fillId="6" borderId="53" xfId="0" applyFont="1" applyFill="1" applyBorder="1" applyAlignment="1">
      <alignment horizontal="center" vertical="center" wrapText="1"/>
    </xf>
    <xf numFmtId="0" fontId="22" fillId="4" borderId="53" xfId="0" applyFont="1" applyFill="1" applyBorder="1" applyAlignment="1">
      <alignment horizontal="center" vertical="center" wrapText="1"/>
    </xf>
    <xf numFmtId="0" fontId="22" fillId="8" borderId="53" xfId="0" applyFont="1" applyFill="1" applyBorder="1" applyAlignment="1">
      <alignment horizontal="center" vertical="center" wrapText="1"/>
    </xf>
    <xf numFmtId="0" fontId="22" fillId="7" borderId="53" xfId="0" applyFont="1" applyFill="1" applyBorder="1" applyAlignment="1">
      <alignment horizontal="center" vertical="center" wrapText="1"/>
    </xf>
    <xf numFmtId="0" fontId="7" fillId="0" borderId="53" xfId="0" applyFont="1" applyBorder="1" applyAlignment="1">
      <alignment vertical="center" wrapText="1"/>
    </xf>
    <xf numFmtId="166" fontId="0" fillId="0" borderId="53" xfId="0" applyNumberFormat="1" applyBorder="1" applyAlignment="1">
      <alignment horizontal="center" vertical="center"/>
    </xf>
    <xf numFmtId="166" fontId="6" fillId="0" borderId="53" xfId="0" applyNumberFormat="1" applyFont="1" applyBorder="1" applyAlignment="1">
      <alignment horizontal="center" vertical="center"/>
    </xf>
    <xf numFmtId="168" fontId="8" fillId="0" borderId="53" xfId="39" applyNumberFormat="1" applyFont="1" applyBorder="1" applyAlignment="1">
      <alignment horizontal="center" vertical="center"/>
    </xf>
    <xf numFmtId="0" fontId="44" fillId="5" borderId="55" xfId="0" applyFont="1" applyFill="1" applyBorder="1" applyAlignment="1">
      <alignment horizontal="center" vertical="center"/>
    </xf>
    <xf numFmtId="0" fontId="44" fillId="17" borderId="56" xfId="0" applyFont="1" applyFill="1" applyBorder="1" applyAlignment="1">
      <alignment horizontal="center" vertical="center"/>
    </xf>
    <xf numFmtId="0" fontId="15" fillId="5" borderId="32" xfId="0" applyFont="1" applyFill="1" applyBorder="1" applyAlignment="1">
      <alignment horizontal="center" vertical="center"/>
    </xf>
    <xf numFmtId="172" fontId="15" fillId="17" borderId="32" xfId="0" applyNumberFormat="1" applyFont="1" applyFill="1" applyBorder="1" applyAlignment="1">
      <alignment horizontal="center" vertical="center"/>
    </xf>
    <xf numFmtId="0" fontId="15" fillId="5" borderId="53" xfId="0" applyFont="1" applyFill="1" applyBorder="1" applyAlignment="1">
      <alignment horizontal="center" vertical="center"/>
    </xf>
    <xf numFmtId="172" fontId="15" fillId="17" borderId="53" xfId="0" applyNumberFormat="1" applyFont="1" applyFill="1" applyBorder="1" applyAlignment="1">
      <alignment horizontal="center" vertical="center"/>
    </xf>
    <xf numFmtId="0" fontId="15" fillId="5" borderId="53" xfId="26" applyFont="1" applyFill="1" applyBorder="1" applyAlignment="1">
      <alignment horizontal="center" vertical="center"/>
    </xf>
    <xf numFmtId="0" fontId="15" fillId="0" borderId="53" xfId="26" quotePrefix="1" applyFont="1" applyBorder="1" applyAlignment="1">
      <alignment horizontal="center" vertical="center"/>
    </xf>
    <xf numFmtId="0" fontId="86" fillId="17" borderId="53" xfId="0" applyFont="1" applyFill="1" applyBorder="1" applyAlignment="1">
      <alignment horizontal="center" vertical="center"/>
    </xf>
    <xf numFmtId="172" fontId="15" fillId="24" borderId="53" xfId="0" applyNumberFormat="1" applyFont="1" applyFill="1" applyBorder="1" applyAlignment="1">
      <alignment horizontal="center" vertical="center"/>
    </xf>
    <xf numFmtId="166" fontId="15" fillId="5" borderId="53" xfId="26" applyNumberFormat="1" applyFont="1" applyFill="1" applyBorder="1" applyAlignment="1">
      <alignment horizontal="center" vertical="center"/>
    </xf>
    <xf numFmtId="0" fontId="15" fillId="17" borderId="53" xfId="26" applyFont="1" applyFill="1" applyBorder="1" applyAlignment="1">
      <alignment horizontal="center" vertical="center"/>
    </xf>
    <xf numFmtId="172" fontId="86" fillId="17" borderId="53" xfId="0" applyNumberFormat="1" applyFont="1" applyFill="1" applyBorder="1" applyAlignment="1">
      <alignment horizontal="center" vertical="center"/>
    </xf>
    <xf numFmtId="0" fontId="15" fillId="32" borderId="53" xfId="26" applyFont="1" applyFill="1" applyBorder="1" applyAlignment="1">
      <alignment horizontal="center" vertical="center"/>
    </xf>
    <xf numFmtId="0" fontId="15" fillId="13" borderId="53" xfId="26" applyFont="1" applyFill="1" applyBorder="1" applyAlignment="1">
      <alignment horizontal="left" vertical="center"/>
    </xf>
    <xf numFmtId="43" fontId="15" fillId="0" borderId="0" xfId="0" applyNumberFormat="1" applyFont="1"/>
    <xf numFmtId="0" fontId="15" fillId="0" borderId="0" xfId="0" applyFont="1" applyAlignment="1">
      <alignment horizontal="left" vertical="center"/>
    </xf>
    <xf numFmtId="43" fontId="7" fillId="0" borderId="0" xfId="0" applyNumberFormat="1" applyFont="1"/>
    <xf numFmtId="0" fontId="87" fillId="35" borderId="8" xfId="0" applyFont="1" applyFill="1" applyBorder="1" applyAlignment="1">
      <alignment horizontal="centerContinuous" vertical="center"/>
    </xf>
    <xf numFmtId="0" fontId="84" fillId="35" borderId="8" xfId="0" applyFont="1" applyFill="1" applyBorder="1" applyAlignment="1">
      <alignment horizontal="centerContinuous" vertical="center" wrapText="1"/>
    </xf>
    <xf numFmtId="165" fontId="0" fillId="3" borderId="0" xfId="0" applyNumberFormat="1" applyFill="1" applyAlignment="1">
      <alignment horizontal="center" vertical="center"/>
    </xf>
    <xf numFmtId="165" fontId="0" fillId="3" borderId="0" xfId="0" applyNumberFormat="1" applyFill="1" applyAlignment="1">
      <alignment vertical="center"/>
    </xf>
    <xf numFmtId="165" fontId="0" fillId="18" borderId="0" xfId="0" applyNumberFormat="1" applyFill="1" applyAlignment="1">
      <alignment vertical="center"/>
    </xf>
    <xf numFmtId="165" fontId="0" fillId="19" borderId="0" xfId="0" applyNumberFormat="1" applyFill="1" applyAlignment="1">
      <alignment horizontal="center" vertical="center"/>
    </xf>
    <xf numFmtId="9" fontId="0" fillId="0" borderId="0" xfId="2" applyFont="1" applyFill="1" applyBorder="1"/>
    <xf numFmtId="166" fontId="0" fillId="36" borderId="0" xfId="0" applyNumberFormat="1" applyFill="1" applyAlignment="1">
      <alignment horizontal="center" vertical="center"/>
    </xf>
    <xf numFmtId="0" fontId="0" fillId="36" borderId="0" xfId="0" applyFill="1"/>
    <xf numFmtId="43" fontId="0" fillId="0" borderId="0" xfId="1" applyFont="1"/>
    <xf numFmtId="164" fontId="0" fillId="37" borderId="0" xfId="0" applyNumberFormat="1" applyFill="1" applyAlignment="1">
      <alignment vertical="center"/>
    </xf>
    <xf numFmtId="164" fontId="15" fillId="0" borderId="0" xfId="2" applyNumberFormat="1" applyFont="1" applyFill="1" applyAlignment="1">
      <alignment horizontal="center" vertical="center"/>
    </xf>
    <xf numFmtId="43" fontId="0" fillId="37" borderId="0" xfId="0" applyNumberFormat="1" applyFill="1" applyAlignment="1">
      <alignment vertical="center"/>
    </xf>
    <xf numFmtId="43" fontId="0" fillId="37" borderId="0" xfId="1" applyFont="1" applyFill="1"/>
    <xf numFmtId="164" fontId="0" fillId="37" borderId="0" xfId="2" applyNumberFormat="1" applyFont="1" applyFill="1"/>
    <xf numFmtId="43" fontId="0" fillId="0" borderId="0" xfId="1" applyFont="1" applyFill="1"/>
    <xf numFmtId="164" fontId="0" fillId="0" borderId="0" xfId="2" applyNumberFormat="1" applyFont="1" applyFill="1"/>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56" fillId="0" borderId="23" xfId="0" applyFont="1" applyBorder="1" applyAlignment="1">
      <alignment horizontal="left" vertical="center" wrapText="1"/>
    </xf>
    <xf numFmtId="0" fontId="56" fillId="0" borderId="24" xfId="0" applyFont="1" applyBorder="1" applyAlignment="1">
      <alignment horizontal="left" vertical="center" wrapText="1"/>
    </xf>
    <xf numFmtId="0" fontId="2" fillId="0" borderId="52" xfId="0" applyFont="1" applyBorder="1" applyAlignment="1">
      <alignment horizontal="left" vertical="center" wrapText="1"/>
    </xf>
    <xf numFmtId="0" fontId="2" fillId="0" borderId="45" xfId="0" applyFont="1" applyBorder="1" applyAlignment="1">
      <alignment horizontal="left" vertical="center" wrapText="1"/>
    </xf>
    <xf numFmtId="0" fontId="63" fillId="0" borderId="23" xfId="0" applyFont="1" applyBorder="1" applyAlignment="1">
      <alignment horizontal="left" vertical="center" wrapText="1" readingOrder="1"/>
    </xf>
    <xf numFmtId="0" fontId="63" fillId="0" borderId="24" xfId="0" applyFont="1" applyBorder="1" applyAlignment="1">
      <alignment horizontal="left" vertical="center" wrapText="1" readingOrder="1"/>
    </xf>
    <xf numFmtId="0" fontId="49" fillId="23" borderId="0" xfId="0" applyFont="1" applyFill="1" applyAlignment="1">
      <alignment horizontal="center" vertical="center" wrapText="1"/>
    </xf>
    <xf numFmtId="0" fontId="63" fillId="0" borderId="0" xfId="0" applyFont="1" applyAlignment="1">
      <alignment horizontal="left" vertical="center" wrapText="1"/>
    </xf>
    <xf numFmtId="0" fontId="65" fillId="0" borderId="0" xfId="0" applyFont="1" applyAlignment="1">
      <alignment horizontal="left" vertical="center" wrapText="1" readingOrder="1"/>
    </xf>
    <xf numFmtId="0" fontId="61" fillId="0" borderId="0" xfId="0" quotePrefix="1" applyFont="1" applyAlignment="1">
      <alignment horizontal="center" vertical="center" wrapText="1"/>
    </xf>
    <xf numFmtId="0" fontId="62" fillId="0" borderId="0" xfId="0" applyFont="1" applyAlignment="1">
      <alignment horizontal="center" vertical="center" wrapText="1"/>
    </xf>
    <xf numFmtId="0" fontId="0" fillId="0" borderId="0" xfId="0" applyAlignment="1">
      <alignment horizontal="left" vertical="center" wrapText="1"/>
    </xf>
    <xf numFmtId="168" fontId="0" fillId="0" borderId="33" xfId="14" applyNumberFormat="1" applyFont="1" applyBorder="1" applyAlignment="1">
      <alignment horizontal="center" vertical="center"/>
    </xf>
    <xf numFmtId="168" fontId="0" fillId="0" borderId="46" xfId="14" applyNumberFormat="1" applyFont="1" applyBorder="1" applyAlignment="1">
      <alignment horizontal="center" vertical="center"/>
    </xf>
    <xf numFmtId="0" fontId="36" fillId="10" borderId="21" xfId="0" applyFont="1" applyFill="1" applyBorder="1" applyAlignment="1">
      <alignment horizontal="center"/>
    </xf>
    <xf numFmtId="0" fontId="43" fillId="0" borderId="1" xfId="0" applyFont="1" applyBorder="1" applyAlignment="1">
      <alignment horizontal="center" vertical="center"/>
    </xf>
    <xf numFmtId="0" fontId="43" fillId="0" borderId="29" xfId="0" applyFont="1" applyBorder="1" applyAlignment="1">
      <alignment horizontal="center" vertical="center"/>
    </xf>
    <xf numFmtId="0" fontId="43" fillId="0" borderId="30" xfId="0" applyFont="1" applyBorder="1" applyAlignment="1">
      <alignment horizontal="center" vertical="center"/>
    </xf>
    <xf numFmtId="0" fontId="38" fillId="13" borderId="46" xfId="0" applyFont="1" applyFill="1" applyBorder="1" applyAlignment="1">
      <alignment horizontal="left" vertical="center"/>
    </xf>
    <xf numFmtId="0" fontId="35" fillId="13" borderId="46" xfId="0" applyFont="1" applyFill="1" applyBorder="1" applyAlignment="1">
      <alignment horizontal="left" vertical="top" wrapText="1"/>
    </xf>
    <xf numFmtId="0" fontId="34" fillId="0" borderId="44" xfId="0" applyFont="1" applyBorder="1" applyAlignment="1">
      <alignment horizontal="left" vertical="center"/>
    </xf>
    <xf numFmtId="0" fontId="36" fillId="0" borderId="0" xfId="0" applyFont="1" applyAlignment="1">
      <alignment horizontal="left" vertical="top" wrapText="1"/>
    </xf>
    <xf numFmtId="0" fontId="33" fillId="13" borderId="20" xfId="0" applyFont="1" applyFill="1" applyBorder="1" applyAlignment="1">
      <alignment horizontal="center" vertical="center"/>
    </xf>
    <xf numFmtId="0" fontId="33" fillId="13" borderId="53" xfId="0" applyFont="1" applyFill="1" applyBorder="1" applyAlignment="1">
      <alignment horizontal="center" vertical="center"/>
    </xf>
    <xf numFmtId="0" fontId="34" fillId="13" borderId="1" xfId="0" applyFont="1" applyFill="1" applyBorder="1" applyAlignment="1">
      <alignment horizontal="left" vertical="center"/>
    </xf>
    <xf numFmtId="0" fontId="34" fillId="13" borderId="2" xfId="0" applyFont="1" applyFill="1" applyBorder="1" applyAlignment="1">
      <alignment horizontal="left" vertical="center"/>
    </xf>
    <xf numFmtId="0" fontId="34" fillId="13" borderId="3" xfId="0" applyFont="1" applyFill="1" applyBorder="1" applyAlignment="1">
      <alignment horizontal="left" vertical="center"/>
    </xf>
    <xf numFmtId="0" fontId="33" fillId="0" borderId="52" xfId="0" applyFont="1" applyBorder="1" applyAlignment="1">
      <alignment horizontal="left" vertical="top" wrapText="1"/>
    </xf>
    <xf numFmtId="0" fontId="33" fillId="0" borderId="51" xfId="0" applyFont="1" applyBorder="1" applyAlignment="1">
      <alignment horizontal="left" vertical="top" wrapText="1"/>
    </xf>
    <xf numFmtId="0" fontId="33" fillId="0" borderId="45" xfId="0" applyFont="1" applyBorder="1" applyAlignment="1">
      <alignment horizontal="left" vertical="top" wrapText="1"/>
    </xf>
    <xf numFmtId="0" fontId="36" fillId="0" borderId="0" xfId="0" applyFont="1" applyAlignment="1">
      <alignment horizontal="left" vertical="top"/>
    </xf>
    <xf numFmtId="0" fontId="36" fillId="0" borderId="26" xfId="0" applyFont="1" applyBorder="1" applyAlignment="1">
      <alignment horizontal="left" vertical="top"/>
    </xf>
    <xf numFmtId="0" fontId="36" fillId="0" borderId="42"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2" xfId="0" applyFont="1" applyBorder="1" applyAlignment="1">
      <alignment horizontal="center" vertical="center" wrapText="1"/>
    </xf>
    <xf numFmtId="0" fontId="63" fillId="0" borderId="25" xfId="0" applyFont="1" applyBorder="1" applyAlignment="1">
      <alignment horizontal="left" vertical="top" wrapText="1"/>
    </xf>
    <xf numFmtId="0" fontId="63" fillId="0" borderId="0" xfId="0" applyFont="1" applyAlignment="1">
      <alignment horizontal="left" vertical="top" wrapText="1"/>
    </xf>
    <xf numFmtId="0" fontId="63" fillId="0" borderId="26" xfId="0" applyFont="1" applyBorder="1" applyAlignment="1">
      <alignment horizontal="left" vertical="top" wrapText="1"/>
    </xf>
    <xf numFmtId="0" fontId="63" fillId="0" borderId="12" xfId="0" applyFont="1" applyBorder="1" applyAlignment="1">
      <alignment horizontal="left" vertical="top" wrapText="1"/>
    </xf>
    <xf numFmtId="0" fontId="63" fillId="0" borderId="31" xfId="0" applyFont="1" applyBorder="1" applyAlignment="1">
      <alignment horizontal="left" vertical="top" wrapText="1"/>
    </xf>
    <xf numFmtId="0" fontId="63" fillId="0" borderId="13" xfId="0" applyFont="1" applyBorder="1" applyAlignment="1">
      <alignment horizontal="left" vertical="top" wrapText="1"/>
    </xf>
    <xf numFmtId="0" fontId="64" fillId="0" borderId="41" xfId="0" applyFont="1" applyBorder="1" applyAlignment="1">
      <alignment horizontal="center" vertical="center"/>
    </xf>
    <xf numFmtId="0" fontId="64" fillId="0" borderId="44" xfId="0" applyFont="1" applyBorder="1" applyAlignment="1">
      <alignment horizontal="center" vertical="center"/>
    </xf>
    <xf numFmtId="0" fontId="64" fillId="0" borderId="42" xfId="0" applyFont="1" applyBorder="1" applyAlignment="1">
      <alignment horizontal="center" vertical="center"/>
    </xf>
    <xf numFmtId="0" fontId="63" fillId="0" borderId="41" xfId="0" applyFont="1" applyBorder="1" applyAlignment="1">
      <alignment horizontal="left" vertical="center" wrapText="1"/>
    </xf>
    <xf numFmtId="0" fontId="63" fillId="0" borderId="44" xfId="0" applyFont="1" applyBorder="1" applyAlignment="1">
      <alignment horizontal="left" vertical="center" wrapText="1"/>
    </xf>
    <xf numFmtId="0" fontId="63" fillId="0" borderId="42" xfId="0" applyFont="1" applyBorder="1" applyAlignment="1">
      <alignment horizontal="left" vertical="center" wrapText="1"/>
    </xf>
    <xf numFmtId="0" fontId="63" fillId="0" borderId="25" xfId="0" applyFont="1" applyBorder="1" applyAlignment="1">
      <alignment horizontal="left" vertical="center" wrapText="1"/>
    </xf>
    <xf numFmtId="0" fontId="63" fillId="0" borderId="26" xfId="0" applyFont="1" applyBorder="1" applyAlignment="1">
      <alignment horizontal="left" vertical="center" wrapText="1"/>
    </xf>
    <xf numFmtId="0" fontId="63" fillId="0" borderId="12" xfId="0" applyFont="1" applyBorder="1" applyAlignment="1">
      <alignment horizontal="left" vertical="center" wrapText="1"/>
    </xf>
    <xf numFmtId="0" fontId="63" fillId="0" borderId="31" xfId="0" applyFont="1" applyBorder="1" applyAlignment="1">
      <alignment horizontal="left" vertical="center" wrapText="1"/>
    </xf>
    <xf numFmtId="0" fontId="63" fillId="0" borderId="13" xfId="0" applyFont="1" applyBorder="1" applyAlignment="1">
      <alignment horizontal="left" vertical="center" wrapText="1"/>
    </xf>
    <xf numFmtId="0" fontId="76" fillId="0" borderId="37" xfId="0" applyFont="1" applyBorder="1" applyAlignment="1">
      <alignment horizontal="center" vertical="center" wrapText="1"/>
    </xf>
    <xf numFmtId="0" fontId="76" fillId="0" borderId="44" xfId="0" applyFont="1" applyBorder="1" applyAlignment="1">
      <alignment horizontal="center" vertical="center" wrapText="1"/>
    </xf>
    <xf numFmtId="0" fontId="76" fillId="0" borderId="42" xfId="0" applyFont="1" applyBorder="1" applyAlignment="1">
      <alignment horizontal="center" vertical="center" wrapText="1"/>
    </xf>
    <xf numFmtId="0" fontId="76" fillId="0" borderId="4" xfId="0" applyFont="1" applyBorder="1" applyAlignment="1">
      <alignment horizontal="center" vertical="center" wrapText="1"/>
    </xf>
    <xf numFmtId="0" fontId="76" fillId="0" borderId="0" xfId="0" applyFont="1" applyAlignment="1">
      <alignment horizontal="center" vertical="center" wrapText="1"/>
    </xf>
    <xf numFmtId="0" fontId="76" fillId="0" borderId="26" xfId="0" applyFont="1" applyBorder="1" applyAlignment="1">
      <alignment horizontal="center" vertical="center" wrapText="1"/>
    </xf>
    <xf numFmtId="0" fontId="76" fillId="0" borderId="22" xfId="0" applyFont="1" applyBorder="1" applyAlignment="1">
      <alignment horizontal="center" vertical="center" wrapText="1"/>
    </xf>
    <xf numFmtId="0" fontId="76" fillId="0" borderId="23" xfId="0" applyFont="1" applyBorder="1" applyAlignment="1">
      <alignment horizontal="center" vertical="center" wrapText="1"/>
    </xf>
    <xf numFmtId="0" fontId="76" fillId="0" borderId="48" xfId="0" applyFont="1" applyBorder="1" applyAlignment="1">
      <alignment horizontal="center" vertical="center" wrapText="1"/>
    </xf>
    <xf numFmtId="0" fontId="74" fillId="0" borderId="1" xfId="0" applyFont="1" applyBorder="1" applyAlignment="1">
      <alignment horizontal="center" vertical="center"/>
    </xf>
    <xf numFmtId="0" fontId="74" fillId="0" borderId="29" xfId="0" applyFont="1" applyBorder="1" applyAlignment="1">
      <alignment horizontal="center" vertical="center"/>
    </xf>
    <xf numFmtId="0" fontId="74" fillId="0" borderId="30" xfId="0" applyFont="1" applyBorder="1" applyAlignment="1">
      <alignment horizontal="center" vertical="center"/>
    </xf>
    <xf numFmtId="0" fontId="63" fillId="10" borderId="21" xfId="0" applyFont="1" applyFill="1" applyBorder="1" applyAlignment="1">
      <alignment horizontal="center"/>
    </xf>
    <xf numFmtId="0" fontId="47" fillId="5" borderId="35" xfId="0" applyFont="1" applyFill="1" applyBorder="1" applyAlignment="1">
      <alignment horizontal="center" vertical="center" wrapText="1"/>
    </xf>
    <xf numFmtId="0" fontId="47" fillId="5" borderId="49" xfId="0" applyFont="1" applyFill="1" applyBorder="1" applyAlignment="1">
      <alignment horizontal="center" vertical="center" wrapText="1"/>
    </xf>
    <xf numFmtId="0" fontId="2" fillId="0" borderId="52"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5" xfId="0" applyFont="1" applyBorder="1" applyAlignment="1">
      <alignment horizontal="center" vertical="center" wrapText="1"/>
    </xf>
    <xf numFmtId="0" fontId="0" fillId="0" borderId="52" xfId="0" applyBorder="1" applyAlignment="1">
      <alignment horizontal="center" vertical="center"/>
    </xf>
    <xf numFmtId="0" fontId="0" fillId="0" borderId="51" xfId="0" applyBorder="1" applyAlignment="1">
      <alignment horizontal="center" vertical="center"/>
    </xf>
    <xf numFmtId="0" fontId="0" fillId="0" borderId="45" xfId="0" applyBorder="1" applyAlignment="1">
      <alignment horizontal="center" vertical="center"/>
    </xf>
    <xf numFmtId="0" fontId="54" fillId="0" borderId="1" xfId="0" applyFont="1" applyBorder="1" applyAlignment="1">
      <alignment horizontal="left"/>
    </xf>
    <xf numFmtId="0" fontId="54" fillId="0" borderId="2" xfId="0" applyFont="1" applyBorder="1" applyAlignment="1">
      <alignment horizontal="left"/>
    </xf>
    <xf numFmtId="0" fontId="54" fillId="0" borderId="3" xfId="0" applyFont="1" applyBorder="1" applyAlignment="1">
      <alignment horizontal="left"/>
    </xf>
    <xf numFmtId="0" fontId="29" fillId="0" borderId="4" xfId="7" applyFont="1" applyBorder="1" applyAlignment="1">
      <alignment horizontal="left" vertical="top" wrapText="1"/>
    </xf>
    <xf numFmtId="0" fontId="29" fillId="0" borderId="0" xfId="7" applyFont="1" applyAlignment="1">
      <alignment horizontal="left" vertical="top" wrapText="1"/>
    </xf>
    <xf numFmtId="0" fontId="29" fillId="0" borderId="5" xfId="7" applyFont="1" applyBorder="1" applyAlignment="1">
      <alignment horizontal="left" vertical="top" wrapText="1"/>
    </xf>
    <xf numFmtId="0" fontId="0" fillId="5" borderId="0" xfId="0" applyFill="1" applyAlignment="1">
      <alignment horizontal="left" vertical="top" wrapText="1"/>
    </xf>
    <xf numFmtId="0" fontId="0" fillId="12" borderId="0" xfId="0" applyFill="1" applyAlignment="1">
      <alignment horizontal="left" vertical="top" wrapText="1"/>
    </xf>
    <xf numFmtId="0" fontId="0" fillId="5" borderId="0" xfId="0" applyFill="1" applyAlignment="1">
      <alignment horizontal="left" wrapText="1"/>
    </xf>
    <xf numFmtId="0" fontId="8" fillId="6" borderId="22" xfId="0" applyFont="1" applyFill="1" applyBorder="1" applyAlignment="1">
      <alignment horizontal="left" vertical="top" wrapText="1"/>
    </xf>
    <xf numFmtId="0" fontId="8" fillId="6" borderId="23" xfId="0" applyFont="1" applyFill="1" applyBorder="1" applyAlignment="1">
      <alignment horizontal="left" vertical="top" wrapText="1"/>
    </xf>
    <xf numFmtId="0" fontId="8" fillId="6" borderId="1"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4" xfId="0" applyFont="1" applyFill="1" applyBorder="1" applyAlignment="1">
      <alignment horizontal="left" vertical="center" wrapText="1"/>
    </xf>
    <xf numFmtId="0" fontId="11" fillId="0" borderId="4" xfId="7" applyFont="1" applyBorder="1" applyAlignment="1">
      <alignment horizontal="left" vertical="top" wrapText="1"/>
    </xf>
    <xf numFmtId="0" fontId="11" fillId="0" borderId="0" xfId="7" applyFont="1" applyAlignment="1">
      <alignment horizontal="left" vertical="top" wrapText="1"/>
    </xf>
    <xf numFmtId="0" fontId="11" fillId="0" borderId="5" xfId="7" applyFont="1" applyBorder="1" applyAlignment="1">
      <alignment horizontal="left" vertical="top" wrapText="1"/>
    </xf>
    <xf numFmtId="0" fontId="11" fillId="0" borderId="22" xfId="7" applyFont="1" applyBorder="1" applyAlignment="1">
      <alignment horizontal="left" vertical="top"/>
    </xf>
    <xf numFmtId="0" fontId="11" fillId="0" borderId="23" xfId="7" applyFont="1" applyBorder="1" applyAlignment="1">
      <alignment horizontal="left" vertical="top"/>
    </xf>
    <xf numFmtId="0" fontId="11" fillId="0" borderId="24" xfId="7" applyFont="1" applyBorder="1" applyAlignment="1">
      <alignment horizontal="left" vertical="top"/>
    </xf>
    <xf numFmtId="0" fontId="7" fillId="0" borderId="0" xfId="7" applyFont="1" applyAlignment="1">
      <alignment horizontal="left" vertical="top" wrapText="1"/>
    </xf>
  </cellXfs>
  <cellStyles count="53">
    <cellStyle name="Comma" xfId="1" builtinId="3"/>
    <cellStyle name="Comma 2" xfId="10" xr:uid="{00000000-0005-0000-0000-000001000000}"/>
    <cellStyle name="Comma 2 2" xfId="37" xr:uid="{00000000-0005-0000-0000-000002000000}"/>
    <cellStyle name="Comma 3" xfId="24" xr:uid="{00000000-0005-0000-0000-000003000000}"/>
    <cellStyle name="Comma 4" xfId="25" xr:uid="{00000000-0005-0000-0000-000004000000}"/>
    <cellStyle name="Comma 5" xfId="27" xr:uid="{00000000-0005-0000-0000-000005000000}"/>
    <cellStyle name="Comma 5 2" xfId="43" xr:uid="{00000000-0005-0000-0000-000006000000}"/>
    <cellStyle name="Comma 6" xfId="31" xr:uid="{00000000-0005-0000-0000-000007000000}"/>
    <cellStyle name="Comma 6 2" xfId="47" xr:uid="{00000000-0005-0000-0000-000008000000}"/>
    <cellStyle name="Comma 7" xfId="35" xr:uid="{00000000-0005-0000-0000-000009000000}"/>
    <cellStyle name="Currency" xfId="14" builtinId="4"/>
    <cellStyle name="Currency 2" xfId="11" xr:uid="{00000000-0005-0000-0000-00000B000000}"/>
    <cellStyle name="Currency 2 2" xfId="38" xr:uid="{00000000-0005-0000-0000-00000C000000}"/>
    <cellStyle name="Currency 3" xfId="29" xr:uid="{00000000-0005-0000-0000-00000D000000}"/>
    <cellStyle name="Currency 3 2" xfId="45" xr:uid="{00000000-0005-0000-0000-00000E000000}"/>
    <cellStyle name="Currency 4" xfId="33" xr:uid="{00000000-0005-0000-0000-00000F000000}"/>
    <cellStyle name="Currency 4 2" xfId="49" xr:uid="{00000000-0005-0000-0000-000010000000}"/>
    <cellStyle name="Currency 5" xfId="41" xr:uid="{00000000-0005-0000-0000-000011000000}"/>
    <cellStyle name="Hyperlink" xfId="50" builtinId="8"/>
    <cellStyle name="Normal" xfId="0" builtinId="0"/>
    <cellStyle name="Normal 12" xfId="52" xr:uid="{E333682E-E388-418B-9ED9-153B8B6E314E}"/>
    <cellStyle name="Normal 2" xfId="3" xr:uid="{00000000-0005-0000-0000-000014000000}"/>
    <cellStyle name="Normal 2 2" xfId="4" xr:uid="{00000000-0005-0000-0000-000015000000}"/>
    <cellStyle name="Normal 2 2 2" xfId="8" xr:uid="{00000000-0005-0000-0000-000016000000}"/>
    <cellStyle name="Normal 2 2 2 2" xfId="20" xr:uid="{00000000-0005-0000-0000-000017000000}"/>
    <cellStyle name="Normal 2 2 2 3" xfId="17" xr:uid="{00000000-0005-0000-0000-000018000000}"/>
    <cellStyle name="Normal 2 2 3" xfId="6" xr:uid="{00000000-0005-0000-0000-000019000000}"/>
    <cellStyle name="Normal 2 2 4" xfId="15" xr:uid="{00000000-0005-0000-0000-00001A000000}"/>
    <cellStyle name="Normal 2 3" xfId="7" xr:uid="{00000000-0005-0000-0000-00001B000000}"/>
    <cellStyle name="Normal 2 3 2" xfId="9" xr:uid="{00000000-0005-0000-0000-00001C000000}"/>
    <cellStyle name="Normal 2 3 2 2" xfId="21" xr:uid="{00000000-0005-0000-0000-00001D000000}"/>
    <cellStyle name="Normal 2 3 2 3" xfId="18" xr:uid="{00000000-0005-0000-0000-00001E000000}"/>
    <cellStyle name="Normal 2 3 3" xfId="22" xr:uid="{00000000-0005-0000-0000-00001F000000}"/>
    <cellStyle name="Normal 2 3 3 2" xfId="23" xr:uid="{00000000-0005-0000-0000-000020000000}"/>
    <cellStyle name="Normal 3" xfId="5" xr:uid="{00000000-0005-0000-0000-000021000000}"/>
    <cellStyle name="Normal 3 2" xfId="19" xr:uid="{00000000-0005-0000-0000-000022000000}"/>
    <cellStyle name="Normal 3 3" xfId="16" xr:uid="{00000000-0005-0000-0000-000023000000}"/>
    <cellStyle name="Normal 4" xfId="12" xr:uid="{00000000-0005-0000-0000-000024000000}"/>
    <cellStyle name="Normal 4 2" xfId="39" xr:uid="{00000000-0005-0000-0000-000025000000}"/>
    <cellStyle name="Normal 5" xfId="26" xr:uid="{00000000-0005-0000-0000-000026000000}"/>
    <cellStyle name="Normal 5 2" xfId="42" xr:uid="{00000000-0005-0000-0000-000027000000}"/>
    <cellStyle name="Normal 6" xfId="30" xr:uid="{00000000-0005-0000-0000-000028000000}"/>
    <cellStyle name="Normal 6 2" xfId="46" xr:uid="{00000000-0005-0000-0000-000029000000}"/>
    <cellStyle name="Normal 7" xfId="34" xr:uid="{00000000-0005-0000-0000-00002A000000}"/>
    <cellStyle name="Normal_Sheet1_1" xfId="51" xr:uid="{00000000-0005-0000-0000-00002B000000}"/>
    <cellStyle name="Percent" xfId="2" builtinId="5"/>
    <cellStyle name="Percent 2" xfId="13" xr:uid="{00000000-0005-0000-0000-00002D000000}"/>
    <cellStyle name="Percent 2 2" xfId="40" xr:uid="{00000000-0005-0000-0000-00002E000000}"/>
    <cellStyle name="Percent 3" xfId="28" xr:uid="{00000000-0005-0000-0000-00002F000000}"/>
    <cellStyle name="Percent 3 2" xfId="44" xr:uid="{00000000-0005-0000-0000-000030000000}"/>
    <cellStyle name="Percent 4" xfId="32" xr:uid="{00000000-0005-0000-0000-000031000000}"/>
    <cellStyle name="Percent 4 2" xfId="48" xr:uid="{00000000-0005-0000-0000-000032000000}"/>
    <cellStyle name="Percent 5" xfId="36" xr:uid="{00000000-0005-0000-0000-000033000000}"/>
  </cellStyles>
  <dxfs count="0"/>
  <tableStyles count="0" defaultTableStyle="TableStyleMedium2" defaultPivotStyle="PivotStyleLight16"/>
  <colors>
    <mruColors>
      <color rgb="FF00FF00"/>
      <color rgb="FFCCC0DA"/>
      <color rgb="FFFFFFE1"/>
      <color rgb="FFFFCCFF"/>
      <color rgb="FFDCEDCB"/>
      <color rgb="FF77DBFF"/>
      <color rgb="FFFF66FF"/>
      <color rgb="FF99FF99"/>
      <color rgb="FFE68E9B"/>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4.0/" TargetMode="External"/></Relationships>
</file>

<file path=xl/drawings/drawing1.xml><?xml version="1.0" encoding="utf-8"?>
<xdr:wsDr xmlns:xdr="http://schemas.openxmlformats.org/drawingml/2006/spreadsheetDrawing" xmlns:a="http://schemas.openxmlformats.org/drawingml/2006/main">
  <xdr:oneCellAnchor>
    <xdr:from>
      <xdr:col>1</xdr:col>
      <xdr:colOff>57150</xdr:colOff>
      <xdr:row>4</xdr:row>
      <xdr:rowOff>19051</xdr:rowOff>
    </xdr:from>
    <xdr:ext cx="5934075" cy="514350"/>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143125" y="1095376"/>
          <a:ext cx="5934075"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                               </a:t>
          </a:r>
          <a:r>
            <a:rPr lang="en-US" sz="1050">
              <a:solidFill>
                <a:schemeClr val="tx1"/>
              </a:solidFill>
              <a:effectLst/>
              <a:latin typeface="+mn-lt"/>
              <a:ea typeface="+mn-ea"/>
              <a:cs typeface="+mn-cs"/>
            </a:rPr>
            <a:t>The Pension Reporting Tool by Office of Superintendent of Public Instruction is licensed under a Creative Commons Attribution 4.0 International License.</a:t>
          </a:r>
        </a:p>
        <a:p>
          <a:r>
            <a:rPr lang="en-US" sz="1100">
              <a:solidFill>
                <a:schemeClr val="tx1"/>
              </a:solidFill>
              <a:effectLst/>
              <a:latin typeface="+mn-lt"/>
              <a:ea typeface="+mn-ea"/>
              <a:cs typeface="+mn-cs"/>
            </a:rPr>
            <a:t>                            </a:t>
          </a:r>
          <a:endParaRPr lang="en-US" sz="1100"/>
        </a:p>
      </xdr:txBody>
    </xdr:sp>
    <xdr:clientData/>
  </xdr:oneCellAnchor>
  <xdr:twoCellAnchor editAs="oneCell">
    <xdr:from>
      <xdr:col>1</xdr:col>
      <xdr:colOff>57150</xdr:colOff>
      <xdr:row>4</xdr:row>
      <xdr:rowOff>19050</xdr:rowOff>
    </xdr:from>
    <xdr:to>
      <xdr:col>1</xdr:col>
      <xdr:colOff>825500</xdr:colOff>
      <xdr:row>4</xdr:row>
      <xdr:rowOff>165100</xdr:rowOff>
    </xdr:to>
    <xdr:pic>
      <xdr:nvPicPr>
        <xdr:cNvPr id="4" name="Picture 3" descr="Creative Commons License">
          <a:hlinkClick xmlns:r="http://schemas.openxmlformats.org/officeDocument/2006/relationships" r:id="rId1"/>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3125" y="1095375"/>
          <a:ext cx="768350" cy="1460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portal.drs.wa.gov/Account/Login" TargetMode="External"/><Relationship Id="rId1" Type="http://schemas.openxmlformats.org/officeDocument/2006/relationships/hyperlink" Target="https://www.drs.wa.gov/employ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99"/>
  </sheetPr>
  <dimension ref="B1:L38"/>
  <sheetViews>
    <sheetView workbookViewId="0">
      <selection activeCell="B6" sqref="B6:F6"/>
    </sheetView>
  </sheetViews>
  <sheetFormatPr defaultColWidth="9.109375" defaultRowHeight="14.4" x14ac:dyDescent="0.3"/>
  <cols>
    <col min="1" max="1" width="1.44140625" customWidth="1"/>
    <col min="2" max="2" width="10.88671875" customWidth="1"/>
    <col min="3" max="3" width="13.88671875" customWidth="1"/>
    <col min="4" max="4" width="8.88671875" customWidth="1"/>
    <col min="5" max="5" width="52.5546875" customWidth="1"/>
    <col min="6" max="6" width="8.109375" customWidth="1"/>
    <col min="9" max="9" width="9.109375" customWidth="1"/>
  </cols>
  <sheetData>
    <row r="1" spans="2:12" ht="34.5" customHeight="1" x14ac:dyDescent="0.3">
      <c r="B1" s="582" t="s">
        <v>1210</v>
      </c>
      <c r="C1" s="582"/>
      <c r="D1" s="582"/>
      <c r="E1" s="582"/>
      <c r="F1" s="582"/>
    </row>
    <row r="2" spans="2:12" ht="10.5" customHeight="1" x14ac:dyDescent="0.3">
      <c r="B2" s="585"/>
      <c r="C2" s="586"/>
      <c r="D2" s="586"/>
      <c r="E2" s="586"/>
      <c r="F2" s="586"/>
    </row>
    <row r="3" spans="2:12" ht="41.25" customHeight="1" x14ac:dyDescent="0.3">
      <c r="B3" s="583" t="s">
        <v>727</v>
      </c>
      <c r="C3" s="583"/>
      <c r="D3" s="583"/>
      <c r="E3" s="583"/>
      <c r="F3" s="583"/>
    </row>
    <row r="4" spans="2:12" ht="39" customHeight="1" x14ac:dyDescent="0.3">
      <c r="B4" s="583" t="s">
        <v>1211</v>
      </c>
      <c r="C4" s="583"/>
      <c r="D4" s="583"/>
      <c r="E4" s="583"/>
      <c r="F4" s="583"/>
    </row>
    <row r="5" spans="2:12" ht="43.5" customHeight="1" x14ac:dyDescent="0.3">
      <c r="B5" s="584" t="s">
        <v>1158</v>
      </c>
      <c r="C5" s="584"/>
      <c r="D5" s="584"/>
      <c r="E5" s="584"/>
      <c r="F5" s="584"/>
    </row>
    <row r="6" spans="2:12" ht="44.25" customHeight="1" thickBot="1" x14ac:dyDescent="0.35">
      <c r="B6" s="584" t="s">
        <v>708</v>
      </c>
      <c r="C6" s="584"/>
      <c r="D6" s="584"/>
      <c r="E6" s="584"/>
      <c r="F6" s="584"/>
    </row>
    <row r="7" spans="2:12" ht="57" customHeight="1" x14ac:dyDescent="0.3">
      <c r="B7" s="335" t="s">
        <v>1213</v>
      </c>
      <c r="C7" s="574" t="s">
        <v>1212</v>
      </c>
      <c r="D7" s="574"/>
      <c r="E7" s="574"/>
      <c r="F7" s="575"/>
    </row>
    <row r="8" spans="2:12" ht="43.5" customHeight="1" thickBot="1" x14ac:dyDescent="0.35">
      <c r="B8" s="336"/>
      <c r="C8" s="576" t="s">
        <v>1188</v>
      </c>
      <c r="D8" s="576"/>
      <c r="E8" s="576"/>
      <c r="F8" s="577"/>
      <c r="J8" s="119"/>
      <c r="K8" s="119"/>
      <c r="L8" s="119"/>
    </row>
    <row r="9" spans="2:12" ht="24.6" x14ac:dyDescent="0.3">
      <c r="B9" s="340" t="s">
        <v>1080</v>
      </c>
      <c r="C9" s="133"/>
      <c r="D9" s="337"/>
      <c r="E9" s="337"/>
      <c r="F9" s="338"/>
      <c r="J9" s="119"/>
      <c r="K9" s="119"/>
      <c r="L9" s="119"/>
    </row>
    <row r="10" spans="2:12" ht="19.2" x14ac:dyDescent="0.4">
      <c r="B10" s="271"/>
      <c r="C10" s="339" t="s">
        <v>1160</v>
      </c>
      <c r="D10" s="278"/>
      <c r="E10" s="278"/>
      <c r="F10" s="279"/>
      <c r="J10" s="119"/>
      <c r="K10" s="119"/>
      <c r="L10" s="119"/>
    </row>
    <row r="11" spans="2:12" ht="19.2" x14ac:dyDescent="0.4">
      <c r="B11" s="271"/>
      <c r="C11" s="339" t="s">
        <v>1197</v>
      </c>
      <c r="D11" s="278"/>
      <c r="E11" s="278"/>
      <c r="F11" s="279"/>
      <c r="J11" s="119"/>
      <c r="K11" s="119"/>
      <c r="L11" s="119"/>
    </row>
    <row r="12" spans="2:12" ht="19.2" x14ac:dyDescent="0.4">
      <c r="B12" s="271"/>
      <c r="C12" s="339" t="s">
        <v>1198</v>
      </c>
      <c r="D12" s="278"/>
      <c r="E12" s="278"/>
      <c r="F12" s="279"/>
      <c r="J12" s="119"/>
      <c r="K12" s="119"/>
      <c r="L12" s="119"/>
    </row>
    <row r="13" spans="2:12" ht="19.2" x14ac:dyDescent="0.4">
      <c r="B13" s="271"/>
      <c r="C13" s="339" t="s">
        <v>1227</v>
      </c>
      <c r="D13" s="278"/>
      <c r="E13" s="278"/>
      <c r="F13" s="279"/>
      <c r="J13" s="119"/>
      <c r="K13" s="119"/>
      <c r="L13" s="119"/>
    </row>
    <row r="14" spans="2:12" ht="29.25" customHeight="1" x14ac:dyDescent="0.4">
      <c r="B14" s="271"/>
      <c r="C14" s="280" t="s">
        <v>1159</v>
      </c>
      <c r="D14" s="280"/>
      <c r="E14" s="280"/>
      <c r="F14" s="281"/>
      <c r="J14" s="119"/>
      <c r="K14" s="119"/>
      <c r="L14" s="119"/>
    </row>
    <row r="15" spans="2:12" ht="50.25" customHeight="1" thickBot="1" x14ac:dyDescent="0.45">
      <c r="B15" s="276"/>
      <c r="C15" s="580" t="s">
        <v>1228</v>
      </c>
      <c r="D15" s="580"/>
      <c r="E15" s="580"/>
      <c r="F15" s="581"/>
      <c r="J15" s="119"/>
      <c r="K15" s="119"/>
      <c r="L15" s="119"/>
    </row>
    <row r="16" spans="2:12" ht="27" x14ac:dyDescent="0.6">
      <c r="B16" s="272" t="s">
        <v>1079</v>
      </c>
      <c r="C16" s="133"/>
      <c r="D16" s="273"/>
      <c r="E16" s="273"/>
      <c r="F16" s="274"/>
    </row>
    <row r="17" spans="2:11" ht="5.4" customHeight="1" x14ac:dyDescent="0.45">
      <c r="B17" s="271"/>
      <c r="F17" s="241"/>
      <c r="K17" t="s">
        <v>1164</v>
      </c>
    </row>
    <row r="18" spans="2:11" ht="19.2" x14ac:dyDescent="0.45">
      <c r="B18" s="271"/>
      <c r="C18" s="339" t="s">
        <v>1161</v>
      </c>
      <c r="D18" s="269"/>
      <c r="E18" s="282" t="s">
        <v>1146</v>
      </c>
      <c r="F18" s="241"/>
    </row>
    <row r="19" spans="2:11" ht="19.2" x14ac:dyDescent="0.4">
      <c r="B19" s="271"/>
      <c r="C19" s="339" t="s">
        <v>1189</v>
      </c>
      <c r="D19" s="283"/>
      <c r="E19" s="283"/>
      <c r="F19" s="242"/>
      <c r="H19" s="269"/>
    </row>
    <row r="20" spans="2:11" ht="21" customHeight="1" x14ac:dyDescent="0.4">
      <c r="B20" s="271"/>
      <c r="C20" s="283"/>
      <c r="D20" s="283"/>
      <c r="E20" s="487" t="s">
        <v>1196</v>
      </c>
      <c r="F20" s="275"/>
      <c r="I20" t="s">
        <v>1164</v>
      </c>
    </row>
    <row r="21" spans="2:11" ht="88.8" customHeight="1" thickBot="1" x14ac:dyDescent="0.45">
      <c r="B21" s="276"/>
      <c r="C21" s="580" t="s">
        <v>1187</v>
      </c>
      <c r="D21" s="580"/>
      <c r="E21" s="580"/>
      <c r="F21" s="277"/>
    </row>
    <row r="22" spans="2:11" ht="36.75" customHeight="1" x14ac:dyDescent="0.3"/>
    <row r="24" spans="2:11" x14ac:dyDescent="0.3">
      <c r="K24" s="240"/>
    </row>
    <row r="27" spans="2:11" ht="48.75" customHeight="1" x14ac:dyDescent="0.3"/>
    <row r="28" spans="2:11" ht="17.25" customHeight="1" x14ac:dyDescent="0.3"/>
    <row r="31" spans="2:11" ht="15" hidden="1" customHeight="1" x14ac:dyDescent="0.3">
      <c r="B31" s="97"/>
      <c r="C31" s="578" t="s">
        <v>726</v>
      </c>
      <c r="D31" s="579"/>
      <c r="E31" s="571" t="s">
        <v>1147</v>
      </c>
      <c r="F31" s="573"/>
    </row>
    <row r="32" spans="2:11" ht="115.5" hidden="1" customHeight="1" x14ac:dyDescent="0.3">
      <c r="B32" s="97"/>
      <c r="C32" s="98"/>
      <c r="D32" s="571" t="s">
        <v>728</v>
      </c>
      <c r="E32" s="572"/>
      <c r="F32" s="573"/>
    </row>
    <row r="33" spans="2:6" ht="90.75" hidden="1" customHeight="1" x14ac:dyDescent="0.3">
      <c r="B33" s="99"/>
      <c r="D33" s="571" t="s">
        <v>1077</v>
      </c>
      <c r="E33" s="572"/>
      <c r="F33" s="573"/>
    </row>
    <row r="34" spans="2:6" ht="156" hidden="1" customHeight="1" x14ac:dyDescent="0.3">
      <c r="B34" s="99"/>
      <c r="D34" s="571" t="s">
        <v>729</v>
      </c>
      <c r="E34" s="572"/>
      <c r="F34" s="573"/>
    </row>
    <row r="35" spans="2:6" ht="125.25" hidden="1" customHeight="1" x14ac:dyDescent="0.3">
      <c r="B35" s="99"/>
      <c r="D35" s="571" t="s">
        <v>730</v>
      </c>
      <c r="E35" s="572"/>
      <c r="F35" s="573"/>
    </row>
    <row r="36" spans="2:6" ht="39" hidden="1" customHeight="1" x14ac:dyDescent="0.3">
      <c r="B36" s="99"/>
      <c r="D36" s="571" t="s">
        <v>1078</v>
      </c>
      <c r="E36" s="572"/>
      <c r="F36" s="573"/>
    </row>
    <row r="37" spans="2:6" ht="125.25" hidden="1" customHeight="1" x14ac:dyDescent="0.3"/>
    <row r="38" spans="2:6" hidden="1" x14ac:dyDescent="0.3"/>
  </sheetData>
  <mergeCells count="17">
    <mergeCell ref="B1:F1"/>
    <mergeCell ref="B3:F3"/>
    <mergeCell ref="B6:F6"/>
    <mergeCell ref="B5:F5"/>
    <mergeCell ref="B2:F2"/>
    <mergeCell ref="B4:F4"/>
    <mergeCell ref="C7:F7"/>
    <mergeCell ref="C8:F8"/>
    <mergeCell ref="C31:D31"/>
    <mergeCell ref="E31:F31"/>
    <mergeCell ref="C15:F15"/>
    <mergeCell ref="C21:E21"/>
    <mergeCell ref="D36:F36"/>
    <mergeCell ref="D35:F35"/>
    <mergeCell ref="D34:F34"/>
    <mergeCell ref="D33:F33"/>
    <mergeCell ref="D32:F32"/>
  </mergeCells>
  <hyperlinks>
    <hyperlink ref="E18" r:id="rId1" xr:uid="{35370AFB-0A72-4CE1-8EDE-8A12D802437A}"/>
    <hyperlink ref="E20" r:id="rId2" xr:uid="{2DA77E95-A642-4679-9ABC-42A7A7BF41CC}"/>
  </hyperlinks>
  <pageMargins left="0.45" right="0.45" top="0.75" bottom="0.75" header="0.3" footer="0.3"/>
  <pageSetup orientation="portrait" r:id="rId3"/>
  <rowBreaks count="1" manualBreakCount="1">
    <brk id="3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sheetPr>
  <dimension ref="A1:W48"/>
  <sheetViews>
    <sheetView workbookViewId="0">
      <selection activeCell="A6" sqref="A6"/>
    </sheetView>
  </sheetViews>
  <sheetFormatPr defaultRowHeight="14.4" x14ac:dyDescent="0.3"/>
  <cols>
    <col min="3" max="5" width="11.44140625" customWidth="1"/>
    <col min="6" max="6" width="2.88671875" customWidth="1"/>
    <col min="9" max="9" width="23" bestFit="1" customWidth="1"/>
    <col min="10" max="11" width="14.109375" customWidth="1"/>
    <col min="12" max="12" width="11.109375" bestFit="1" customWidth="1"/>
    <col min="13" max="14" width="12.5546875" customWidth="1"/>
    <col min="17" max="17" width="11.109375" customWidth="1"/>
    <col min="18" max="19" width="12.5546875" bestFit="1" customWidth="1"/>
    <col min="20" max="20" width="16.33203125" customWidth="1"/>
  </cols>
  <sheetData>
    <row r="1" spans="1:23" x14ac:dyDescent="0.3">
      <c r="B1" s="658" t="s">
        <v>677</v>
      </c>
      <c r="C1" s="658"/>
      <c r="D1" s="658"/>
      <c r="E1" s="658"/>
      <c r="I1" s="656" t="s">
        <v>678</v>
      </c>
      <c r="J1" s="656"/>
      <c r="K1" s="656"/>
      <c r="L1" s="656"/>
      <c r="M1" s="656"/>
      <c r="N1" s="656"/>
      <c r="O1" s="656"/>
    </row>
    <row r="2" spans="1:23" x14ac:dyDescent="0.3">
      <c r="B2" s="657" t="s">
        <v>679</v>
      </c>
      <c r="C2" s="657"/>
      <c r="D2" s="657"/>
      <c r="E2" s="657"/>
      <c r="I2" s="657" t="s">
        <v>680</v>
      </c>
      <c r="J2" s="657"/>
      <c r="K2" s="657"/>
      <c r="L2" s="657"/>
      <c r="M2" s="657"/>
      <c r="N2" s="657"/>
      <c r="O2" s="657"/>
    </row>
    <row r="3" spans="1:23" ht="15" thickBot="1" x14ac:dyDescent="0.35">
      <c r="J3" s="258" t="s">
        <v>1149</v>
      </c>
    </row>
    <row r="4" spans="1:23" ht="15" customHeight="1" x14ac:dyDescent="0.3">
      <c r="A4" s="182" t="s">
        <v>1101</v>
      </c>
      <c r="B4" s="38" t="s">
        <v>681</v>
      </c>
      <c r="C4" s="133"/>
      <c r="D4" s="176" t="s">
        <v>1128</v>
      </c>
      <c r="E4" s="168"/>
      <c r="I4" s="169" t="s">
        <v>682</v>
      </c>
      <c r="J4" s="170"/>
      <c r="K4" s="170"/>
      <c r="L4" s="170"/>
      <c r="M4" s="170"/>
      <c r="N4" s="170"/>
      <c r="O4" s="171"/>
    </row>
    <row r="5" spans="1:23" ht="43.2" x14ac:dyDescent="0.3">
      <c r="B5" s="41" t="s">
        <v>683</v>
      </c>
      <c r="C5" s="132" t="s">
        <v>1099</v>
      </c>
      <c r="D5" s="132" t="s">
        <v>1100</v>
      </c>
      <c r="E5" s="132" t="s">
        <v>1098</v>
      </c>
      <c r="G5" s="40" t="s">
        <v>684</v>
      </c>
      <c r="I5" s="184"/>
      <c r="J5" s="183" t="s">
        <v>1136</v>
      </c>
      <c r="K5" s="183" t="s">
        <v>1130</v>
      </c>
      <c r="L5" s="194" t="s">
        <v>1105</v>
      </c>
      <c r="M5" s="183" t="s">
        <v>1096</v>
      </c>
      <c r="N5" s="178" t="s">
        <v>1052</v>
      </c>
      <c r="O5" s="43"/>
    </row>
    <row r="6" spans="1:23" x14ac:dyDescent="0.3">
      <c r="A6" s="39">
        <f>SUM(C6:E6)</f>
        <v>47728</v>
      </c>
      <c r="B6" s="173" t="s">
        <v>633</v>
      </c>
      <c r="C6" s="175">
        <v>45792</v>
      </c>
      <c r="D6" s="175">
        <v>401</v>
      </c>
      <c r="E6" s="175">
        <v>1535</v>
      </c>
      <c r="G6" s="198">
        <v>47728</v>
      </c>
      <c r="H6" s="177">
        <f t="shared" ref="H6:H11" si="0">+A6-G6</f>
        <v>0</v>
      </c>
      <c r="I6" s="44" t="s">
        <v>633</v>
      </c>
      <c r="J6" s="257" t="s">
        <v>1137</v>
      </c>
      <c r="K6" s="189"/>
      <c r="L6" s="190"/>
      <c r="M6" s="52"/>
      <c r="N6" s="52"/>
      <c r="O6" s="45"/>
      <c r="Q6">
        <v>45792</v>
      </c>
      <c r="R6">
        <v>401</v>
      </c>
      <c r="S6">
        <v>1535</v>
      </c>
      <c r="U6" s="39">
        <f>+C6-Q6</f>
        <v>0</v>
      </c>
      <c r="V6" s="39">
        <f>+D6-R6</f>
        <v>0</v>
      </c>
      <c r="W6" s="39">
        <f>+E6-S6</f>
        <v>0</v>
      </c>
    </row>
    <row r="7" spans="1:23" x14ac:dyDescent="0.3">
      <c r="A7" s="39">
        <f t="shared" ref="A7:A11" si="1">SUM(C7:E7)</f>
        <v>44741</v>
      </c>
      <c r="B7" s="173" t="s">
        <v>685</v>
      </c>
      <c r="C7" s="175">
        <v>10072</v>
      </c>
      <c r="D7" s="175">
        <v>6175</v>
      </c>
      <c r="E7" s="175">
        <f>14147+14347</f>
        <v>28494</v>
      </c>
      <c r="G7" s="198">
        <v>44741</v>
      </c>
      <c r="H7" s="177">
        <f t="shared" si="0"/>
        <v>0</v>
      </c>
      <c r="I7" s="46" t="s">
        <v>686</v>
      </c>
      <c r="J7" s="104">
        <v>0.06</v>
      </c>
      <c r="K7" s="104">
        <v>0.06</v>
      </c>
      <c r="L7" s="104">
        <v>0.06</v>
      </c>
      <c r="M7" s="104">
        <v>0.06</v>
      </c>
      <c r="N7" s="104">
        <v>0.06</v>
      </c>
      <c r="O7" s="43"/>
      <c r="Q7">
        <v>10072</v>
      </c>
      <c r="R7">
        <v>6175</v>
      </c>
      <c r="S7">
        <v>28494</v>
      </c>
      <c r="U7" s="39">
        <f t="shared" ref="U7:U11" si="2">+C7-Q7</f>
        <v>0</v>
      </c>
      <c r="V7" s="39">
        <f t="shared" ref="V7:V11" si="3">+D7-R7</f>
        <v>0</v>
      </c>
      <c r="W7" s="39">
        <f t="shared" ref="W7:W11" si="4">+E7-S7</f>
        <v>0</v>
      </c>
    </row>
    <row r="8" spans="1:23" x14ac:dyDescent="0.3">
      <c r="A8" s="39">
        <f t="shared" si="1"/>
        <v>54736</v>
      </c>
      <c r="B8" s="173" t="s">
        <v>687</v>
      </c>
      <c r="C8" s="175">
        <v>10007</v>
      </c>
      <c r="D8" s="175">
        <v>8983</v>
      </c>
      <c r="E8" s="175">
        <f>18300+17446</f>
        <v>35746</v>
      </c>
      <c r="G8" s="198">
        <v>54736</v>
      </c>
      <c r="H8" s="177">
        <f t="shared" si="0"/>
        <v>0</v>
      </c>
      <c r="I8" s="47" t="s">
        <v>688</v>
      </c>
      <c r="J8" s="179">
        <v>0.12859999999999999</v>
      </c>
      <c r="K8" s="179">
        <v>0.12859999999999999</v>
      </c>
      <c r="L8" s="193">
        <v>0.1283</v>
      </c>
      <c r="M8" s="179">
        <v>0.127</v>
      </c>
      <c r="N8" s="105">
        <v>0.1118</v>
      </c>
      <c r="O8" s="48"/>
      <c r="Q8">
        <v>10007</v>
      </c>
      <c r="R8">
        <v>8983</v>
      </c>
      <c r="S8">
        <v>35746</v>
      </c>
      <c r="U8" s="39">
        <f t="shared" si="2"/>
        <v>0</v>
      </c>
      <c r="V8" s="39">
        <f t="shared" si="3"/>
        <v>0</v>
      </c>
      <c r="W8" s="39">
        <f t="shared" si="4"/>
        <v>0</v>
      </c>
    </row>
    <row r="9" spans="1:23" x14ac:dyDescent="0.3">
      <c r="A9" s="39">
        <f t="shared" si="1"/>
        <v>33114</v>
      </c>
      <c r="B9" s="173" t="s">
        <v>635</v>
      </c>
      <c r="C9" s="175">
        <v>32645</v>
      </c>
      <c r="D9" s="131">
        <v>120</v>
      </c>
      <c r="E9" s="175">
        <v>349</v>
      </c>
      <c r="G9" s="198">
        <v>33114</v>
      </c>
      <c r="H9" s="177">
        <f t="shared" si="0"/>
        <v>0</v>
      </c>
      <c r="I9" s="42"/>
      <c r="J9" s="220"/>
      <c r="K9" s="220"/>
      <c r="L9" s="191"/>
      <c r="M9" s="53"/>
      <c r="N9" s="53"/>
      <c r="O9" s="43"/>
      <c r="Q9">
        <v>32645</v>
      </c>
      <c r="R9">
        <v>120</v>
      </c>
      <c r="S9">
        <v>349</v>
      </c>
      <c r="U9" s="39">
        <f t="shared" si="2"/>
        <v>0</v>
      </c>
      <c r="V9" s="39">
        <f t="shared" si="3"/>
        <v>0</v>
      </c>
      <c r="W9" s="39">
        <f t="shared" si="4"/>
        <v>0</v>
      </c>
    </row>
    <row r="10" spans="1:23" x14ac:dyDescent="0.3">
      <c r="A10" s="39">
        <f t="shared" si="1"/>
        <v>30441</v>
      </c>
      <c r="B10" s="173" t="s">
        <v>689</v>
      </c>
      <c r="C10" s="175">
        <v>5874</v>
      </c>
      <c r="D10" s="175">
        <v>2779</v>
      </c>
      <c r="E10" s="175">
        <f>10180+11608</f>
        <v>21788</v>
      </c>
      <c r="G10" s="198">
        <v>30441</v>
      </c>
      <c r="H10" s="177">
        <f t="shared" si="0"/>
        <v>0</v>
      </c>
      <c r="I10" s="42"/>
      <c r="J10" s="195" t="s">
        <v>1139</v>
      </c>
      <c r="K10" s="195" t="s">
        <v>1140</v>
      </c>
      <c r="L10" s="195" t="s">
        <v>1105</v>
      </c>
      <c r="M10" s="183" t="s">
        <v>1097</v>
      </c>
      <c r="N10" s="103" t="s">
        <v>1053</v>
      </c>
      <c r="O10" s="43"/>
      <c r="Q10">
        <v>5874</v>
      </c>
      <c r="R10">
        <v>2779</v>
      </c>
      <c r="S10">
        <v>21788</v>
      </c>
      <c r="U10" s="39">
        <f t="shared" si="2"/>
        <v>0</v>
      </c>
      <c r="V10" s="39">
        <f t="shared" si="3"/>
        <v>0</v>
      </c>
      <c r="W10" s="39">
        <f t="shared" si="4"/>
        <v>0</v>
      </c>
    </row>
    <row r="11" spans="1:23" ht="15" thickBot="1" x14ac:dyDescent="0.35">
      <c r="A11" s="39">
        <f t="shared" si="1"/>
        <v>78153</v>
      </c>
      <c r="B11" s="174" t="s">
        <v>690</v>
      </c>
      <c r="C11" s="175">
        <v>13745</v>
      </c>
      <c r="D11" s="175">
        <v>8675</v>
      </c>
      <c r="E11" s="175">
        <f>37306+18427</f>
        <v>55733</v>
      </c>
      <c r="G11" s="198">
        <v>78153</v>
      </c>
      <c r="H11" s="177">
        <f t="shared" si="0"/>
        <v>0</v>
      </c>
      <c r="I11" s="44" t="s">
        <v>635</v>
      </c>
      <c r="J11" s="189"/>
      <c r="K11" s="189"/>
      <c r="L11" s="190"/>
      <c r="M11" s="54"/>
      <c r="N11" s="54"/>
      <c r="O11" s="49"/>
      <c r="Q11">
        <v>13745</v>
      </c>
      <c r="R11">
        <v>8675</v>
      </c>
      <c r="S11">
        <v>55733</v>
      </c>
      <c r="U11" s="39">
        <f t="shared" si="2"/>
        <v>0</v>
      </c>
      <c r="V11" s="39">
        <f t="shared" si="3"/>
        <v>0</v>
      </c>
      <c r="W11" s="39">
        <f t="shared" si="4"/>
        <v>0</v>
      </c>
    </row>
    <row r="12" spans="1:23" x14ac:dyDescent="0.3">
      <c r="B12" s="661" t="s">
        <v>1129</v>
      </c>
      <c r="C12" s="662"/>
      <c r="D12" s="662"/>
      <c r="E12" s="662"/>
      <c r="I12" s="46" t="s">
        <v>686</v>
      </c>
      <c r="J12" s="104">
        <v>0.06</v>
      </c>
      <c r="K12" s="104">
        <v>0.06</v>
      </c>
      <c r="L12" s="104">
        <v>0.06</v>
      </c>
      <c r="M12" s="104">
        <v>0.06</v>
      </c>
      <c r="N12" s="104">
        <v>0.06</v>
      </c>
      <c r="O12" s="50"/>
    </row>
    <row r="13" spans="1:23" x14ac:dyDescent="0.3">
      <c r="B13" s="663"/>
      <c r="C13" s="662"/>
      <c r="D13" s="662"/>
      <c r="E13" s="662"/>
      <c r="I13" s="47" t="s">
        <v>688</v>
      </c>
      <c r="J13" s="193">
        <v>0.15509999999999999</v>
      </c>
      <c r="K13" s="193">
        <v>0.15509999999999999</v>
      </c>
      <c r="L13" s="192">
        <v>0.15409999999999999</v>
      </c>
      <c r="M13" s="179">
        <v>0.152</v>
      </c>
      <c r="N13" s="105">
        <v>0.1313</v>
      </c>
      <c r="O13" s="51"/>
    </row>
    <row r="14" spans="1:23" ht="33.75" customHeight="1" thickBot="1" x14ac:dyDescent="0.35">
      <c r="B14" s="659" t="s">
        <v>679</v>
      </c>
      <c r="C14" s="660"/>
      <c r="D14" s="660"/>
      <c r="E14" s="660"/>
      <c r="I14" s="44" t="s">
        <v>689</v>
      </c>
      <c r="J14" s="189"/>
      <c r="K14" s="189"/>
      <c r="L14" s="190"/>
      <c r="M14" s="54"/>
      <c r="N14" s="54"/>
      <c r="O14" s="49"/>
    </row>
    <row r="15" spans="1:23" x14ac:dyDescent="0.3">
      <c r="I15" s="46" t="s">
        <v>686</v>
      </c>
      <c r="J15" s="180">
        <v>7.7700000000000005E-2</v>
      </c>
      <c r="K15" s="180">
        <v>7.7700000000000005E-2</v>
      </c>
      <c r="L15" s="53">
        <v>7.0599999999999996E-2</v>
      </c>
      <c r="M15" s="180">
        <v>7.0599999999999996E-2</v>
      </c>
      <c r="N15" s="53">
        <v>5.9499999999999997E-2</v>
      </c>
      <c r="O15" s="50"/>
    </row>
    <row r="16" spans="1:23" ht="15" customHeight="1" x14ac:dyDescent="0.3">
      <c r="I16" s="47" t="s">
        <v>688</v>
      </c>
      <c r="J16" s="193">
        <v>0.15509999999999999</v>
      </c>
      <c r="K16" s="193">
        <v>0.15509999999999999</v>
      </c>
      <c r="L16" s="192">
        <v>0.15409999999999999</v>
      </c>
      <c r="M16" s="179">
        <v>0.152</v>
      </c>
      <c r="N16" s="106">
        <v>0.1313</v>
      </c>
      <c r="O16" s="51"/>
    </row>
    <row r="17" spans="1:23" x14ac:dyDescent="0.3">
      <c r="A17" s="39">
        <f t="shared" ref="A17:A18" si="5">SUM(C17:E17)</f>
        <v>206268</v>
      </c>
      <c r="B17" s="173" t="s">
        <v>1110</v>
      </c>
      <c r="C17" s="175">
        <v>55161</v>
      </c>
      <c r="D17" s="175">
        <v>29139</v>
      </c>
      <c r="E17" s="175">
        <f>79014+42954</f>
        <v>121968</v>
      </c>
      <c r="G17" s="198">
        <v>206268</v>
      </c>
      <c r="H17" s="177">
        <f t="shared" ref="H17:H18" si="6">+A17-G17</f>
        <v>0</v>
      </c>
      <c r="I17" s="44" t="s">
        <v>690</v>
      </c>
      <c r="J17" s="189"/>
      <c r="K17" s="189"/>
      <c r="L17" s="190"/>
      <c r="M17" s="54"/>
      <c r="N17" s="54"/>
      <c r="O17" s="49"/>
      <c r="Q17">
        <v>55161</v>
      </c>
      <c r="R17">
        <v>29139</v>
      </c>
      <c r="S17">
        <v>121968</v>
      </c>
      <c r="U17" s="39">
        <f>+C17-Q17</f>
        <v>0</v>
      </c>
      <c r="V17" s="39">
        <f t="shared" ref="V17:V18" si="7">+D17-R17</f>
        <v>0</v>
      </c>
      <c r="W17" s="39">
        <f t="shared" ref="W17:W18" si="8">+E17-S17</f>
        <v>0</v>
      </c>
    </row>
    <row r="18" spans="1:23" x14ac:dyDescent="0.3">
      <c r="A18" s="39">
        <f t="shared" si="5"/>
        <v>49635</v>
      </c>
      <c r="B18" s="173" t="s">
        <v>1111</v>
      </c>
      <c r="C18" s="175">
        <v>5709</v>
      </c>
      <c r="D18" s="175">
        <v>6381</v>
      </c>
      <c r="E18" s="175">
        <f>15230+22315</f>
        <v>37545</v>
      </c>
      <c r="G18" s="198">
        <v>49635</v>
      </c>
      <c r="H18" s="177">
        <f t="shared" si="6"/>
        <v>0</v>
      </c>
      <c r="I18" s="46" t="s">
        <v>686</v>
      </c>
      <c r="J18" s="107" t="s">
        <v>691</v>
      </c>
      <c r="K18" s="107" t="s">
        <v>691</v>
      </c>
      <c r="L18" s="107" t="s">
        <v>691</v>
      </c>
      <c r="M18" s="107" t="s">
        <v>691</v>
      </c>
      <c r="N18" s="107" t="s">
        <v>691</v>
      </c>
      <c r="O18" s="50"/>
      <c r="Q18">
        <v>5709</v>
      </c>
      <c r="R18">
        <v>6381</v>
      </c>
      <c r="S18">
        <v>37545</v>
      </c>
      <c r="U18" s="39">
        <f t="shared" ref="U18" si="9">+C18-Q18</f>
        <v>0</v>
      </c>
      <c r="V18" s="39">
        <f t="shared" si="7"/>
        <v>0</v>
      </c>
      <c r="W18" s="39">
        <f t="shared" si="8"/>
        <v>0</v>
      </c>
    </row>
    <row r="19" spans="1:23" x14ac:dyDescent="0.3">
      <c r="I19" s="47" t="s">
        <v>688</v>
      </c>
      <c r="J19" s="193">
        <v>0.15509999999999999</v>
      </c>
      <c r="K19" s="193">
        <v>0.15509999999999999</v>
      </c>
      <c r="L19" s="192">
        <v>0.15409999999999999</v>
      </c>
      <c r="M19" s="179">
        <v>0.152</v>
      </c>
      <c r="N19" s="106">
        <v>0.1313</v>
      </c>
      <c r="O19" s="55" t="s">
        <v>692</v>
      </c>
    </row>
    <row r="20" spans="1:23" x14ac:dyDescent="0.3">
      <c r="I20" s="44" t="s">
        <v>685</v>
      </c>
      <c r="J20" s="189"/>
      <c r="K20" s="189"/>
      <c r="L20" s="190"/>
      <c r="M20" s="54"/>
      <c r="N20" s="54"/>
      <c r="O20" s="56"/>
    </row>
    <row r="21" spans="1:23" x14ac:dyDescent="0.3">
      <c r="I21" s="46" t="s">
        <v>686</v>
      </c>
      <c r="J21" s="237">
        <v>8.2500000000000004E-2</v>
      </c>
      <c r="K21" s="237">
        <v>8.2500000000000004E-2</v>
      </c>
      <c r="L21" s="53">
        <v>7.2700000000000001E-2</v>
      </c>
      <c r="M21" s="180">
        <v>7.2700000000000001E-2</v>
      </c>
      <c r="N21" s="53">
        <v>5.6300000000000003E-2</v>
      </c>
      <c r="O21" s="57"/>
    </row>
    <row r="22" spans="1:23" x14ac:dyDescent="0.3">
      <c r="I22" s="47" t="s">
        <v>688</v>
      </c>
      <c r="J22" s="192">
        <v>0.13189999999999999</v>
      </c>
      <c r="K22" s="192">
        <v>0.13189999999999999</v>
      </c>
      <c r="L22" s="192">
        <v>0.1358</v>
      </c>
      <c r="M22" s="181">
        <v>0.1348</v>
      </c>
      <c r="N22" s="106">
        <v>0.1158</v>
      </c>
      <c r="O22" s="55"/>
    </row>
    <row r="23" spans="1:23" x14ac:dyDescent="0.3">
      <c r="I23" s="44" t="s">
        <v>687</v>
      </c>
      <c r="J23" s="189"/>
      <c r="K23" s="189"/>
      <c r="L23" s="190"/>
      <c r="M23" s="54"/>
      <c r="N23" s="54"/>
      <c r="O23" s="56"/>
    </row>
    <row r="24" spans="1:23" ht="15" customHeight="1" x14ac:dyDescent="0.3">
      <c r="I24" s="46" t="s">
        <v>686</v>
      </c>
      <c r="J24" s="236"/>
      <c r="K24" s="107" t="s">
        <v>691</v>
      </c>
      <c r="L24" s="107" t="s">
        <v>691</v>
      </c>
      <c r="M24" s="107" t="s">
        <v>691</v>
      </c>
      <c r="N24" s="107" t="s">
        <v>691</v>
      </c>
      <c r="O24" s="57"/>
    </row>
    <row r="25" spans="1:23" x14ac:dyDescent="0.3">
      <c r="I25" s="47" t="s">
        <v>688</v>
      </c>
      <c r="J25" s="192">
        <v>0.13189999999999999</v>
      </c>
      <c r="K25" s="192">
        <v>0.13189999999999999</v>
      </c>
      <c r="L25" s="192">
        <v>0.1358</v>
      </c>
      <c r="M25" s="181">
        <v>0.1348</v>
      </c>
      <c r="N25" s="106">
        <v>0.1158</v>
      </c>
      <c r="O25" s="55" t="s">
        <v>692</v>
      </c>
    </row>
    <row r="26" spans="1:23" ht="15.75" customHeight="1" x14ac:dyDescent="0.3">
      <c r="I26" s="653" t="s">
        <v>693</v>
      </c>
      <c r="J26" s="654"/>
      <c r="K26" s="654"/>
      <c r="L26" s="654"/>
      <c r="M26" s="654"/>
      <c r="N26" s="654"/>
      <c r="O26" s="655"/>
    </row>
    <row r="27" spans="1:23" x14ac:dyDescent="0.3">
      <c r="I27" s="664" t="s">
        <v>694</v>
      </c>
      <c r="J27" s="665"/>
      <c r="K27" s="665"/>
      <c r="L27" s="665"/>
      <c r="M27" s="665"/>
      <c r="N27" s="665"/>
      <c r="O27" s="666"/>
    </row>
    <row r="28" spans="1:23" ht="15" thickBot="1" x14ac:dyDescent="0.35">
      <c r="I28" s="667" t="s">
        <v>695</v>
      </c>
      <c r="J28" s="668"/>
      <c r="K28" s="668"/>
      <c r="L28" s="668"/>
      <c r="M28" s="668"/>
      <c r="N28" s="668"/>
      <c r="O28" s="669"/>
    </row>
    <row r="29" spans="1:23" ht="6" customHeight="1" x14ac:dyDescent="0.3"/>
    <row r="30" spans="1:23" ht="41.25" customHeight="1" x14ac:dyDescent="0.3">
      <c r="I30" s="670" t="s">
        <v>1131</v>
      </c>
      <c r="J30" s="670"/>
      <c r="K30" s="670"/>
      <c r="L30" s="670"/>
      <c r="M30" s="670"/>
      <c r="N30" s="670"/>
      <c r="O30" s="670"/>
    </row>
    <row r="31" spans="1:23" x14ac:dyDescent="0.3">
      <c r="I31" s="219"/>
      <c r="J31" s="183" t="s">
        <v>1136</v>
      </c>
      <c r="K31" s="183" t="s">
        <v>1130</v>
      </c>
      <c r="L31" s="194" t="s">
        <v>1105</v>
      </c>
      <c r="M31" s="219"/>
      <c r="N31" s="219"/>
      <c r="O31" s="219"/>
    </row>
    <row r="32" spans="1:23" x14ac:dyDescent="0.3">
      <c r="I32" s="44" t="s">
        <v>710</v>
      </c>
      <c r="J32" t="s">
        <v>1138</v>
      </c>
    </row>
    <row r="33" spans="1:12" x14ac:dyDescent="0.3">
      <c r="I33" s="46" t="s">
        <v>686</v>
      </c>
      <c r="J33" s="104">
        <v>7.9000000000000001E-2</v>
      </c>
      <c r="K33" s="104">
        <v>7.9000000000000001E-2</v>
      </c>
      <c r="L33" s="104">
        <v>7.4099999999999999E-2</v>
      </c>
    </row>
    <row r="34" spans="1:12" ht="15" customHeight="1" x14ac:dyDescent="0.3">
      <c r="I34" s="47" t="s">
        <v>688</v>
      </c>
      <c r="J34" s="105">
        <v>0.12859999999999999</v>
      </c>
      <c r="K34" s="105">
        <v>0.12859999999999999</v>
      </c>
      <c r="L34" s="105">
        <v>0.1283</v>
      </c>
    </row>
    <row r="36" spans="1:12" x14ac:dyDescent="0.3">
      <c r="A36" s="39">
        <f>SUM(C36:E36)</f>
        <v>47728</v>
      </c>
      <c r="B36" s="173" t="s">
        <v>633</v>
      </c>
      <c r="C36" s="175">
        <v>45792</v>
      </c>
      <c r="D36" s="175">
        <v>401</v>
      </c>
      <c r="E36" s="175">
        <v>1535</v>
      </c>
      <c r="G36" s="198">
        <v>47728</v>
      </c>
      <c r="H36" s="177">
        <f t="shared" ref="H36:H41" si="10">+A36-G36</f>
        <v>0</v>
      </c>
    </row>
    <row r="37" spans="1:12" x14ac:dyDescent="0.3">
      <c r="A37" s="39">
        <f t="shared" ref="A37:A41" si="11">SUM(C37:E37)</f>
        <v>44741</v>
      </c>
      <c r="B37" s="173" t="s">
        <v>685</v>
      </c>
      <c r="C37" s="175">
        <v>10072</v>
      </c>
      <c r="D37" s="175">
        <v>6175</v>
      </c>
      <c r="E37" s="175">
        <f>14147+14347</f>
        <v>28494</v>
      </c>
      <c r="G37" s="198">
        <v>44741</v>
      </c>
      <c r="H37" s="177">
        <f t="shared" si="10"/>
        <v>0</v>
      </c>
    </row>
    <row r="38" spans="1:12" x14ac:dyDescent="0.3">
      <c r="A38" s="39">
        <f t="shared" si="11"/>
        <v>54736</v>
      </c>
      <c r="B38" s="173" t="s">
        <v>687</v>
      </c>
      <c r="C38" s="175">
        <v>10007</v>
      </c>
      <c r="D38" s="175">
        <v>8983</v>
      </c>
      <c r="E38" s="175">
        <f>18300+17446</f>
        <v>35746</v>
      </c>
      <c r="G38" s="198">
        <v>54736</v>
      </c>
      <c r="H38" s="177">
        <f t="shared" si="10"/>
        <v>0</v>
      </c>
    </row>
    <row r="39" spans="1:12" x14ac:dyDescent="0.3">
      <c r="A39" s="39">
        <f t="shared" si="11"/>
        <v>33114</v>
      </c>
      <c r="B39" s="173" t="s">
        <v>635</v>
      </c>
      <c r="C39" s="175">
        <v>32645</v>
      </c>
      <c r="D39" s="131">
        <v>120</v>
      </c>
      <c r="E39" s="175">
        <v>349</v>
      </c>
      <c r="G39" s="198">
        <v>33114</v>
      </c>
      <c r="H39" s="177">
        <f t="shared" si="10"/>
        <v>0</v>
      </c>
    </row>
    <row r="40" spans="1:12" x14ac:dyDescent="0.3">
      <c r="A40" s="39">
        <f t="shared" si="11"/>
        <v>30441</v>
      </c>
      <c r="B40" s="173" t="s">
        <v>689</v>
      </c>
      <c r="C40" s="175">
        <v>5874</v>
      </c>
      <c r="D40" s="175">
        <v>2779</v>
      </c>
      <c r="E40" s="175">
        <f>10180+11608</f>
        <v>21788</v>
      </c>
      <c r="G40" s="198">
        <v>30441</v>
      </c>
      <c r="H40" s="177">
        <f t="shared" si="10"/>
        <v>0</v>
      </c>
    </row>
    <row r="41" spans="1:12" ht="15" thickBot="1" x14ac:dyDescent="0.35">
      <c r="A41" s="39">
        <f t="shared" si="11"/>
        <v>78153</v>
      </c>
      <c r="B41" s="174" t="s">
        <v>690</v>
      </c>
      <c r="C41" s="175">
        <v>13745</v>
      </c>
      <c r="D41" s="175">
        <v>8675</v>
      </c>
      <c r="E41" s="175">
        <f>37306+18427</f>
        <v>55733</v>
      </c>
      <c r="G41" s="198">
        <v>78153</v>
      </c>
      <c r="H41" s="177">
        <f t="shared" si="10"/>
        <v>0</v>
      </c>
    </row>
    <row r="42" spans="1:12" x14ac:dyDescent="0.3">
      <c r="B42" s="661" t="s">
        <v>1129</v>
      </c>
      <c r="C42" s="662"/>
      <c r="D42" s="662"/>
      <c r="E42" s="662"/>
    </row>
    <row r="43" spans="1:12" x14ac:dyDescent="0.3">
      <c r="B43" s="663"/>
      <c r="C43" s="662"/>
      <c r="D43" s="662"/>
      <c r="E43" s="662"/>
    </row>
    <row r="44" spans="1:12" ht="15" thickBot="1" x14ac:dyDescent="0.35">
      <c r="B44" s="659" t="s">
        <v>679</v>
      </c>
      <c r="C44" s="660"/>
      <c r="D44" s="660"/>
      <c r="E44" s="660"/>
    </row>
    <row r="47" spans="1:12" x14ac:dyDescent="0.3">
      <c r="A47" s="39">
        <f t="shared" ref="A47:A48" si="12">SUM(C47:E47)</f>
        <v>206268</v>
      </c>
      <c r="B47" s="173" t="s">
        <v>1110</v>
      </c>
      <c r="C47" s="175">
        <v>55161</v>
      </c>
      <c r="D47" s="175">
        <v>29139</v>
      </c>
      <c r="E47" s="175">
        <f>79014+42954</f>
        <v>121968</v>
      </c>
      <c r="G47" s="198">
        <v>206268</v>
      </c>
      <c r="H47" s="177">
        <f t="shared" ref="H47:H48" si="13">+A47-G47</f>
        <v>0</v>
      </c>
    </row>
    <row r="48" spans="1:12" x14ac:dyDescent="0.3">
      <c r="A48" s="39">
        <f t="shared" si="12"/>
        <v>49635</v>
      </c>
      <c r="B48" s="173" t="s">
        <v>1111</v>
      </c>
      <c r="C48" s="175">
        <v>5709</v>
      </c>
      <c r="D48" s="175">
        <v>6381</v>
      </c>
      <c r="E48" s="175">
        <f>15230+22315</f>
        <v>37545</v>
      </c>
      <c r="G48" s="198">
        <v>49635</v>
      </c>
      <c r="H48" s="177">
        <f t="shared" si="13"/>
        <v>0</v>
      </c>
    </row>
  </sheetData>
  <mergeCells count="12">
    <mergeCell ref="B42:E43"/>
    <mergeCell ref="B44:E44"/>
    <mergeCell ref="I27:O27"/>
    <mergeCell ref="I28:O28"/>
    <mergeCell ref="I30:O30"/>
    <mergeCell ref="I26:O26"/>
    <mergeCell ref="I1:O1"/>
    <mergeCell ref="I2:O2"/>
    <mergeCell ref="B1:E1"/>
    <mergeCell ref="B14:E14"/>
    <mergeCell ref="B2:E2"/>
    <mergeCell ref="B12:E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pageSetUpPr fitToPage="1"/>
  </sheetPr>
  <dimension ref="A1:AG116"/>
  <sheetViews>
    <sheetView zoomScale="85" zoomScaleNormal="85" workbookViewId="0">
      <pane ySplit="4" topLeftCell="A95" activePane="bottomLeft" state="frozen"/>
      <selection pane="bottomLeft" activeCell="A112" sqref="A112:F114"/>
    </sheetView>
  </sheetViews>
  <sheetFormatPr defaultRowHeight="14.4" x14ac:dyDescent="0.3"/>
  <cols>
    <col min="1" max="1" width="31.33203125" customWidth="1"/>
    <col min="2" max="2" width="19.44140625" customWidth="1"/>
    <col min="3" max="3" width="15.5546875" bestFit="1" customWidth="1"/>
    <col min="4" max="4" width="15.6640625" customWidth="1"/>
    <col min="5" max="5" width="15" bestFit="1" customWidth="1"/>
    <col min="6" max="7" width="15.109375" bestFit="1" customWidth="1"/>
    <col min="8" max="8" width="3" customWidth="1"/>
    <col min="9" max="9" width="10.6640625" bestFit="1" customWidth="1"/>
    <col min="10" max="10" width="30.33203125" customWidth="1"/>
    <col min="11" max="11" width="1.88671875" customWidth="1"/>
    <col min="12" max="12" width="6" bestFit="1" customWidth="1"/>
    <col min="13" max="15" width="12.44140625" bestFit="1" customWidth="1"/>
    <col min="16" max="16" width="13.33203125" bestFit="1" customWidth="1"/>
    <col min="17" max="17" width="10.44140625" bestFit="1" customWidth="1"/>
    <col min="18" max="18" width="13.33203125" bestFit="1" customWidth="1"/>
    <col min="19" max="19" width="10.88671875" bestFit="1" customWidth="1"/>
    <col min="20" max="20" width="13.33203125" bestFit="1" customWidth="1"/>
    <col min="21" max="21" width="10.109375" bestFit="1" customWidth="1"/>
    <col min="22" max="22" width="13.33203125" bestFit="1" customWidth="1"/>
    <col min="23" max="23" width="10.109375" bestFit="1" customWidth="1"/>
    <col min="24" max="24" width="14.33203125" bestFit="1" customWidth="1"/>
    <col min="25" max="25" width="10.109375" bestFit="1" customWidth="1"/>
    <col min="26" max="26" width="14.33203125" bestFit="1" customWidth="1"/>
    <col min="27" max="27" width="10.109375" bestFit="1" customWidth="1"/>
    <col min="28" max="28" width="14.33203125" bestFit="1" customWidth="1"/>
    <col min="29" max="29" width="10.109375" bestFit="1" customWidth="1"/>
    <col min="30" max="30" width="14.33203125" bestFit="1" customWidth="1"/>
  </cols>
  <sheetData>
    <row r="1" spans="1:14" ht="28.8" x14ac:dyDescent="0.3">
      <c r="A1" s="591" t="s">
        <v>1132</v>
      </c>
      <c r="B1" s="592"/>
      <c r="C1" s="592"/>
      <c r="D1" s="592"/>
      <c r="E1" s="592"/>
      <c r="F1" s="592"/>
      <c r="G1" s="593"/>
      <c r="H1" s="25"/>
    </row>
    <row r="2" spans="1:14" ht="15.75" customHeight="1" x14ac:dyDescent="0.3">
      <c r="F2" s="608"/>
      <c r="G2" s="590" t="s">
        <v>8</v>
      </c>
      <c r="H2" s="26"/>
      <c r="I2" s="587" t="s">
        <v>1148</v>
      </c>
      <c r="J2" s="587"/>
      <c r="K2" s="587"/>
      <c r="L2" s="587"/>
      <c r="M2" s="587"/>
      <c r="N2" s="587"/>
    </row>
    <row r="3" spans="1:14" ht="19.5" customHeight="1" x14ac:dyDescent="0.3">
      <c r="F3" s="609"/>
      <c r="G3" s="590"/>
      <c r="H3" s="26"/>
      <c r="I3" s="587"/>
      <c r="J3" s="587"/>
      <c r="K3" s="587"/>
      <c r="L3" s="587"/>
      <c r="M3" s="587"/>
      <c r="N3" s="587"/>
    </row>
    <row r="4" spans="1:14" ht="24" customHeight="1" thickBot="1" x14ac:dyDescent="0.35">
      <c r="F4" s="610"/>
      <c r="G4" s="66" t="str">
        <f>VLOOKUP('2025Comp&amp;Contr'!$A$4,'Collective NPL'!$A$7:$AI$335,2,FALSE)</f>
        <v>113</v>
      </c>
      <c r="H4" s="27"/>
      <c r="I4" s="587"/>
      <c r="J4" s="587"/>
      <c r="K4" s="587"/>
      <c r="L4" s="587"/>
      <c r="M4" s="587"/>
      <c r="N4" s="587"/>
    </row>
    <row r="5" spans="1:14" ht="36.75" customHeight="1" x14ac:dyDescent="0.3">
      <c r="A5" s="67"/>
      <c r="B5" s="611"/>
      <c r="C5" s="611"/>
      <c r="D5" s="611"/>
      <c r="E5" s="611"/>
      <c r="F5" s="611"/>
      <c r="G5" s="611"/>
      <c r="H5" s="27"/>
      <c r="I5" s="125"/>
      <c r="J5" s="134"/>
      <c r="L5" s="125"/>
      <c r="M5" s="134"/>
    </row>
    <row r="6" spans="1:14" ht="22.5" hidden="1" customHeight="1" x14ac:dyDescent="0.3">
      <c r="A6" s="594" t="s">
        <v>712</v>
      </c>
      <c r="B6" s="594"/>
      <c r="C6" s="594"/>
      <c r="D6" s="594"/>
      <c r="E6" s="594"/>
      <c r="F6" s="64"/>
      <c r="G6" s="68"/>
      <c r="H6" s="27"/>
      <c r="I6" s="125"/>
      <c r="J6" s="134"/>
      <c r="L6" s="125"/>
      <c r="M6" s="134"/>
    </row>
    <row r="7" spans="1:14" ht="23.25" hidden="1" customHeight="1" x14ac:dyDescent="0.3">
      <c r="A7" s="69" t="s">
        <v>713</v>
      </c>
      <c r="B7" s="70"/>
      <c r="C7" s="70"/>
      <c r="D7" s="70"/>
      <c r="E7" s="70"/>
      <c r="F7" s="64"/>
      <c r="G7" s="68"/>
      <c r="H7" s="27"/>
      <c r="I7" s="125"/>
      <c r="J7" s="134"/>
      <c r="L7" s="125"/>
      <c r="M7" s="134"/>
    </row>
    <row r="8" spans="1:14" ht="30" hidden="1" customHeight="1" thickBot="1" x14ac:dyDescent="0.35">
      <c r="A8" s="67"/>
      <c r="B8" s="65" t="s">
        <v>670</v>
      </c>
      <c r="C8" s="65" t="s">
        <v>665</v>
      </c>
      <c r="D8" s="65" t="s">
        <v>666</v>
      </c>
      <c r="E8" s="65" t="s">
        <v>714</v>
      </c>
      <c r="F8" s="64" t="s">
        <v>1055</v>
      </c>
      <c r="G8" s="68"/>
      <c r="H8" s="27"/>
      <c r="I8" s="125"/>
      <c r="J8" s="134" t="s">
        <v>1145</v>
      </c>
      <c r="L8" s="125"/>
      <c r="M8" s="134"/>
    </row>
    <row r="9" spans="1:14" ht="24" hidden="1" customHeight="1" x14ac:dyDescent="0.3">
      <c r="A9" s="137" t="s">
        <v>668</v>
      </c>
      <c r="B9" s="143">
        <f>+D74</f>
        <v>0</v>
      </c>
      <c r="C9" s="144">
        <f>IF(+E9&gt;+B9,+E9-B9,0)</f>
        <v>0</v>
      </c>
      <c r="D9" s="144">
        <f>IF(+E9&lt;+B9,+B9-E9,0)</f>
        <v>0</v>
      </c>
      <c r="E9" s="145">
        <f>+D67</f>
        <v>0</v>
      </c>
      <c r="F9" s="138" t="s">
        <v>1056</v>
      </c>
      <c r="G9" s="68"/>
      <c r="H9" s="27"/>
      <c r="I9" s="125"/>
      <c r="J9" s="134"/>
      <c r="L9" s="125"/>
      <c r="M9" s="134"/>
    </row>
    <row r="10" spans="1:14" ht="24" hidden="1" customHeight="1" x14ac:dyDescent="0.3">
      <c r="A10" s="137" t="s">
        <v>669</v>
      </c>
      <c r="B10" s="146">
        <f>+E74</f>
        <v>0</v>
      </c>
      <c r="C10" s="147">
        <f t="shared" ref="C10:C13" si="0">IF(+E10&gt;+B10,+E10-B10,0)</f>
        <v>0</v>
      </c>
      <c r="D10" s="147">
        <f t="shared" ref="D10:D13" si="1">IF(+E10&lt;+B10,+B10-E10,0)</f>
        <v>0</v>
      </c>
      <c r="E10" s="148">
        <f>+E67</f>
        <v>0</v>
      </c>
      <c r="F10" s="139" t="s">
        <v>1056</v>
      </c>
      <c r="G10" s="68"/>
      <c r="H10" s="27"/>
      <c r="I10" s="125"/>
      <c r="J10" s="134"/>
    </row>
    <row r="11" spans="1:14" ht="24" hidden="1" customHeight="1" x14ac:dyDescent="0.3">
      <c r="A11" s="137" t="s">
        <v>667</v>
      </c>
      <c r="B11" s="146">
        <f>+C74</f>
        <v>0</v>
      </c>
      <c r="C11" s="147">
        <f t="shared" si="0"/>
        <v>0</v>
      </c>
      <c r="D11" s="147">
        <f t="shared" si="1"/>
        <v>0</v>
      </c>
      <c r="E11" s="148">
        <f>+C67</f>
        <v>0</v>
      </c>
      <c r="F11" s="139" t="s">
        <v>1056</v>
      </c>
      <c r="G11" s="68"/>
      <c r="H11" s="27"/>
      <c r="I11" s="125"/>
      <c r="J11" s="134"/>
      <c r="L11" s="19"/>
      <c r="M11" s="119"/>
    </row>
    <row r="12" spans="1:14" ht="24" hidden="1" thickBot="1" x14ac:dyDescent="0.35">
      <c r="A12" s="137" t="s">
        <v>709</v>
      </c>
      <c r="B12" s="149">
        <f>+B74</f>
        <v>0</v>
      </c>
      <c r="C12" s="150">
        <f t="shared" si="0"/>
        <v>0</v>
      </c>
      <c r="D12" s="150">
        <f t="shared" si="1"/>
        <v>0</v>
      </c>
      <c r="E12" s="151">
        <f>+B67</f>
        <v>0</v>
      </c>
      <c r="F12" s="139" t="s">
        <v>1056</v>
      </c>
      <c r="G12" s="68"/>
      <c r="H12" s="27"/>
      <c r="I12" s="125"/>
      <c r="J12" s="134"/>
      <c r="L12" s="19"/>
      <c r="M12" s="119"/>
    </row>
    <row r="13" spans="1:14" ht="23.4" hidden="1" x14ac:dyDescent="0.3">
      <c r="A13" s="82" t="s">
        <v>721</v>
      </c>
      <c r="B13" s="140">
        <f>+F74</f>
        <v>0</v>
      </c>
      <c r="C13" s="141">
        <f t="shared" si="0"/>
        <v>0</v>
      </c>
      <c r="D13" s="141">
        <f t="shared" si="1"/>
        <v>0</v>
      </c>
      <c r="E13" s="142">
        <f>+F67</f>
        <v>0</v>
      </c>
      <c r="F13" s="117" t="s">
        <v>1056</v>
      </c>
      <c r="G13" s="68"/>
      <c r="H13" s="27"/>
      <c r="I13" s="125"/>
      <c r="J13" s="134"/>
      <c r="L13" s="19"/>
      <c r="M13" s="119"/>
    </row>
    <row r="14" spans="1:14" ht="23.4" hidden="1" x14ac:dyDescent="0.3">
      <c r="A14" s="73"/>
      <c r="B14" s="73"/>
      <c r="C14" s="73"/>
      <c r="D14" s="73"/>
      <c r="E14" s="73"/>
      <c r="F14" s="73"/>
      <c r="G14" s="68"/>
      <c r="H14" s="27"/>
      <c r="L14" s="19"/>
      <c r="M14" s="119"/>
    </row>
    <row r="15" spans="1:14" ht="24.75" hidden="1" customHeight="1" x14ac:dyDescent="0.3">
      <c r="A15" s="114" t="s">
        <v>1076</v>
      </c>
      <c r="B15" s="74"/>
      <c r="C15" s="75"/>
      <c r="D15" s="75"/>
      <c r="E15" s="75"/>
      <c r="F15" s="72"/>
      <c r="G15" s="62"/>
      <c r="H15" s="27"/>
      <c r="I15" s="125"/>
      <c r="J15" s="135"/>
      <c r="L15" s="19"/>
      <c r="M15" s="119"/>
    </row>
    <row r="16" spans="1:14" ht="24.75" hidden="1" customHeight="1" thickBot="1" x14ac:dyDescent="0.35">
      <c r="A16" s="114" t="s">
        <v>1054</v>
      </c>
      <c r="B16" s="115">
        <f>SUM(B9:B13)</f>
        <v>0</v>
      </c>
      <c r="C16" s="115">
        <f>SUM(C9:C13)</f>
        <v>0</v>
      </c>
      <c r="D16" s="115">
        <f t="shared" ref="D16:E16" si="2">SUM(D9:D13)</f>
        <v>0</v>
      </c>
      <c r="E16" s="115">
        <f t="shared" si="2"/>
        <v>0</v>
      </c>
      <c r="F16" s="118" t="s">
        <v>1056</v>
      </c>
      <c r="G16" s="62"/>
      <c r="H16" s="27"/>
      <c r="L16" s="19"/>
      <c r="M16" s="119"/>
    </row>
    <row r="17" spans="1:13" ht="21.75" hidden="1" customHeight="1" thickTop="1" x14ac:dyDescent="0.3">
      <c r="A17" s="63"/>
      <c r="B17" s="61"/>
      <c r="C17" s="61"/>
      <c r="D17" s="61"/>
      <c r="E17" s="61"/>
      <c r="F17" s="61"/>
      <c r="G17" s="62"/>
      <c r="H17" s="27"/>
      <c r="L17" s="19"/>
      <c r="M17" s="136"/>
    </row>
    <row r="18" spans="1:13" ht="61.5" hidden="1" customHeight="1" x14ac:dyDescent="0.3">
      <c r="A18" s="595" t="s">
        <v>715</v>
      </c>
      <c r="B18" s="595"/>
      <c r="C18" s="595"/>
      <c r="D18" s="595"/>
      <c r="E18" s="595"/>
      <c r="F18" s="61"/>
      <c r="G18" s="62"/>
      <c r="H18" s="27"/>
    </row>
    <row r="19" spans="1:13" ht="25.8" hidden="1" x14ac:dyDescent="0.3">
      <c r="A19" s="596" t="s">
        <v>716</v>
      </c>
      <c r="B19" s="596"/>
      <c r="C19" s="596"/>
      <c r="D19" s="596"/>
      <c r="E19" s="596"/>
      <c r="F19" s="61"/>
      <c r="G19" s="62"/>
      <c r="H19" s="27"/>
    </row>
    <row r="20" spans="1:13" ht="18" hidden="1" customHeight="1" x14ac:dyDescent="0.3">
      <c r="A20" s="606" t="s">
        <v>1141</v>
      </c>
      <c r="B20" s="606"/>
      <c r="C20" s="607"/>
      <c r="D20" s="79">
        <f>+I25</f>
        <v>0</v>
      </c>
      <c r="E20" s="61"/>
      <c r="F20" s="61"/>
      <c r="G20" s="62"/>
      <c r="H20" s="27"/>
    </row>
    <row r="21" spans="1:13" ht="60" hidden="1" customHeight="1" x14ac:dyDescent="0.3">
      <c r="A21" s="597" t="s">
        <v>717</v>
      </c>
      <c r="B21" s="597"/>
      <c r="C21" s="597"/>
      <c r="D21" s="597"/>
      <c r="E21" s="597"/>
      <c r="F21" s="71"/>
      <c r="G21" s="62"/>
      <c r="H21" s="27"/>
    </row>
    <row r="22" spans="1:13" ht="12.75" hidden="1" customHeight="1" x14ac:dyDescent="0.3">
      <c r="A22" s="78"/>
      <c r="B22" s="78"/>
      <c r="C22" s="78"/>
      <c r="D22" s="78"/>
      <c r="E22" s="78"/>
      <c r="F22" s="152" t="s">
        <v>718</v>
      </c>
      <c r="G22" s="62"/>
      <c r="H22" s="27"/>
    </row>
    <row r="23" spans="1:13" ht="23.25" hidden="1" customHeight="1" x14ac:dyDescent="0.3">
      <c r="A23" s="113">
        <v>44012</v>
      </c>
      <c r="B23" s="76" t="s">
        <v>633</v>
      </c>
      <c r="C23" s="76" t="s">
        <v>634</v>
      </c>
      <c r="D23" s="76" t="s">
        <v>635</v>
      </c>
      <c r="E23" s="76" t="s">
        <v>636</v>
      </c>
      <c r="F23" s="153" t="s">
        <v>710</v>
      </c>
      <c r="G23" s="62"/>
      <c r="H23" s="27"/>
      <c r="I23" s="19" t="s">
        <v>719</v>
      </c>
    </row>
    <row r="24" spans="1:13" ht="23.25" hidden="1" customHeight="1" x14ac:dyDescent="0.3">
      <c r="A24" s="77" t="s">
        <v>654</v>
      </c>
      <c r="B24" s="221">
        <f>+B64</f>
        <v>0</v>
      </c>
      <c r="C24" s="221">
        <f>+C64</f>
        <v>0</v>
      </c>
      <c r="D24" s="221">
        <f>+D64</f>
        <v>0</v>
      </c>
      <c r="E24" s="221">
        <f>+E64</f>
        <v>0</v>
      </c>
      <c r="F24" s="154">
        <f>+F64</f>
        <v>0</v>
      </c>
      <c r="G24" s="62"/>
      <c r="H24" s="27"/>
      <c r="I24" s="80">
        <f>SUM(B24:F24)</f>
        <v>0</v>
      </c>
    </row>
    <row r="25" spans="1:13" ht="35.25" hidden="1" customHeight="1" x14ac:dyDescent="0.3">
      <c r="A25" s="77" t="s">
        <v>656</v>
      </c>
      <c r="B25" s="221">
        <f>+B67</f>
        <v>0</v>
      </c>
      <c r="C25" s="221">
        <f>+C67</f>
        <v>0</v>
      </c>
      <c r="D25" s="221">
        <f>+D67</f>
        <v>0</v>
      </c>
      <c r="E25" s="221">
        <f>+E67</f>
        <v>0</v>
      </c>
      <c r="F25" s="154">
        <f>+F74</f>
        <v>0</v>
      </c>
      <c r="G25" s="62"/>
      <c r="H25" s="27"/>
      <c r="I25" s="80">
        <f>SUM(B25:F25)</f>
        <v>0</v>
      </c>
      <c r="J25" s="172" t="e">
        <f>+C41+C45+C49+C53+C57</f>
        <v>#REF!</v>
      </c>
    </row>
    <row r="26" spans="1:13" ht="12.75" hidden="1" customHeight="1" x14ac:dyDescent="0.3">
      <c r="A26" s="110"/>
      <c r="B26" s="111"/>
      <c r="C26" s="111"/>
      <c r="D26" s="111"/>
      <c r="E26" s="111"/>
      <c r="F26" s="111"/>
      <c r="G26" s="62"/>
      <c r="H26" s="27"/>
      <c r="I26" s="80"/>
      <c r="J26" s="212" t="e">
        <f>+J25-I25</f>
        <v>#REF!</v>
      </c>
    </row>
    <row r="27" spans="1:13" ht="39" hidden="1" customHeight="1" x14ac:dyDescent="0.3">
      <c r="A27" s="603" t="s">
        <v>1142</v>
      </c>
      <c r="B27" s="604"/>
      <c r="C27" s="604"/>
      <c r="D27" s="604"/>
      <c r="E27" s="604"/>
      <c r="F27" s="605"/>
      <c r="G27" s="62"/>
      <c r="H27" s="27"/>
      <c r="J27" s="100"/>
    </row>
    <row r="28" spans="1:13" ht="12.75" hidden="1" customHeight="1" x14ac:dyDescent="0.3">
      <c r="A28" s="112"/>
      <c r="B28" s="112"/>
      <c r="C28" s="112"/>
      <c r="D28" s="112"/>
      <c r="E28" s="112"/>
      <c r="F28" s="152" t="s">
        <v>718</v>
      </c>
      <c r="G28" s="62"/>
      <c r="H28" s="27"/>
    </row>
    <row r="29" spans="1:13" ht="23.4" hidden="1" x14ac:dyDescent="0.3">
      <c r="A29" s="84" t="s">
        <v>720</v>
      </c>
      <c r="B29" s="83" t="s">
        <v>633</v>
      </c>
      <c r="C29" s="83" t="s">
        <v>634</v>
      </c>
      <c r="D29" s="83" t="s">
        <v>635</v>
      </c>
      <c r="E29" s="83" t="s">
        <v>636</v>
      </c>
      <c r="F29" s="153" t="s">
        <v>710</v>
      </c>
      <c r="G29" s="62"/>
      <c r="H29" s="27"/>
    </row>
    <row r="30" spans="1:13" ht="38.25" hidden="1" customHeight="1" x14ac:dyDescent="0.3">
      <c r="A30" s="85" t="s">
        <v>696</v>
      </c>
      <c r="B30" s="222">
        <f>+B65</f>
        <v>0</v>
      </c>
      <c r="C30" s="222">
        <f>+C65</f>
        <v>0</v>
      </c>
      <c r="D30" s="222">
        <f>+D65</f>
        <v>0</v>
      </c>
      <c r="E30" s="222">
        <f>+E65</f>
        <v>0</v>
      </c>
      <c r="F30" s="223">
        <f>+F65</f>
        <v>0</v>
      </c>
      <c r="G30" s="62"/>
      <c r="H30" s="27"/>
    </row>
    <row r="31" spans="1:13" ht="27.6" hidden="1" x14ac:dyDescent="0.3">
      <c r="A31" s="85" t="s">
        <v>697</v>
      </c>
      <c r="B31" s="81">
        <f>+B72</f>
        <v>0</v>
      </c>
      <c r="C31" s="81">
        <f>+C72</f>
        <v>0</v>
      </c>
      <c r="D31" s="81">
        <f>+D72</f>
        <v>0</v>
      </c>
      <c r="E31" s="81">
        <f>+E72</f>
        <v>0</v>
      </c>
      <c r="F31" s="155">
        <f>+F72</f>
        <v>0</v>
      </c>
      <c r="G31" s="62"/>
      <c r="H31" s="27"/>
    </row>
    <row r="32" spans="1:13" ht="23.4" hidden="1" x14ac:dyDescent="0.3">
      <c r="A32" s="86" t="s">
        <v>698</v>
      </c>
      <c r="B32" s="81">
        <f>+B30-B31</f>
        <v>0</v>
      </c>
      <c r="C32" s="81">
        <f t="shared" ref="C32:F32" si="3">+C30-C31</f>
        <v>0</v>
      </c>
      <c r="D32" s="81">
        <f t="shared" si="3"/>
        <v>0</v>
      </c>
      <c r="E32" s="81">
        <f t="shared" si="3"/>
        <v>0</v>
      </c>
      <c r="F32" s="155">
        <f t="shared" si="3"/>
        <v>0</v>
      </c>
      <c r="G32" s="62"/>
      <c r="H32" s="27"/>
    </row>
    <row r="33" spans="1:8" ht="72.75" hidden="1" customHeight="1" thickBot="1" x14ac:dyDescent="0.35">
      <c r="A33" s="63"/>
      <c r="B33" s="61"/>
      <c r="C33" s="61"/>
      <c r="D33" s="61"/>
      <c r="E33" s="61"/>
      <c r="F33" s="61"/>
      <c r="G33" s="62"/>
      <c r="H33" s="27"/>
    </row>
    <row r="34" spans="1:8" ht="26.25" hidden="1" customHeight="1" x14ac:dyDescent="0.3">
      <c r="A34" s="600" t="s">
        <v>722</v>
      </c>
      <c r="B34" s="601"/>
      <c r="C34" s="601"/>
      <c r="D34" s="601"/>
      <c r="E34" s="601"/>
      <c r="F34" s="602"/>
      <c r="G34" s="62"/>
      <c r="H34" s="27"/>
    </row>
    <row r="35" spans="1:8" ht="25.8" hidden="1" x14ac:dyDescent="0.3">
      <c r="A35" s="203" t="s">
        <v>1143</v>
      </c>
      <c r="B35" s="199"/>
      <c r="C35" s="200"/>
      <c r="D35" s="200"/>
      <c r="E35" s="200"/>
      <c r="F35" s="204"/>
      <c r="G35" s="62"/>
      <c r="H35" s="27"/>
    </row>
    <row r="36" spans="1:8" ht="26.25" hidden="1" customHeight="1" x14ac:dyDescent="0.3">
      <c r="A36" s="598" t="s">
        <v>699</v>
      </c>
      <c r="B36" s="599"/>
      <c r="C36" s="599"/>
      <c r="D36" s="599"/>
      <c r="E36" s="200"/>
      <c r="F36" s="204"/>
      <c r="G36" s="62"/>
      <c r="H36" s="27"/>
    </row>
    <row r="37" spans="1:8" ht="26.25" hidden="1" customHeight="1" thickBot="1" x14ac:dyDescent="0.35">
      <c r="A37" s="205" t="s">
        <v>700</v>
      </c>
      <c r="B37" s="206"/>
      <c r="C37" s="207"/>
      <c r="D37" s="208"/>
      <c r="E37" s="207"/>
      <c r="F37" s="209"/>
      <c r="G37" s="62"/>
      <c r="H37" s="27"/>
    </row>
    <row r="38" spans="1:8" ht="45.6" hidden="1" x14ac:dyDescent="0.3">
      <c r="A38" s="93"/>
      <c r="B38" s="201" t="s">
        <v>1107</v>
      </c>
      <c r="C38" s="202" t="s">
        <v>1108</v>
      </c>
      <c r="D38" s="202" t="s">
        <v>1109</v>
      </c>
      <c r="E38" s="87"/>
      <c r="F38" s="61"/>
      <c r="G38" s="62"/>
      <c r="H38" s="27"/>
    </row>
    <row r="39" spans="1:8" ht="25.8" hidden="1" x14ac:dyDescent="0.3">
      <c r="A39" s="86" t="s">
        <v>663</v>
      </c>
      <c r="B39" s="196">
        <v>0</v>
      </c>
      <c r="C39" s="238" t="e">
        <f>+'Collective NPL'!#REF!</f>
        <v>#REF!</v>
      </c>
      <c r="D39" s="88">
        <v>0</v>
      </c>
      <c r="E39" s="61"/>
      <c r="F39" s="61"/>
      <c r="G39" s="62"/>
      <c r="H39" s="27"/>
    </row>
    <row r="40" spans="1:8" ht="25.8" hidden="1" x14ac:dyDescent="0.3">
      <c r="A40" s="86" t="s">
        <v>701</v>
      </c>
      <c r="B40" s="256">
        <f>+B65</f>
        <v>0</v>
      </c>
      <c r="C40" s="90">
        <f>+B40</f>
        <v>0</v>
      </c>
      <c r="D40" s="90">
        <f>+B40</f>
        <v>0</v>
      </c>
      <c r="E40" s="61"/>
      <c r="F40" s="61"/>
      <c r="G40" s="62"/>
      <c r="H40" s="27"/>
    </row>
    <row r="41" spans="1:8" ht="25.8" hidden="1" x14ac:dyDescent="0.3">
      <c r="A41" s="86" t="s">
        <v>702</v>
      </c>
      <c r="B41" s="92">
        <f>+B39*B40</f>
        <v>0</v>
      </c>
      <c r="C41" s="91" t="e">
        <f t="shared" ref="C41:D41" si="4">+C39*C40</f>
        <v>#REF!</v>
      </c>
      <c r="D41" s="92">
        <f t="shared" si="4"/>
        <v>0</v>
      </c>
      <c r="E41" s="61"/>
      <c r="F41" s="61"/>
      <c r="G41" s="62"/>
      <c r="H41" s="27"/>
    </row>
    <row r="42" spans="1:8" ht="6.75" hidden="1" customHeight="1" x14ac:dyDescent="0.3">
      <c r="A42" s="89"/>
      <c r="B42" s="59"/>
      <c r="C42" s="59"/>
      <c r="D42" s="59"/>
      <c r="E42" s="61"/>
      <c r="F42" s="61"/>
      <c r="G42" s="62"/>
      <c r="H42" s="27"/>
    </row>
    <row r="43" spans="1:8" ht="25.8" hidden="1" x14ac:dyDescent="0.3">
      <c r="A43" s="86" t="s">
        <v>664</v>
      </c>
      <c r="B43" s="88">
        <v>0</v>
      </c>
      <c r="C43" s="238">
        <f>+'Collective NPL'!R4</f>
        <v>0</v>
      </c>
      <c r="D43" s="197">
        <v>0</v>
      </c>
      <c r="E43" s="61"/>
      <c r="F43" s="61"/>
      <c r="G43" s="62"/>
      <c r="H43" s="27"/>
    </row>
    <row r="44" spans="1:8" ht="25.8" hidden="1" x14ac:dyDescent="0.3">
      <c r="A44" s="86" t="s">
        <v>701</v>
      </c>
      <c r="B44" s="256">
        <f>+C65</f>
        <v>0</v>
      </c>
      <c r="C44" s="90">
        <f>+B44</f>
        <v>0</v>
      </c>
      <c r="D44" s="90">
        <f>+B44</f>
        <v>0</v>
      </c>
      <c r="E44" s="61"/>
      <c r="F44" s="61"/>
      <c r="G44" s="62"/>
      <c r="H44" s="27"/>
    </row>
    <row r="45" spans="1:8" ht="25.8" hidden="1" x14ac:dyDescent="0.3">
      <c r="A45" s="86" t="s">
        <v>703</v>
      </c>
      <c r="B45" s="92">
        <f>+B43*B44</f>
        <v>0</v>
      </c>
      <c r="C45" s="92">
        <f t="shared" ref="C45" si="5">+C43*C44</f>
        <v>0</v>
      </c>
      <c r="D45" s="92">
        <f t="shared" ref="D45" si="6">+D43*D44</f>
        <v>0</v>
      </c>
      <c r="E45" s="61"/>
      <c r="F45" s="61"/>
      <c r="G45" s="62"/>
      <c r="H45" s="27"/>
    </row>
    <row r="46" spans="1:8" ht="7.5" hidden="1" customHeight="1" x14ac:dyDescent="0.3">
      <c r="A46" s="89"/>
      <c r="B46" s="59"/>
      <c r="C46" s="59"/>
      <c r="D46" s="59"/>
      <c r="E46" s="61"/>
      <c r="F46" s="61"/>
      <c r="G46" s="62"/>
      <c r="H46" s="27"/>
    </row>
    <row r="47" spans="1:8" ht="25.8" hidden="1" x14ac:dyDescent="0.3">
      <c r="A47" s="86" t="s">
        <v>704</v>
      </c>
      <c r="B47" s="88">
        <v>0</v>
      </c>
      <c r="C47" s="238">
        <f>+'Collective NPL'!AC4</f>
        <v>0</v>
      </c>
      <c r="D47" s="88">
        <v>0</v>
      </c>
      <c r="E47" s="61"/>
      <c r="F47" s="61"/>
      <c r="G47" s="62"/>
      <c r="H47" s="27"/>
    </row>
    <row r="48" spans="1:8" ht="25.8" hidden="1" x14ac:dyDescent="0.3">
      <c r="A48" s="86" t="s">
        <v>701</v>
      </c>
      <c r="B48" s="256">
        <f>+D65</f>
        <v>0</v>
      </c>
      <c r="C48" s="90">
        <f>+B48</f>
        <v>0</v>
      </c>
      <c r="D48" s="90">
        <f>+B48</f>
        <v>0</v>
      </c>
      <c r="E48" s="61"/>
      <c r="F48" s="61"/>
      <c r="G48" s="62"/>
      <c r="H48" s="27"/>
    </row>
    <row r="49" spans="1:17" ht="25.8" hidden="1" x14ac:dyDescent="0.3">
      <c r="A49" s="86" t="s">
        <v>705</v>
      </c>
      <c r="B49" s="92">
        <f>+B47*B48</f>
        <v>0</v>
      </c>
      <c r="C49" s="91">
        <f t="shared" ref="C49:D49" si="7">+C47*C48</f>
        <v>0</v>
      </c>
      <c r="D49" s="92">
        <f t="shared" si="7"/>
        <v>0</v>
      </c>
      <c r="E49" s="61"/>
      <c r="F49" s="61"/>
      <c r="G49" s="62"/>
      <c r="H49" s="27"/>
    </row>
    <row r="50" spans="1:17" ht="6.75" hidden="1" customHeight="1" x14ac:dyDescent="0.3">
      <c r="A50" s="89"/>
      <c r="B50" s="59"/>
      <c r="C50" s="59"/>
      <c r="D50" s="59"/>
      <c r="E50" s="61"/>
      <c r="F50" s="61"/>
      <c r="G50" s="62"/>
      <c r="H50" s="27"/>
    </row>
    <row r="51" spans="1:17" ht="25.8" hidden="1" x14ac:dyDescent="0.3">
      <c r="A51" s="86" t="s">
        <v>706</v>
      </c>
      <c r="B51" s="88">
        <v>0</v>
      </c>
      <c r="C51" s="238">
        <f>+'Collective NPL'!AN4</f>
        <v>0</v>
      </c>
      <c r="D51" s="197">
        <v>0</v>
      </c>
      <c r="E51" s="61"/>
      <c r="F51" s="61"/>
      <c r="G51" s="62"/>
      <c r="H51" s="27"/>
    </row>
    <row r="52" spans="1:17" ht="25.8" hidden="1" x14ac:dyDescent="0.3">
      <c r="A52" s="86" t="s">
        <v>701</v>
      </c>
      <c r="B52" s="256">
        <f>+E65</f>
        <v>0</v>
      </c>
      <c r="C52" s="90">
        <f>+B52</f>
        <v>0</v>
      </c>
      <c r="D52" s="90">
        <f>+B52</f>
        <v>0</v>
      </c>
      <c r="E52" s="61"/>
      <c r="F52" s="61"/>
      <c r="G52" s="62"/>
      <c r="H52" s="27"/>
    </row>
    <row r="53" spans="1:17" ht="25.8" hidden="1" x14ac:dyDescent="0.3">
      <c r="A53" s="86" t="s">
        <v>707</v>
      </c>
      <c r="B53" s="92">
        <f>+B51*B52</f>
        <v>0</v>
      </c>
      <c r="C53" s="91">
        <f t="shared" ref="C53" si="8">+C51*C52</f>
        <v>0</v>
      </c>
      <c r="D53" s="92">
        <f t="shared" ref="D53" si="9">+D51*D52</f>
        <v>0</v>
      </c>
      <c r="E53" s="61"/>
      <c r="F53" s="61"/>
      <c r="G53" s="62"/>
      <c r="H53" s="27"/>
    </row>
    <row r="54" spans="1:17" ht="25.8" hidden="1" x14ac:dyDescent="0.3">
      <c r="B54" s="61"/>
      <c r="C54" s="61"/>
      <c r="D54" s="61"/>
      <c r="E54" s="61"/>
      <c r="F54" s="61"/>
      <c r="G54" s="62"/>
      <c r="H54" s="27"/>
    </row>
    <row r="55" spans="1:17" ht="25.8" hidden="1" x14ac:dyDescent="0.3">
      <c r="A55" s="213" t="s">
        <v>710</v>
      </c>
      <c r="B55" s="88">
        <v>0</v>
      </c>
      <c r="C55" s="239">
        <f>+'Collective NPL'!AY4</f>
        <v>0</v>
      </c>
      <c r="D55" s="197">
        <v>0</v>
      </c>
      <c r="E55" s="61"/>
      <c r="F55" s="96" t="s">
        <v>711</v>
      </c>
      <c r="G55" s="62"/>
      <c r="H55" s="27"/>
    </row>
    <row r="56" spans="1:17" ht="25.8" hidden="1" x14ac:dyDescent="0.3">
      <c r="A56" s="156" t="s">
        <v>701</v>
      </c>
      <c r="B56" s="256">
        <f>+F65</f>
        <v>0</v>
      </c>
      <c r="C56" s="157">
        <f>+B56</f>
        <v>0</v>
      </c>
      <c r="D56" s="90">
        <f>+B56</f>
        <v>0</v>
      </c>
      <c r="E56" s="61"/>
      <c r="F56" s="61"/>
      <c r="G56" s="62"/>
      <c r="H56" s="27"/>
    </row>
    <row r="57" spans="1:17" ht="25.8" hidden="1" x14ac:dyDescent="0.3">
      <c r="A57" s="156" t="s">
        <v>723</v>
      </c>
      <c r="B57" s="92">
        <f>+B55*B56</f>
        <v>0</v>
      </c>
      <c r="C57" s="158">
        <f t="shared" ref="C57" si="10">+C55*C56</f>
        <v>0</v>
      </c>
      <c r="D57" s="92">
        <f t="shared" ref="D57" si="11">+D55*D56</f>
        <v>0</v>
      </c>
      <c r="E57" s="61"/>
      <c r="F57" s="61"/>
      <c r="G57" s="62"/>
      <c r="H57" s="27"/>
    </row>
    <row r="58" spans="1:17" ht="25.8" hidden="1" x14ac:dyDescent="0.3">
      <c r="B58" s="61"/>
      <c r="C58" s="61"/>
      <c r="D58" s="61"/>
      <c r="E58" s="61"/>
      <c r="F58" s="61"/>
      <c r="G58" s="62"/>
      <c r="H58" s="27"/>
    </row>
    <row r="59" spans="1:17" ht="25.8" hidden="1" x14ac:dyDescent="0.3">
      <c r="A59" s="210" t="s">
        <v>1113</v>
      </c>
      <c r="B59" s="61"/>
      <c r="C59" s="61"/>
      <c r="D59" s="61"/>
      <c r="E59" s="61"/>
      <c r="F59" s="61"/>
      <c r="G59" s="62"/>
      <c r="H59" s="27"/>
    </row>
    <row r="60" spans="1:17" ht="23.4" hidden="1" x14ac:dyDescent="0.3">
      <c r="A60" s="60" t="s">
        <v>652</v>
      </c>
      <c r="H60" s="27"/>
    </row>
    <row r="61" spans="1:17" ht="23.4" hidden="1" x14ac:dyDescent="0.3">
      <c r="A61" s="20"/>
      <c r="B61" s="109" t="s">
        <v>673</v>
      </c>
      <c r="C61" s="109" t="s">
        <v>674</v>
      </c>
      <c r="D61" s="109" t="s">
        <v>675</v>
      </c>
      <c r="E61" s="109" t="s">
        <v>676</v>
      </c>
      <c r="F61" s="94" t="s">
        <v>711</v>
      </c>
      <c r="G61" s="20"/>
      <c r="H61" s="27"/>
    </row>
    <row r="62" spans="1:17" ht="23.4" hidden="1" x14ac:dyDescent="0.3">
      <c r="A62" s="32">
        <v>44012</v>
      </c>
      <c r="B62" s="21" t="s">
        <v>633</v>
      </c>
      <c r="C62" s="21" t="s">
        <v>634</v>
      </c>
      <c r="D62" s="21" t="s">
        <v>635</v>
      </c>
      <c r="E62" s="21" t="s">
        <v>636</v>
      </c>
      <c r="F62" s="95" t="s">
        <v>710</v>
      </c>
      <c r="G62" s="21" t="s">
        <v>657</v>
      </c>
      <c r="H62" s="27"/>
    </row>
    <row r="63" spans="1:17" ht="23.4" hidden="1" x14ac:dyDescent="0.3">
      <c r="A63" s="233" t="s">
        <v>653</v>
      </c>
      <c r="B63" s="224">
        <f>+'Total Contributions'!C10</f>
        <v>744886709.85000026</v>
      </c>
      <c r="C63" s="224">
        <f>+'Total Contributions'!D10</f>
        <v>210550788.66000003</v>
      </c>
      <c r="D63" s="224">
        <f>+'Total Contributions'!E10</f>
        <v>549618500.85999978</v>
      </c>
      <c r="E63" s="224">
        <f>+'Total Contributions'!F10</f>
        <v>605164734.13</v>
      </c>
      <c r="F63" s="224">
        <f>+'Total Contributions'!G10</f>
        <v>947272482.17999983</v>
      </c>
      <c r="G63" s="225"/>
      <c r="H63" s="27"/>
      <c r="J63" s="232" t="s">
        <v>1133</v>
      </c>
    </row>
    <row r="64" spans="1:17" ht="23.4" hidden="1" x14ac:dyDescent="0.3">
      <c r="A64" s="24" t="s">
        <v>654</v>
      </c>
      <c r="B64" s="262">
        <f>IFERROR(VLOOKUP('2025Comp&amp;Contr'!$A$4,#REF!,4,FALSE)+VLOOKUP('2025Comp&amp;Contr'!$A$4,#REF!,6,FALSE),0)</f>
        <v>0</v>
      </c>
      <c r="C64" s="262">
        <f>IFERROR(VLOOKUP('2025Comp&amp;Contr'!$A$4,#REF!,8,FALSE),0)</f>
        <v>0</v>
      </c>
      <c r="D64" s="262">
        <f>IFERROR(VLOOKUP('2025Comp&amp;Contr'!$A$4,#REF!,10,FALSE)+VLOOKUP('2025Comp&amp;Contr'!$A$4,#REF!,12,FALSE),0)</f>
        <v>0</v>
      </c>
      <c r="E64" s="262">
        <f>IFERROR(VLOOKUP('2025Comp&amp;Contr'!$A$4,#REF!,14,FALSE),0)</f>
        <v>0</v>
      </c>
      <c r="F64" s="262">
        <f>IFERROR(VLOOKUP('2025Comp&amp;Contr'!$A$4,#REF!,18,FALSE),0)</f>
        <v>0</v>
      </c>
      <c r="G64" s="226">
        <f>SUM(B64:F64)</f>
        <v>0</v>
      </c>
      <c r="H64" s="27"/>
      <c r="J64" s="123" t="s">
        <v>1144</v>
      </c>
      <c r="M64" s="265" t="s">
        <v>1153</v>
      </c>
      <c r="N64" s="265">
        <v>8</v>
      </c>
      <c r="O64" s="265" t="s">
        <v>1154</v>
      </c>
      <c r="P64" s="265">
        <v>14</v>
      </c>
      <c r="Q64" s="265">
        <v>18</v>
      </c>
    </row>
    <row r="65" spans="1:17" ht="23.4" hidden="1" x14ac:dyDescent="0.3">
      <c r="A65" s="24" t="s">
        <v>655</v>
      </c>
      <c r="B65" s="261">
        <f>IFERROR(VLOOKUP('2025Comp&amp;Contr'!$A$4,#REF!,5,FALSE)+VLOOKUP('2025Comp&amp;Contr'!$A$4,#REF!,7,FALSE),0)</f>
        <v>0</v>
      </c>
      <c r="C65" s="261">
        <f>IFERROR(VLOOKUP('2025Comp&amp;Contr'!$A$4,#REF!,9,FALSE),0)</f>
        <v>0</v>
      </c>
      <c r="D65" s="261">
        <f>IFERROR(VLOOKUP('2025Comp&amp;Contr'!$A$4,#REF!,11,FALSE)+VLOOKUP('2025Comp&amp;Contr'!$A$4,#REF!,13,FALSE),0)</f>
        <v>0</v>
      </c>
      <c r="E65" s="261">
        <f>IFERROR(VLOOKUP('2025Comp&amp;Contr'!$A$4,#REF!,15,FALSE),0)</f>
        <v>0</v>
      </c>
      <c r="F65" s="261">
        <f>IFERROR(VLOOKUP('2025Comp&amp;Contr'!$A$4,#REF!,19,FALSE),0)</f>
        <v>0</v>
      </c>
      <c r="G65" s="225"/>
      <c r="H65" s="27"/>
      <c r="M65" s="266" t="s">
        <v>1151</v>
      </c>
      <c r="N65" s="266">
        <v>9</v>
      </c>
      <c r="O65" s="266" t="s">
        <v>1152</v>
      </c>
      <c r="P65" s="266">
        <v>15</v>
      </c>
      <c r="Q65" s="266">
        <v>19</v>
      </c>
    </row>
    <row r="66" spans="1:17" ht="23.4" hidden="1" x14ac:dyDescent="0.3">
      <c r="A66" s="211" t="s">
        <v>662</v>
      </c>
      <c r="B66" s="263">
        <f>IFERROR(VLOOKUP('2025Comp&amp;Contr'!$A$4,#REF!,4,FALSE),0)</f>
        <v>0</v>
      </c>
      <c r="C66" s="263">
        <f>IFERROR(VLOOKUP('2025Comp&amp;Contr'!$A$4,#REF!,5,FALSE),0)</f>
        <v>0</v>
      </c>
      <c r="D66" s="263">
        <f>IFERROR(VLOOKUP('2025Comp&amp;Contr'!$A$4,#REF!,6,FALSE),0)</f>
        <v>0</v>
      </c>
      <c r="E66" s="263">
        <f>IFERROR(VLOOKUP('2025Comp&amp;Contr'!$A$4,#REF!,7,FALSE),0)</f>
        <v>0</v>
      </c>
      <c r="F66" s="263">
        <f>IFERROR(VLOOKUP('2025Comp&amp;Contr'!$A$4,#REF!,9,FALSE),0)</f>
        <v>0</v>
      </c>
      <c r="G66" s="226">
        <f>SUM(B66:F66)</f>
        <v>0</v>
      </c>
      <c r="H66" s="27"/>
      <c r="M66" s="167">
        <v>4</v>
      </c>
      <c r="N66" s="167">
        <v>5</v>
      </c>
      <c r="O66" s="167">
        <v>6</v>
      </c>
      <c r="P66" s="167">
        <v>7</v>
      </c>
      <c r="Q66" s="167">
        <v>9</v>
      </c>
    </row>
    <row r="67" spans="1:17" ht="28.8" hidden="1" x14ac:dyDescent="0.3">
      <c r="A67" s="24" t="s">
        <v>656</v>
      </c>
      <c r="B67" s="264">
        <f>IFERROR(VLOOKUP('2025Comp&amp;Contr'!$A$4,'Collective NPL'!$A$7:$BB$335,11,FALSE),0)</f>
        <v>0</v>
      </c>
      <c r="C67" s="264">
        <f>IFERROR(VLOOKUP('2025Comp&amp;Contr'!$A$4,'Collective NPL'!$A$7:$BB$335,22,FALSE),0)</f>
        <v>0</v>
      </c>
      <c r="D67" s="264">
        <f>IFERROR(VLOOKUP('2025Comp&amp;Contr'!$A$4,'Collective NPL'!$A$7:$BB$335,33,FALSE),0)</f>
        <v>0</v>
      </c>
      <c r="E67" s="264">
        <f>IFERROR(VLOOKUP('2025Comp&amp;Contr'!$A$4,'Collective NPL'!$A$7:$BB$335,44,FALSE),0)</f>
        <v>0</v>
      </c>
      <c r="F67" s="264">
        <f>IFERROR(VLOOKUP('2025Comp&amp;Contr'!$A$4,'Collective NPL'!$A$7:$BB$335,55,FALSE),0)</f>
        <v>0</v>
      </c>
      <c r="G67" s="226">
        <f>SUM(B67:F67)</f>
        <v>0</v>
      </c>
      <c r="H67" s="27"/>
      <c r="M67" s="267">
        <v>11</v>
      </c>
      <c r="N67" s="267">
        <v>22</v>
      </c>
      <c r="O67" s="267">
        <v>33</v>
      </c>
      <c r="P67" s="267">
        <v>44</v>
      </c>
      <c r="Q67" s="267">
        <v>55</v>
      </c>
    </row>
    <row r="68" spans="1:17" ht="12.75" hidden="1" customHeight="1" x14ac:dyDescent="0.3">
      <c r="A68" s="229"/>
      <c r="B68" s="230" t="s">
        <v>673</v>
      </c>
      <c r="C68" s="230" t="s">
        <v>674</v>
      </c>
      <c r="D68" s="230" t="s">
        <v>675</v>
      </c>
      <c r="E68" s="230" t="s">
        <v>676</v>
      </c>
      <c r="F68" s="231" t="s">
        <v>711</v>
      </c>
      <c r="G68" s="229"/>
      <c r="H68" s="27"/>
    </row>
    <row r="69" spans="1:17" ht="23.4" hidden="1" x14ac:dyDescent="0.3">
      <c r="A69" s="32">
        <v>43646</v>
      </c>
      <c r="B69" s="21" t="s">
        <v>633</v>
      </c>
      <c r="C69" s="21" t="s">
        <v>634</v>
      </c>
      <c r="D69" s="21" t="s">
        <v>635</v>
      </c>
      <c r="E69" s="21" t="s">
        <v>636</v>
      </c>
      <c r="F69" s="95" t="s">
        <v>710</v>
      </c>
      <c r="G69" s="21" t="s">
        <v>657</v>
      </c>
      <c r="H69" s="27"/>
    </row>
    <row r="70" spans="1:17" ht="23.4" hidden="1" x14ac:dyDescent="0.3">
      <c r="A70" s="23" t="s">
        <v>653</v>
      </c>
      <c r="B70" s="224">
        <f>+'Total Contributions'!C11</f>
        <v>724745816.4600004</v>
      </c>
      <c r="C70" s="224">
        <f>+'Total Contributions'!D11</f>
        <v>216243952.43999985</v>
      </c>
      <c r="D70" s="224">
        <f>+'Total Contributions'!E11</f>
        <v>525151943.59999961</v>
      </c>
      <c r="E70" s="224">
        <f>+'Total Contributions'!F11</f>
        <v>581839976.43000019</v>
      </c>
      <c r="F70" s="224">
        <f>+'Total Contributions'!G11</f>
        <v>921231342.09000003</v>
      </c>
      <c r="G70" s="225"/>
      <c r="H70" s="27"/>
    </row>
    <row r="71" spans="1:17" ht="23.4" hidden="1" x14ac:dyDescent="0.3">
      <c r="A71" s="24" t="s">
        <v>654</v>
      </c>
      <c r="B71" s="262">
        <f>IFERROR(VLOOKUP('2025Comp&amp;Contr'!$A$4,#REF!,4,FALSE)+VLOOKUP('2025Comp&amp;Contr'!$A$4,#REF!,6,FALSE),0)</f>
        <v>0</v>
      </c>
      <c r="C71" s="262">
        <f>IFERROR(VLOOKUP('2025Comp&amp;Contr'!$A$4,#REF!,8,FALSE),0)</f>
        <v>0</v>
      </c>
      <c r="D71" s="262">
        <f>IFERROR(VLOOKUP('2025Comp&amp;Contr'!$A$4,#REF!,10,FALSE)+VLOOKUP('2025Comp&amp;Contr'!$A$4,#REF!,12,FALSE),0)</f>
        <v>0</v>
      </c>
      <c r="E71" s="262">
        <f>IFERROR(VLOOKUP('2025Comp&amp;Contr'!$A$4,#REF!,14,FALSE),0)</f>
        <v>0</v>
      </c>
      <c r="F71" s="262">
        <f>IFERROR(VLOOKUP('2025Comp&amp;Contr'!$A$4,#REF!,18,FALSE),0)</f>
        <v>0</v>
      </c>
      <c r="G71" s="226">
        <f>SUM(B71:F71)</f>
        <v>0</v>
      </c>
      <c r="H71" s="27"/>
      <c r="M71" s="265" t="s">
        <v>1153</v>
      </c>
      <c r="N71" s="265">
        <v>8</v>
      </c>
      <c r="O71" s="265" t="s">
        <v>1154</v>
      </c>
      <c r="P71" s="265">
        <v>14</v>
      </c>
      <c r="Q71" s="265">
        <v>18</v>
      </c>
    </row>
    <row r="72" spans="1:17" ht="23.4" hidden="1" x14ac:dyDescent="0.3">
      <c r="A72" s="24" t="s">
        <v>655</v>
      </c>
      <c r="B72" s="261">
        <f>IFERROR(VLOOKUP('2025Comp&amp;Contr'!$A$4,#REF!,5,FALSE)+VLOOKUP('2025Comp&amp;Contr'!$A$4,#REF!,7,FALSE),0)</f>
        <v>0</v>
      </c>
      <c r="C72" s="261">
        <f>IFERROR(VLOOKUP('2025Comp&amp;Contr'!$A$4,#REF!,9,FALSE),0)</f>
        <v>0</v>
      </c>
      <c r="D72" s="261">
        <f>IFERROR(VLOOKUP('2025Comp&amp;Contr'!$A$4,#REF!,11,FALSE)+VLOOKUP('2025Comp&amp;Contr'!$A$4,#REF!,13,FALSE),0)</f>
        <v>0</v>
      </c>
      <c r="E72" s="261">
        <f>IFERROR(VLOOKUP('2025Comp&amp;Contr'!$A$4,#REF!,15,FALSE),0)</f>
        <v>0</v>
      </c>
      <c r="F72" s="261">
        <f>IFERROR(VLOOKUP('2025Comp&amp;Contr'!$A$4,#REF!,19,FALSE),0)</f>
        <v>0</v>
      </c>
      <c r="G72" s="225"/>
      <c r="H72" s="27"/>
      <c r="M72" s="266" t="s">
        <v>1151</v>
      </c>
      <c r="N72" s="266">
        <v>9</v>
      </c>
      <c r="O72" s="266" t="s">
        <v>1152</v>
      </c>
      <c r="P72" s="266">
        <v>15</v>
      </c>
      <c r="Q72" s="266">
        <v>19</v>
      </c>
    </row>
    <row r="73" spans="1:17" ht="23.4" hidden="1" x14ac:dyDescent="0.3">
      <c r="A73" s="211" t="s">
        <v>662</v>
      </c>
      <c r="B73" s="263">
        <f>IFERROR(VLOOKUP('2025Comp&amp;Contr'!$A$4,#REF!,4,FALSE),0)</f>
        <v>0</v>
      </c>
      <c r="C73" s="263">
        <f>IFERROR(VLOOKUP('2025Comp&amp;Contr'!$A$4,#REF!,5,FALSE),0)</f>
        <v>0</v>
      </c>
      <c r="D73" s="263">
        <f>IFERROR(VLOOKUP('2025Comp&amp;Contr'!$A$4,#REF!,6,FALSE),0)</f>
        <v>0</v>
      </c>
      <c r="E73" s="263">
        <f>IFERROR(VLOOKUP('2025Comp&amp;Contr'!$A$4,#REF!,7,FALSE),0)</f>
        <v>0</v>
      </c>
      <c r="F73" s="263">
        <f>IFERROR(VLOOKUP('2025Comp&amp;Contr'!$A$4,#REF!,9,FALSE),0)</f>
        <v>0</v>
      </c>
      <c r="G73" s="226">
        <f>SUM(B73:F73)</f>
        <v>0</v>
      </c>
      <c r="H73" s="27"/>
      <c r="M73" s="167">
        <v>4</v>
      </c>
      <c r="N73" s="167">
        <v>5</v>
      </c>
      <c r="O73" s="167">
        <v>6</v>
      </c>
      <c r="P73" s="167">
        <v>7</v>
      </c>
      <c r="Q73" s="167">
        <v>9</v>
      </c>
    </row>
    <row r="74" spans="1:17" ht="28.8" hidden="1" x14ac:dyDescent="0.3">
      <c r="A74" s="24" t="s">
        <v>656</v>
      </c>
      <c r="B74" s="264">
        <f>IFERROR(VLOOKUP('2025Comp&amp;Contr'!$A$4,'Collective NPL'!$A$7:$BB$335,10,FALSE),0)</f>
        <v>0</v>
      </c>
      <c r="C74" s="264">
        <f>IFERROR(VLOOKUP('2025Comp&amp;Contr'!$A$4,'Collective NPL'!$A$7:$BB$335,21,FALSE),0)</f>
        <v>0</v>
      </c>
      <c r="D74" s="264">
        <f>IFERROR(VLOOKUP('2025Comp&amp;Contr'!$A$4,'Collective NPL'!$A$7:$BB$335,32,FALSE),0)</f>
        <v>0</v>
      </c>
      <c r="E74" s="264">
        <f>IFERROR(VLOOKUP('2025Comp&amp;Contr'!$A$4,'Collective NPL'!$A$7:$BB$335,43,FALSE),0)</f>
        <v>0</v>
      </c>
      <c r="F74" s="264">
        <f>IFERROR(VLOOKUP('2025Comp&amp;Contr'!$A$4,'Collective NPL'!$A$7:$BB$335,54,FALSE),0)</f>
        <v>0</v>
      </c>
      <c r="G74" s="226">
        <f>SUM(B74:F74)</f>
        <v>0</v>
      </c>
      <c r="H74" s="27"/>
      <c r="M74" s="267">
        <v>10</v>
      </c>
      <c r="N74" s="267">
        <v>21</v>
      </c>
      <c r="O74" s="267">
        <v>32</v>
      </c>
      <c r="P74" s="267">
        <v>43</v>
      </c>
      <c r="Q74" s="267">
        <v>54</v>
      </c>
    </row>
    <row r="75" spans="1:17" ht="13.5" hidden="1" customHeight="1" x14ac:dyDescent="0.3">
      <c r="A75" s="229"/>
      <c r="B75" s="230" t="s">
        <v>673</v>
      </c>
      <c r="C75" s="230" t="s">
        <v>674</v>
      </c>
      <c r="D75" s="230" t="s">
        <v>675</v>
      </c>
      <c r="E75" s="230" t="s">
        <v>676</v>
      </c>
      <c r="F75" s="231" t="s">
        <v>711</v>
      </c>
      <c r="G75" s="229"/>
      <c r="H75" s="27"/>
    </row>
    <row r="76" spans="1:17" ht="23.4" hidden="1" x14ac:dyDescent="0.3">
      <c r="A76" s="32">
        <v>43281</v>
      </c>
      <c r="B76" s="21" t="s">
        <v>633</v>
      </c>
      <c r="C76" s="21" t="s">
        <v>634</v>
      </c>
      <c r="D76" s="21" t="s">
        <v>635</v>
      </c>
      <c r="E76" s="21" t="s">
        <v>636</v>
      </c>
      <c r="F76" s="95" t="s">
        <v>710</v>
      </c>
      <c r="G76" s="21" t="s">
        <v>657</v>
      </c>
      <c r="H76" s="27"/>
    </row>
    <row r="77" spans="1:17" ht="23.4" hidden="1" x14ac:dyDescent="0.3">
      <c r="A77" s="23" t="s">
        <v>653</v>
      </c>
      <c r="B77" s="33">
        <f>+'Total Contributions'!C12</f>
        <v>717041102.62</v>
      </c>
      <c r="C77" s="33">
        <f>+'Total Contributions'!D12</f>
        <v>200166052.97999987</v>
      </c>
      <c r="D77" s="33">
        <f>+'Total Contributions'!E12</f>
        <v>496626267.82999998</v>
      </c>
      <c r="E77" s="33">
        <f>+'Total Contributions'!F12</f>
        <v>522685305.17000031</v>
      </c>
      <c r="F77" s="33">
        <f>+'Total Contributions'!G12</f>
        <v>816736467.21000004</v>
      </c>
      <c r="G77" s="22"/>
      <c r="H77" s="27"/>
    </row>
    <row r="78" spans="1:17" ht="23.4" hidden="1" x14ac:dyDescent="0.3">
      <c r="A78" s="24" t="s">
        <v>654</v>
      </c>
      <c r="B78" s="262">
        <f>IFERROR(VLOOKUP('2025Comp&amp;Contr'!$A$4,#REF!,4,FALSE)+VLOOKUP('2025Comp&amp;Contr'!$A$4,#REF!,6,FALSE),0)</f>
        <v>0</v>
      </c>
      <c r="C78" s="262">
        <f>IFERROR(VLOOKUP('2025Comp&amp;Contr'!$A$4,#REF!,8,FALSE),0)</f>
        <v>0</v>
      </c>
      <c r="D78" s="262">
        <f>IFERROR(VLOOKUP('2025Comp&amp;Contr'!$A$4,#REF!,10,FALSE)+VLOOKUP('2025Comp&amp;Contr'!$A$4,#REF!,12,FALSE),0)</f>
        <v>0</v>
      </c>
      <c r="E78" s="262">
        <f>IFERROR(VLOOKUP('2025Comp&amp;Contr'!$A$4,#REF!,14,FALSE),0)</f>
        <v>0</v>
      </c>
      <c r="F78" s="262">
        <f>IFERROR(VLOOKUP('2025Comp&amp;Contr'!$A$4,#REF!,18,FALSE),0)</f>
        <v>0</v>
      </c>
      <c r="G78" s="34">
        <f>SUM(B78:F78)</f>
        <v>0</v>
      </c>
      <c r="H78" s="27"/>
      <c r="M78" s="265" t="s">
        <v>1153</v>
      </c>
      <c r="N78" s="265">
        <v>8</v>
      </c>
      <c r="O78" s="265" t="s">
        <v>1154</v>
      </c>
      <c r="P78" s="265">
        <v>14</v>
      </c>
      <c r="Q78" s="265">
        <v>18</v>
      </c>
    </row>
    <row r="79" spans="1:17" ht="23.4" hidden="1" x14ac:dyDescent="0.3">
      <c r="A79" s="24" t="s">
        <v>655</v>
      </c>
      <c r="B79" s="261">
        <f>IFERROR(VLOOKUP('2025Comp&amp;Contr'!$A$4,#REF!,5,FALSE)+VLOOKUP('2025Comp&amp;Contr'!$A$4,#REF!,7,FALSE),0)</f>
        <v>0</v>
      </c>
      <c r="C79" s="261">
        <f>IFERROR(VLOOKUP('2025Comp&amp;Contr'!$A$4,#REF!,9,FALSE),0)</f>
        <v>0</v>
      </c>
      <c r="D79" s="261">
        <f>IFERROR(VLOOKUP('2025Comp&amp;Contr'!$A$4,#REF!,11,FALSE)+VLOOKUP('2025Comp&amp;Contr'!$A$4,#REF!,13,FALSE),0)</f>
        <v>0</v>
      </c>
      <c r="E79" s="261">
        <f>IFERROR(VLOOKUP('2025Comp&amp;Contr'!$A$4,#REF!,15,FALSE),0)</f>
        <v>0</v>
      </c>
      <c r="F79" s="261">
        <f>IFERROR(VLOOKUP('2025Comp&amp;Contr'!$A$4,#REF!,19,FALSE),0)</f>
        <v>0</v>
      </c>
      <c r="G79" s="35"/>
      <c r="H79" s="27"/>
      <c r="M79" s="266" t="s">
        <v>1151</v>
      </c>
      <c r="N79" s="266">
        <v>9</v>
      </c>
      <c r="O79" s="266" t="s">
        <v>1152</v>
      </c>
      <c r="P79" s="266">
        <v>15</v>
      </c>
      <c r="Q79" s="266">
        <v>19</v>
      </c>
    </row>
    <row r="80" spans="1:17" ht="23.4" hidden="1" x14ac:dyDescent="0.3">
      <c r="A80" s="24" t="s">
        <v>662</v>
      </c>
      <c r="B80" s="263">
        <f>IFERROR(VLOOKUP('2025Comp&amp;Contr'!$A$4,#REF!,4,FALSE),0)</f>
        <v>0</v>
      </c>
      <c r="C80" s="263">
        <f>IFERROR(VLOOKUP('2025Comp&amp;Contr'!$A$4,#REF!,5,FALSE),0)</f>
        <v>0</v>
      </c>
      <c r="D80" s="263">
        <f>IFERROR(VLOOKUP('2025Comp&amp;Contr'!$A$4,#REF!,6,FALSE),0)</f>
        <v>0</v>
      </c>
      <c r="E80" s="263">
        <f>IFERROR(VLOOKUP('2025Comp&amp;Contr'!$A$4,#REF!,7,FALSE),0)</f>
        <v>0</v>
      </c>
      <c r="F80" s="263">
        <f>IFERROR(VLOOKUP('2025Comp&amp;Contr'!$A$4,#REF!,9,FALSE),0)</f>
        <v>0</v>
      </c>
      <c r="G80" s="34">
        <f>SUM(B80:F80)</f>
        <v>0</v>
      </c>
      <c r="H80" s="27"/>
      <c r="M80" s="167">
        <v>4</v>
      </c>
      <c r="N80" s="167">
        <v>5</v>
      </c>
      <c r="O80" s="167">
        <v>6</v>
      </c>
      <c r="P80" s="167">
        <v>7</v>
      </c>
      <c r="Q80" s="167">
        <v>9</v>
      </c>
    </row>
    <row r="81" spans="1:33" ht="28.8" hidden="1" x14ac:dyDescent="0.3">
      <c r="A81" s="24" t="s">
        <v>656</v>
      </c>
      <c r="B81" s="264" t="str">
        <f>IFERROR(VLOOKUP('2025Comp&amp;Contr'!$A$4,'Collective NPL'!$A$7:$BB$335,9,FALSE),0)</f>
        <v xml:space="preserve"> Aberdeen School District 005 </v>
      </c>
      <c r="C81" s="264">
        <f>IFERROR(VLOOKUP('2025Comp&amp;Contr'!$A$4,'Collective NPL'!$A$7:$BB$335,20,FALSE),0)</f>
        <v>0</v>
      </c>
      <c r="D81" s="264">
        <f>IFERROR(VLOOKUP('2025Comp&amp;Contr'!$A$4,'Collective NPL'!$A$7:$BB$335,31,FALSE),0)</f>
        <v>0</v>
      </c>
      <c r="E81" s="264">
        <f>IFERROR(VLOOKUP('2025Comp&amp;Contr'!$A$4,'Collective NPL'!$A$7:$BB$335,42,FALSE),0)</f>
        <v>0</v>
      </c>
      <c r="F81" s="264">
        <f>IFERROR(VLOOKUP('2025Comp&amp;Contr'!$A$4,'Collective NPL'!$A$7:$BB$335,53,FALSE),0)</f>
        <v>0</v>
      </c>
      <c r="G81" s="34">
        <f>SUM(B81:F81)</f>
        <v>0</v>
      </c>
      <c r="H81" s="27"/>
      <c r="M81" s="267">
        <v>9</v>
      </c>
      <c r="N81" s="267">
        <v>20</v>
      </c>
      <c r="O81" s="267">
        <v>31</v>
      </c>
      <c r="P81" s="267">
        <v>42</v>
      </c>
      <c r="Q81" s="267">
        <v>53</v>
      </c>
    </row>
    <row r="82" spans="1:33" hidden="1" x14ac:dyDescent="0.3">
      <c r="A82" s="229"/>
      <c r="B82" s="230" t="s">
        <v>673</v>
      </c>
      <c r="C82" s="230" t="s">
        <v>674</v>
      </c>
      <c r="D82" s="230" t="s">
        <v>675</v>
      </c>
      <c r="E82" s="230" t="s">
        <v>676</v>
      </c>
      <c r="F82" s="231" t="s">
        <v>711</v>
      </c>
      <c r="G82" s="229"/>
      <c r="H82" s="20"/>
    </row>
    <row r="83" spans="1:33" ht="18" hidden="1" x14ac:dyDescent="0.3">
      <c r="A83" s="32">
        <v>42916</v>
      </c>
      <c r="B83" s="21" t="s">
        <v>633</v>
      </c>
      <c r="C83" s="21" t="s">
        <v>634</v>
      </c>
      <c r="D83" s="21" t="s">
        <v>635</v>
      </c>
      <c r="E83" s="21" t="s">
        <v>636</v>
      </c>
      <c r="F83" s="95" t="s">
        <v>710</v>
      </c>
      <c r="G83" s="21" t="s">
        <v>657</v>
      </c>
      <c r="H83" s="20"/>
    </row>
    <row r="84" spans="1:33" hidden="1" x14ac:dyDescent="0.3">
      <c r="A84" s="23" t="s">
        <v>653</v>
      </c>
      <c r="B84" s="33">
        <f>+'Total Contributions'!C13</f>
        <v>668423585.98000002</v>
      </c>
      <c r="C84" s="33">
        <f>+'Total Contributions'!D13</f>
        <v>174940524.36000001</v>
      </c>
      <c r="D84" s="33">
        <f>+'Total Contributions'!E13</f>
        <v>415893161.38999999</v>
      </c>
      <c r="E84" s="33">
        <f>+'Total Contributions'!F13</f>
        <v>444580498.50999999</v>
      </c>
      <c r="F84" s="33">
        <f>+'Total Contributions'!G13</f>
        <v>771612354.51999998</v>
      </c>
      <c r="G84" s="22"/>
      <c r="H84" s="20"/>
    </row>
    <row r="85" spans="1:33" hidden="1" x14ac:dyDescent="0.3">
      <c r="A85" s="24" t="s">
        <v>654</v>
      </c>
      <c r="B85" s="262">
        <f>IFERROR(VLOOKUP('2025Comp&amp;Contr'!$A$4,#REF!,4,FALSE)+VLOOKUP('2025Comp&amp;Contr'!$A$4,#REF!,6,FALSE),0)</f>
        <v>0</v>
      </c>
      <c r="C85" s="262">
        <f>IFERROR(VLOOKUP('2025Comp&amp;Contr'!$A$4,#REF!,8,FALSE),0)</f>
        <v>0</v>
      </c>
      <c r="D85" s="262">
        <f>IFERROR(VLOOKUP('2025Comp&amp;Contr'!$A$4,#REF!,10,FALSE)+VLOOKUP('2025Comp&amp;Contr'!$A$4,#REF!,12,FALSE),0)</f>
        <v>0</v>
      </c>
      <c r="E85" s="262">
        <f>IFERROR(VLOOKUP('2025Comp&amp;Contr'!$A$4,#REF!,14,FALSE),0)</f>
        <v>0</v>
      </c>
      <c r="F85" s="262">
        <f>IFERROR(VLOOKUP('2025Comp&amp;Contr'!$A$4,#REF!,18,FALSE),0)</f>
        <v>0</v>
      </c>
      <c r="G85" s="34">
        <f>SUM(B85:F85)</f>
        <v>0</v>
      </c>
      <c r="H85" s="20"/>
      <c r="M85" s="265" t="s">
        <v>1153</v>
      </c>
      <c r="N85" s="265">
        <v>8</v>
      </c>
      <c r="O85" s="265" t="s">
        <v>1154</v>
      </c>
      <c r="P85" s="265">
        <v>14</v>
      </c>
      <c r="Q85" s="265">
        <v>18</v>
      </c>
    </row>
    <row r="86" spans="1:33" hidden="1" x14ac:dyDescent="0.3">
      <c r="A86" s="24" t="s">
        <v>655</v>
      </c>
      <c r="B86" s="261">
        <f>IFERROR(VLOOKUP('2025Comp&amp;Contr'!$A$4,#REF!,5,FALSE)+VLOOKUP('2025Comp&amp;Contr'!$A$4,#REF!,7,FALSE),0)</f>
        <v>0</v>
      </c>
      <c r="C86" s="261">
        <f>IFERROR(VLOOKUP('2025Comp&amp;Contr'!$A$4,#REF!,9,FALSE),0)</f>
        <v>0</v>
      </c>
      <c r="D86" s="261">
        <f>IFERROR(VLOOKUP('2025Comp&amp;Contr'!$A$4,#REF!,11,FALSE)+VLOOKUP('2025Comp&amp;Contr'!$A$4,#REF!,13,FALSE),0)</f>
        <v>0</v>
      </c>
      <c r="E86" s="261">
        <f>IFERROR(VLOOKUP('2025Comp&amp;Contr'!$A$4,#REF!,15,FALSE),0)</f>
        <v>0</v>
      </c>
      <c r="F86" s="261">
        <f>IFERROR(VLOOKUP('2025Comp&amp;Contr'!$A$4,#REF!,19,FALSE),0)</f>
        <v>0</v>
      </c>
      <c r="G86" s="35"/>
      <c r="H86" s="20"/>
      <c r="M86" s="266" t="s">
        <v>1151</v>
      </c>
      <c r="N86" s="266">
        <v>9</v>
      </c>
      <c r="O86" s="266" t="s">
        <v>1152</v>
      </c>
      <c r="P86" s="266">
        <v>15</v>
      </c>
      <c r="Q86" s="266">
        <v>19</v>
      </c>
    </row>
    <row r="87" spans="1:33" hidden="1" x14ac:dyDescent="0.3">
      <c r="A87" s="24" t="s">
        <v>662</v>
      </c>
      <c r="B87" s="263">
        <f>IFERROR(VLOOKUP('2025Comp&amp;Contr'!$A$4,#REF!,4,FALSE),0)</f>
        <v>0</v>
      </c>
      <c r="C87" s="263">
        <f>IFERROR(VLOOKUP('2025Comp&amp;Contr'!$A$4,#REF!,5,FALSE),0)</f>
        <v>0</v>
      </c>
      <c r="D87" s="263">
        <f>IFERROR(VLOOKUP('2025Comp&amp;Contr'!$A$4,#REF!,6,FALSE),0)</f>
        <v>0</v>
      </c>
      <c r="E87" s="263">
        <f>IFERROR(VLOOKUP('2025Comp&amp;Contr'!$A$4,#REF!,7,FALSE),0)</f>
        <v>0</v>
      </c>
      <c r="F87" s="263">
        <f>IFERROR(VLOOKUP('2025Comp&amp;Contr'!$A$4,#REF!,9,FALSE),0)</f>
        <v>0</v>
      </c>
      <c r="G87" s="34">
        <f>SUM(B87:F87)</f>
        <v>0</v>
      </c>
      <c r="H87" s="20"/>
      <c r="M87" s="167">
        <v>4</v>
      </c>
      <c r="N87" s="167">
        <v>5</v>
      </c>
      <c r="O87" s="167">
        <v>6</v>
      </c>
      <c r="P87" s="167">
        <v>7</v>
      </c>
      <c r="Q87" s="167">
        <v>9</v>
      </c>
    </row>
    <row r="88" spans="1:33" ht="28.8" hidden="1" x14ac:dyDescent="0.3">
      <c r="A88" s="24" t="s">
        <v>656</v>
      </c>
      <c r="B88" s="264" t="str">
        <f>IFERROR(VLOOKUP('2025Comp&amp;Contr'!$A$4,'Collective NPL'!$A$7:$BB$335,8,FALSE),0)</f>
        <v>113</v>
      </c>
      <c r="C88" s="264">
        <f>IFERROR(VLOOKUP('2025Comp&amp;Contr'!$A$4,'Collective NPL'!$A$7:$BB$335,19,FALSE),0)</f>
        <v>0</v>
      </c>
      <c r="D88" s="264">
        <f>IFERROR(VLOOKUP('2025Comp&amp;Contr'!$A$4,'Collective NPL'!$A$7:$BB$335,30,FALSE),0)</f>
        <v>0</v>
      </c>
      <c r="E88" s="264">
        <f>IFERROR(VLOOKUP('2025Comp&amp;Contr'!$A$4,'Collective NPL'!$A$7:$BB$335,41,FALSE),0)</f>
        <v>0</v>
      </c>
      <c r="F88" s="264">
        <f>IFERROR(VLOOKUP('2025Comp&amp;Contr'!$A$4,'Collective NPL'!$A$7:$BB$335,52,FALSE),0)</f>
        <v>0</v>
      </c>
      <c r="G88" s="34">
        <f>SUM(B88:F88)</f>
        <v>0</v>
      </c>
      <c r="H88" s="20"/>
      <c r="M88" s="267">
        <v>8</v>
      </c>
      <c r="N88" s="267">
        <v>19</v>
      </c>
      <c r="O88" s="267">
        <v>30</v>
      </c>
      <c r="P88" s="267">
        <v>41</v>
      </c>
      <c r="Q88" s="267">
        <v>52</v>
      </c>
    </row>
    <row r="89" spans="1:33" hidden="1" x14ac:dyDescent="0.3">
      <c r="A89" s="20"/>
      <c r="B89" s="109" t="s">
        <v>673</v>
      </c>
      <c r="C89" s="109" t="s">
        <v>674</v>
      </c>
      <c r="D89" s="109" t="s">
        <v>675</v>
      </c>
      <c r="E89" s="109" t="s">
        <v>676</v>
      </c>
      <c r="F89" s="94" t="s">
        <v>711</v>
      </c>
      <c r="G89" s="20"/>
      <c r="H89" s="20"/>
    </row>
    <row r="90" spans="1:33" ht="18" hidden="1" x14ac:dyDescent="0.3">
      <c r="A90" s="32">
        <v>42551</v>
      </c>
      <c r="B90" s="21" t="s">
        <v>633</v>
      </c>
      <c r="C90" s="21" t="s">
        <v>634</v>
      </c>
      <c r="D90" s="21" t="s">
        <v>635</v>
      </c>
      <c r="E90" s="21" t="s">
        <v>636</v>
      </c>
      <c r="F90" s="95" t="s">
        <v>710</v>
      </c>
      <c r="G90" s="21" t="s">
        <v>657</v>
      </c>
      <c r="H90" s="20"/>
    </row>
    <row r="91" spans="1:33" hidden="1" x14ac:dyDescent="0.3">
      <c r="A91" s="23" t="s">
        <v>653</v>
      </c>
      <c r="B91" s="33">
        <f>+'Total Contributions'!C14</f>
        <v>601525620.38</v>
      </c>
      <c r="C91" s="33">
        <f>+'Total Contributions'!D14</f>
        <v>135447053.88999999</v>
      </c>
      <c r="D91" s="33">
        <f>+'Total Contributions'!E14</f>
        <v>349936141.76999998</v>
      </c>
      <c r="E91" s="33">
        <f>+'Total Contributions'!F14</f>
        <v>368450109.64999998</v>
      </c>
      <c r="F91" s="33">
        <f>+'Total Contributions'!G14</f>
        <v>610789099.48000002</v>
      </c>
      <c r="G91" s="22"/>
      <c r="H91" s="20"/>
    </row>
    <row r="92" spans="1:33" hidden="1" x14ac:dyDescent="0.3">
      <c r="A92" s="24" t="s">
        <v>654</v>
      </c>
      <c r="B92" s="262">
        <f>IFERROR(VLOOKUP('2025Comp&amp;Contr'!$A$4,#REF!,4,FALSE)+VLOOKUP('2025Comp&amp;Contr'!$A$4,#REF!,6,FALSE),0)</f>
        <v>0</v>
      </c>
      <c r="C92" s="262">
        <f>IFERROR(VLOOKUP('2025Comp&amp;Contr'!$A$4,#REF!,8,FALSE),0)</f>
        <v>0</v>
      </c>
      <c r="D92" s="262">
        <f>IFERROR(VLOOKUP('2025Comp&amp;Contr'!$A$4,#REF!,10,FALSE)+VLOOKUP('2025Comp&amp;Contr'!$A$4,#REF!,12,FALSE),0)</f>
        <v>0</v>
      </c>
      <c r="E92" s="262">
        <f>IFERROR(VLOOKUP('2025Comp&amp;Contr'!$A$4,#REF!,14,FALSE),0)</f>
        <v>0</v>
      </c>
      <c r="F92" s="262">
        <f>IFERROR(VLOOKUP('2025Comp&amp;Contr'!$A$4,#REF!,18,FALSE),0)</f>
        <v>0</v>
      </c>
      <c r="G92" s="34">
        <f>SUM(B92:F92)</f>
        <v>0</v>
      </c>
      <c r="H92" s="20"/>
      <c r="M92" s="265" t="s">
        <v>1153</v>
      </c>
      <c r="N92" s="265">
        <v>8</v>
      </c>
      <c r="O92" s="265" t="s">
        <v>1154</v>
      </c>
      <c r="P92" s="265">
        <v>14</v>
      </c>
      <c r="Q92" s="265">
        <v>18</v>
      </c>
      <c r="AG92" s="102"/>
    </row>
    <row r="93" spans="1:33" hidden="1" x14ac:dyDescent="0.3">
      <c r="A93" s="24" t="s">
        <v>655</v>
      </c>
      <c r="B93" s="261">
        <f>IFERROR(VLOOKUP('2025Comp&amp;Contr'!$A$4,#REF!,5,FALSE)+VLOOKUP('2025Comp&amp;Contr'!$A$4,#REF!,7,FALSE),0)</f>
        <v>0</v>
      </c>
      <c r="C93" s="261">
        <f>IFERROR(VLOOKUP('2025Comp&amp;Contr'!$A$4,#REF!,9,FALSE),0)</f>
        <v>0</v>
      </c>
      <c r="D93" s="261">
        <f>IFERROR(VLOOKUP('2025Comp&amp;Contr'!$A$4,#REF!,11,FALSE)+VLOOKUP('2025Comp&amp;Contr'!$A$4,#REF!,13,FALSE),0)</f>
        <v>0</v>
      </c>
      <c r="E93" s="261">
        <f>IFERROR(VLOOKUP('2025Comp&amp;Contr'!$A$4,#REF!,15,FALSE),0)</f>
        <v>0</v>
      </c>
      <c r="F93" s="261">
        <f>IFERROR(VLOOKUP('2025Comp&amp;Contr'!$A$4,#REF!,19,FALSE),0)</f>
        <v>0</v>
      </c>
      <c r="G93" s="35"/>
      <c r="H93" s="20"/>
      <c r="M93" s="266" t="s">
        <v>1151</v>
      </c>
      <c r="N93" s="266">
        <v>9</v>
      </c>
      <c r="O93" s="266" t="s">
        <v>1152</v>
      </c>
      <c r="P93" s="266">
        <v>15</v>
      </c>
      <c r="Q93" s="266">
        <v>19</v>
      </c>
    </row>
    <row r="94" spans="1:33" hidden="1" x14ac:dyDescent="0.3">
      <c r="A94" s="24" t="s">
        <v>662</v>
      </c>
      <c r="B94" s="263">
        <f>IFERROR(VLOOKUP('2025Comp&amp;Contr'!$A$4,#REF!,4,FALSE),0)</f>
        <v>0</v>
      </c>
      <c r="C94" s="263">
        <f>IFERROR(VLOOKUP('2025Comp&amp;Contr'!$A$4,#REF!,5,FALSE),0)</f>
        <v>0</v>
      </c>
      <c r="D94" s="263">
        <f>IFERROR(VLOOKUP('2025Comp&amp;Contr'!$A$4,#REF!,6,FALSE),0)</f>
        <v>0</v>
      </c>
      <c r="E94" s="263">
        <f>IFERROR(VLOOKUP('2025Comp&amp;Contr'!$A$4,#REF!,7,FALSE),0)</f>
        <v>0</v>
      </c>
      <c r="F94" s="263">
        <f>IFERROR(VLOOKUP('2025Comp&amp;Contr'!$A$4,#REF!,9,FALSE),0)</f>
        <v>0</v>
      </c>
      <c r="G94" s="34">
        <f>SUM(B94:F94)</f>
        <v>0</v>
      </c>
      <c r="H94" s="20"/>
      <c r="M94" s="167">
        <v>4</v>
      </c>
      <c r="N94" s="167">
        <v>5</v>
      </c>
      <c r="O94" s="167">
        <v>6</v>
      </c>
      <c r="P94" s="167">
        <v>7</v>
      </c>
      <c r="Q94" s="167">
        <v>9</v>
      </c>
    </row>
    <row r="95" spans="1:33" ht="28.8" hidden="1" x14ac:dyDescent="0.3">
      <c r="A95" s="24" t="s">
        <v>656</v>
      </c>
      <c r="B95" s="264">
        <f>IFERROR(VLOOKUP('2025Comp&amp;Contr'!$A$4,'Collective NPL'!$A$7:$BB$335,7,FALSE),0)</f>
        <v>14005</v>
      </c>
      <c r="C95" s="264">
        <f>IFERROR(VLOOKUP('2025Comp&amp;Contr'!$A$4,'Collective NPL'!$A$7:$BB$335,18,FALSE),0)</f>
        <v>0</v>
      </c>
      <c r="D95" s="264">
        <f>IFERROR(VLOOKUP('2025Comp&amp;Contr'!$A$4,'Collective NPL'!$A$7:$BB$335,29,FALSE),0)</f>
        <v>0</v>
      </c>
      <c r="E95" s="264">
        <f>IFERROR(VLOOKUP('2025Comp&amp;Contr'!$A$4,'Collective NPL'!$A$7:$BB$335,40,FALSE),0)</f>
        <v>0</v>
      </c>
      <c r="F95" s="264">
        <f>IFERROR(VLOOKUP('2025Comp&amp;Contr'!$A$4,'Collective NPL'!$A$7:$BB$335,51,FALSE),0)</f>
        <v>0</v>
      </c>
      <c r="G95" s="34">
        <f>SUM(B95:F95)</f>
        <v>14005</v>
      </c>
      <c r="H95" s="20"/>
      <c r="M95" s="267">
        <v>7</v>
      </c>
      <c r="N95" s="267">
        <v>18</v>
      </c>
      <c r="O95" s="267">
        <v>29</v>
      </c>
      <c r="P95" s="267">
        <v>40</v>
      </c>
      <c r="Q95" s="267">
        <v>51</v>
      </c>
    </row>
    <row r="96" spans="1:33" hidden="1" x14ac:dyDescent="0.3">
      <c r="A96" s="20"/>
      <c r="B96" s="20"/>
      <c r="C96" s="20"/>
      <c r="D96" s="20"/>
      <c r="E96" s="20"/>
      <c r="F96" s="94" t="s">
        <v>711</v>
      </c>
      <c r="G96" s="20"/>
      <c r="H96" s="20"/>
    </row>
    <row r="97" spans="1:18" ht="18.75" hidden="1" customHeight="1" x14ac:dyDescent="0.3">
      <c r="A97" s="32">
        <v>42185</v>
      </c>
      <c r="B97" s="21" t="s">
        <v>633</v>
      </c>
      <c r="C97" s="21" t="s">
        <v>634</v>
      </c>
      <c r="D97" s="21" t="s">
        <v>635</v>
      </c>
      <c r="E97" s="21" t="s">
        <v>636</v>
      </c>
      <c r="F97" s="95" t="s">
        <v>710</v>
      </c>
      <c r="G97" s="21" t="s">
        <v>657</v>
      </c>
      <c r="H97" s="30"/>
    </row>
    <row r="98" spans="1:18" hidden="1" x14ac:dyDescent="0.3">
      <c r="A98" s="23" t="s">
        <v>653</v>
      </c>
      <c r="B98" s="33">
        <f>+'Total Contributions'!C15</f>
        <v>567096911.89999998</v>
      </c>
      <c r="C98" s="33">
        <f>+'Total Contributions'!D15</f>
        <v>119634338.25999996</v>
      </c>
      <c r="D98" s="33">
        <f>+'Total Contributions'!E15</f>
        <v>303915971.74000001</v>
      </c>
      <c r="E98" s="33">
        <f>+'Total Contributions'!F15</f>
        <v>326403155.27999997</v>
      </c>
      <c r="F98" s="33">
        <f>+'Total Contributions'!G15</f>
        <v>577290928.86000001</v>
      </c>
      <c r="G98" s="22"/>
      <c r="H98" s="20"/>
    </row>
    <row r="99" spans="1:18" hidden="1" x14ac:dyDescent="0.3">
      <c r="A99" s="24" t="s">
        <v>654</v>
      </c>
      <c r="B99" s="262">
        <f>IFERROR(VLOOKUP('2025Comp&amp;Contr'!$A$4,#REF!,4,FALSE)+VLOOKUP('2025Comp&amp;Contr'!$A$4,#REF!,6,FALSE),0)</f>
        <v>0</v>
      </c>
      <c r="C99" s="262">
        <f>IFERROR(VLOOKUP('2025Comp&amp;Contr'!$A$4,#REF!,8,FALSE),0)</f>
        <v>0</v>
      </c>
      <c r="D99" s="262">
        <f>IFERROR(VLOOKUP('2025Comp&amp;Contr'!$A$4,#REF!,10,FALSE)+VLOOKUP('2025Comp&amp;Contr'!$A$4,#REF!,12,FALSE),0)</f>
        <v>0</v>
      </c>
      <c r="E99" s="262">
        <f>IFERROR(VLOOKUP('2025Comp&amp;Contr'!$A$4,#REF!,14,FALSE),0)</f>
        <v>0</v>
      </c>
      <c r="F99" s="262">
        <f>IFERROR(VLOOKUP('2025Comp&amp;Contr'!$A$4,#REF!,18,FALSE),0)</f>
        <v>0</v>
      </c>
      <c r="G99" s="34">
        <f>SUM(B99:F99)</f>
        <v>0</v>
      </c>
      <c r="H99" s="28"/>
      <c r="M99" s="265" t="s">
        <v>1153</v>
      </c>
      <c r="N99" s="265">
        <v>8</v>
      </c>
      <c r="O99" s="265" t="s">
        <v>1154</v>
      </c>
      <c r="P99" s="265">
        <v>14</v>
      </c>
      <c r="Q99" s="265">
        <v>18</v>
      </c>
      <c r="R99" s="122"/>
    </row>
    <row r="100" spans="1:18" hidden="1" x14ac:dyDescent="0.3">
      <c r="A100" s="24" t="s">
        <v>655</v>
      </c>
      <c r="B100" s="261">
        <f>IFERROR(VLOOKUP('2025Comp&amp;Contr'!$A$4,#REF!,5,FALSE)+VLOOKUP('2025Comp&amp;Contr'!$A$4,#REF!,7,FALSE),0)</f>
        <v>0</v>
      </c>
      <c r="C100" s="261">
        <f>IFERROR(VLOOKUP('2025Comp&amp;Contr'!$A$4,#REF!,9,FALSE),0)</f>
        <v>0</v>
      </c>
      <c r="D100" s="261">
        <f>IFERROR(VLOOKUP('2025Comp&amp;Contr'!$A$4,#REF!,11,FALSE)+VLOOKUP('2025Comp&amp;Contr'!$A$4,#REF!,13,FALSE),0)</f>
        <v>0</v>
      </c>
      <c r="E100" s="261">
        <f>IFERROR(VLOOKUP('2025Comp&amp;Contr'!$A$4,#REF!,15,FALSE),0)</f>
        <v>0</v>
      </c>
      <c r="F100" s="261">
        <f>IFERROR(VLOOKUP('2025Comp&amp;Contr'!$A$4,#REF!,19,FALSE),0)</f>
        <v>0</v>
      </c>
      <c r="G100" s="35"/>
      <c r="H100" s="29"/>
      <c r="M100" s="266" t="s">
        <v>1151</v>
      </c>
      <c r="N100" s="266">
        <v>9</v>
      </c>
      <c r="O100" s="266" t="s">
        <v>1152</v>
      </c>
      <c r="P100" s="266">
        <v>15</v>
      </c>
      <c r="Q100" s="266">
        <v>19</v>
      </c>
    </row>
    <row r="101" spans="1:18" hidden="1" x14ac:dyDescent="0.3">
      <c r="A101" s="24" t="s">
        <v>662</v>
      </c>
      <c r="B101" s="263">
        <f>IFERROR(VLOOKUP('2025Comp&amp;Contr'!$A$4,#REF!,4,FALSE),0)</f>
        <v>0</v>
      </c>
      <c r="C101" s="263">
        <f>IFERROR(VLOOKUP('2025Comp&amp;Contr'!$A$4,#REF!,5,FALSE),0)</f>
        <v>0</v>
      </c>
      <c r="D101" s="263">
        <f>IFERROR(VLOOKUP('2025Comp&amp;Contr'!$A$4,#REF!,6,FALSE),0)</f>
        <v>0</v>
      </c>
      <c r="E101" s="263">
        <f>IFERROR(VLOOKUP('2025Comp&amp;Contr'!$A$4,#REF!,7,FALSE),0)</f>
        <v>0</v>
      </c>
      <c r="F101" s="263">
        <f>IFERROR(VLOOKUP('2025Comp&amp;Contr'!$A$4,#REF!,9,FALSE),0)</f>
        <v>0</v>
      </c>
      <c r="G101" s="34">
        <f>SUM(B101:F101)</f>
        <v>0</v>
      </c>
      <c r="H101" s="28"/>
      <c r="M101" s="167">
        <v>4</v>
      </c>
      <c r="N101" s="167">
        <v>5</v>
      </c>
      <c r="O101" s="167">
        <v>6</v>
      </c>
      <c r="P101" s="167">
        <v>7</v>
      </c>
      <c r="Q101" s="167">
        <v>9</v>
      </c>
    </row>
    <row r="102" spans="1:18" ht="28.8" hidden="1" x14ac:dyDescent="0.3">
      <c r="A102" s="24" t="s">
        <v>656</v>
      </c>
      <c r="B102" s="264">
        <f>IFERROR(VLOOKUP('2025Comp&amp;Contr'!$A$4,'Collective NPL'!$A$7:$BB$335,6,FALSE),0)</f>
        <v>2</v>
      </c>
      <c r="C102" s="264">
        <f>IFERROR(VLOOKUP('2025Comp&amp;Contr'!$A$4,'Collective NPL'!$A$7:$BB$335,17,FALSE),0)</f>
        <v>0</v>
      </c>
      <c r="D102" s="264">
        <f>IFERROR(VLOOKUP('2025Comp&amp;Contr'!$A$4,'Collective NPL'!$A$7:$BB$335,28,FALSE),0)</f>
        <v>0</v>
      </c>
      <c r="E102" s="264">
        <f>IFERROR(VLOOKUP('2025Comp&amp;Contr'!$A$4,'Collective NPL'!$A$7:$BB$335,39,FALSE),0)</f>
        <v>0</v>
      </c>
      <c r="F102" s="264">
        <f>IFERROR(VLOOKUP('2025Comp&amp;Contr'!$A$4,'Collective NPL'!$A$7:$BB$335,50,FALSE),0)</f>
        <v>0</v>
      </c>
      <c r="G102" s="34">
        <f>SUM(B102:F102)</f>
        <v>2</v>
      </c>
      <c r="H102" s="28"/>
      <c r="M102" s="267">
        <v>6</v>
      </c>
      <c r="N102" s="267">
        <v>17</v>
      </c>
      <c r="O102" s="267">
        <v>28</v>
      </c>
      <c r="P102" s="267">
        <v>39</v>
      </c>
      <c r="Q102" s="267">
        <v>50</v>
      </c>
    </row>
    <row r="103" spans="1:18" hidden="1" x14ac:dyDescent="0.3">
      <c r="A103" s="20"/>
      <c r="B103" s="20"/>
      <c r="C103" s="20"/>
      <c r="D103" s="20"/>
      <c r="E103" s="20"/>
      <c r="F103" s="94" t="s">
        <v>711</v>
      </c>
      <c r="G103" s="20"/>
      <c r="H103" s="20"/>
    </row>
    <row r="104" spans="1:18" ht="18" hidden="1" x14ac:dyDescent="0.3">
      <c r="A104" s="7">
        <v>41820</v>
      </c>
      <c r="B104" s="4" t="s">
        <v>633</v>
      </c>
      <c r="C104" s="4" t="s">
        <v>634</v>
      </c>
      <c r="D104" s="4" t="s">
        <v>635</v>
      </c>
      <c r="E104" s="4" t="s">
        <v>636</v>
      </c>
      <c r="F104" s="95" t="s">
        <v>710</v>
      </c>
      <c r="G104" s="4" t="s">
        <v>657</v>
      </c>
      <c r="H104" s="30"/>
    </row>
    <row r="105" spans="1:18" hidden="1" x14ac:dyDescent="0.3">
      <c r="A105" s="23" t="s">
        <v>653</v>
      </c>
      <c r="B105" s="33">
        <f>+'Total Contributions'!C16</f>
        <v>459598002.46000004</v>
      </c>
      <c r="C105" s="33">
        <f>+'Total Contributions'!D16</f>
        <v>97221684.989999995</v>
      </c>
      <c r="D105" s="33">
        <f>+'Total Contributions'!E16</f>
        <v>223776864.40000001</v>
      </c>
      <c r="E105" s="33">
        <f>+'Total Contributions'!F16</f>
        <v>265747327.91999999</v>
      </c>
      <c r="F105" s="33">
        <f>+'Total Contributions'!G16</f>
        <v>445452657.87</v>
      </c>
      <c r="G105" s="22"/>
      <c r="H105" s="20"/>
    </row>
    <row r="106" spans="1:18" hidden="1" x14ac:dyDescent="0.3">
      <c r="A106" s="24" t="s">
        <v>654</v>
      </c>
      <c r="B106" s="262">
        <f>IFERROR(VLOOKUP('2025Comp&amp;Contr'!$A$4,#REF!,4,FALSE)+VLOOKUP('2025Comp&amp;Contr'!$A$4,#REF!,6,FALSE),0)</f>
        <v>0</v>
      </c>
      <c r="C106" s="262">
        <f>IFERROR(VLOOKUP('2025Comp&amp;Contr'!$A$4,#REF!,8,FALSE),0)</f>
        <v>0</v>
      </c>
      <c r="D106" s="262">
        <f>IFERROR(VLOOKUP('2025Comp&amp;Contr'!$A$4,#REF!,10,FALSE)+VLOOKUP('2025Comp&amp;Contr'!$A$4,#REF!,12,FALSE),0)</f>
        <v>0</v>
      </c>
      <c r="E106" s="262">
        <f>IFERROR(VLOOKUP('2025Comp&amp;Contr'!$A$4,#REF!,14,FALSE),0)</f>
        <v>0</v>
      </c>
      <c r="F106" s="262">
        <f>IFERROR(VLOOKUP('2025Comp&amp;Contr'!$A$4,#REF!,18,FALSE),0)</f>
        <v>0</v>
      </c>
      <c r="G106" s="34">
        <f>SUM(B106:F106)</f>
        <v>0</v>
      </c>
      <c r="H106" s="28"/>
      <c r="M106" s="265" t="s">
        <v>1153</v>
      </c>
      <c r="N106" s="265">
        <v>8</v>
      </c>
      <c r="O106" s="265" t="s">
        <v>1154</v>
      </c>
      <c r="P106" s="265">
        <v>14</v>
      </c>
      <c r="Q106" s="265">
        <v>18</v>
      </c>
    </row>
    <row r="107" spans="1:18" hidden="1" x14ac:dyDescent="0.3">
      <c r="A107" s="24" t="s">
        <v>655</v>
      </c>
      <c r="B107" s="261">
        <f>IFERROR(VLOOKUP('2025Comp&amp;Contr'!$A$4,#REF!,5,FALSE)+VLOOKUP('2025Comp&amp;Contr'!$A$4,#REF!,7,FALSE),0)</f>
        <v>0</v>
      </c>
      <c r="C107" s="261">
        <f>IFERROR(VLOOKUP('2025Comp&amp;Contr'!$A$4,#REF!,9,FALSE),0)</f>
        <v>0</v>
      </c>
      <c r="D107" s="261">
        <f>IFERROR(VLOOKUP('2025Comp&amp;Contr'!$A$4,#REF!,11,FALSE)+VLOOKUP('2025Comp&amp;Contr'!$A$4,#REF!,13,FALSE),0)</f>
        <v>0</v>
      </c>
      <c r="E107" s="261">
        <f>IFERROR(VLOOKUP('2025Comp&amp;Contr'!$A$4,#REF!,15,FALSE),0)</f>
        <v>0</v>
      </c>
      <c r="F107" s="261">
        <f>IFERROR(VLOOKUP('2025Comp&amp;Contr'!$A$4,#REF!,19,FALSE),0)</f>
        <v>0</v>
      </c>
      <c r="G107" s="35"/>
      <c r="H107" s="29"/>
      <c r="M107" s="266" t="s">
        <v>1151</v>
      </c>
      <c r="N107" s="266">
        <v>9</v>
      </c>
      <c r="O107" s="266" t="s">
        <v>1152</v>
      </c>
      <c r="P107" s="266">
        <v>15</v>
      </c>
      <c r="Q107" s="266">
        <v>19</v>
      </c>
    </row>
    <row r="108" spans="1:18" hidden="1" x14ac:dyDescent="0.3">
      <c r="A108" s="24" t="s">
        <v>662</v>
      </c>
      <c r="B108" s="588" t="s">
        <v>660</v>
      </c>
      <c r="C108" s="588"/>
      <c r="D108" s="588"/>
      <c r="E108" s="588"/>
      <c r="F108" s="589"/>
      <c r="G108" s="588"/>
      <c r="H108" s="31"/>
      <c r="M108" s="167">
        <v>4</v>
      </c>
      <c r="N108" s="167">
        <v>5</v>
      </c>
      <c r="O108" s="167">
        <v>6</v>
      </c>
      <c r="P108" s="167">
        <v>7</v>
      </c>
      <c r="Q108" s="167">
        <v>9</v>
      </c>
    </row>
    <row r="109" spans="1:18" ht="28.8" hidden="1" x14ac:dyDescent="0.3">
      <c r="A109" s="24" t="s">
        <v>656</v>
      </c>
      <c r="B109" s="264">
        <f>IFERROR(VLOOKUP('2025Comp&amp;Contr'!$A$4,'Collective NPL'!$A$7:$BB$335,5,FALSE),0)</f>
        <v>81</v>
      </c>
      <c r="C109" s="264">
        <f>IFERROR(VLOOKUP('2025Comp&amp;Contr'!$A$4,'Collective NPL'!$A$7:$BB$335,16,FALSE),0)</f>
        <v>0</v>
      </c>
      <c r="D109" s="264">
        <f>IFERROR(VLOOKUP('2025Comp&amp;Contr'!$A$4,'Collective NPL'!$A$7:$BB$335,27,FALSE),0)</f>
        <v>0</v>
      </c>
      <c r="E109" s="264">
        <f>IFERROR(VLOOKUP('2025Comp&amp;Contr'!$A$4,'Collective NPL'!$A$7:$BB$335,38,FALSE),0)</f>
        <v>0</v>
      </c>
      <c r="F109" s="264">
        <f>IFERROR(VLOOKUP('2025Comp&amp;Contr'!$A$4,'Collective NPL'!$A$7:$BB$335,49,FALSE),0)</f>
        <v>0</v>
      </c>
      <c r="G109" s="34">
        <f>SUM(B109:F109)</f>
        <v>81</v>
      </c>
      <c r="H109" s="28"/>
      <c r="M109" s="267">
        <v>5</v>
      </c>
      <c r="N109" s="267">
        <v>16</v>
      </c>
      <c r="O109" s="267">
        <v>27</v>
      </c>
      <c r="P109" s="267">
        <v>38</v>
      </c>
      <c r="Q109" s="267">
        <v>49</v>
      </c>
    </row>
    <row r="110" spans="1:18" hidden="1" x14ac:dyDescent="0.3">
      <c r="A110" s="20"/>
      <c r="B110" s="20"/>
      <c r="C110" s="20"/>
      <c r="D110" s="20"/>
      <c r="E110" s="20"/>
      <c r="F110" s="20"/>
      <c r="G110" s="20"/>
      <c r="H110" s="20"/>
    </row>
    <row r="111" spans="1:18" x14ac:dyDescent="0.3">
      <c r="E111" s="259"/>
      <c r="F111" s="259"/>
    </row>
    <row r="112" spans="1:18" x14ac:dyDescent="0.3">
      <c r="A112" s="587" t="s">
        <v>1148</v>
      </c>
      <c r="B112" s="587"/>
      <c r="C112" s="587"/>
      <c r="D112" s="587"/>
      <c r="E112" s="587"/>
      <c r="F112" s="587"/>
    </row>
    <row r="113" spans="1:6" x14ac:dyDescent="0.3">
      <c r="A113" s="587"/>
      <c r="B113" s="587"/>
      <c r="C113" s="587"/>
      <c r="D113" s="587"/>
      <c r="E113" s="587"/>
      <c r="F113" s="587"/>
    </row>
    <row r="114" spans="1:6" x14ac:dyDescent="0.3">
      <c r="A114" s="587"/>
      <c r="B114" s="587"/>
      <c r="C114" s="587"/>
      <c r="D114" s="587"/>
      <c r="E114" s="587"/>
      <c r="F114" s="587"/>
    </row>
    <row r="116" spans="1:6" x14ac:dyDescent="0.3">
      <c r="A116" t="s">
        <v>1157</v>
      </c>
      <c r="B116" s="130"/>
      <c r="C116" s="130"/>
      <c r="D116" s="130"/>
      <c r="E116" s="130"/>
      <c r="F116" s="130"/>
    </row>
  </sheetData>
  <mergeCells count="15">
    <mergeCell ref="A112:F114"/>
    <mergeCell ref="I2:N4"/>
    <mergeCell ref="B108:G108"/>
    <mergeCell ref="G2:G3"/>
    <mergeCell ref="A1:G1"/>
    <mergeCell ref="A6:E6"/>
    <mergeCell ref="A18:E18"/>
    <mergeCell ref="A19:E19"/>
    <mergeCell ref="A21:E21"/>
    <mergeCell ref="A36:D36"/>
    <mergeCell ref="A34:F34"/>
    <mergeCell ref="A27:F27"/>
    <mergeCell ref="A20:C20"/>
    <mergeCell ref="F2:F4"/>
    <mergeCell ref="B5:G5"/>
  </mergeCells>
  <dataValidations count="1">
    <dataValidation type="list" allowBlank="1" showInputMessage="1" showErrorMessage="1" sqref="A28:A33 A18:E18 A17 A6:A8 A21:A22 A19 A14 A24:A26" xr:uid="{00000000-0002-0000-0200-000000000000}">
      <formula1>$A$7:$A$340</formula1>
    </dataValidation>
  </dataValidations>
  <pageMargins left="0.7" right="0.7" top="1.25" bottom="1.25" header="0.3" footer="0.3"/>
  <pageSetup scale="74" fitToHeight="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N51"/>
  <sheetViews>
    <sheetView tabSelected="1" zoomScale="84" zoomScaleNormal="84" workbookViewId="0">
      <selection sqref="A1:G1"/>
    </sheetView>
  </sheetViews>
  <sheetFormatPr defaultColWidth="9.109375" defaultRowHeight="16.8" x14ac:dyDescent="0.4"/>
  <cols>
    <col min="1" max="1" width="35.88671875" style="269" customWidth="1"/>
    <col min="2" max="2" width="14.88671875" style="269" bestFit="1" customWidth="1"/>
    <col min="3" max="3" width="15.33203125" style="269" bestFit="1" customWidth="1"/>
    <col min="4" max="5" width="14.88671875" style="269" bestFit="1" customWidth="1"/>
    <col min="6" max="6" width="15.77734375" style="269" bestFit="1" customWidth="1"/>
    <col min="7" max="7" width="14.88671875" style="269" bestFit="1" customWidth="1"/>
    <col min="8" max="8" width="3" style="269" customWidth="1"/>
    <col min="9" max="9" width="7.6640625" style="269" customWidth="1"/>
    <col min="10" max="10" width="9.44140625" style="269" bestFit="1" customWidth="1"/>
    <col min="11" max="11" width="41" style="269" customWidth="1"/>
    <col min="12" max="17" width="9.109375" style="269"/>
    <col min="18" max="18" width="32.44140625" style="269" bestFit="1" customWidth="1"/>
    <col min="19" max="16384" width="9.109375" style="269"/>
  </cols>
  <sheetData>
    <row r="1" spans="1:14" ht="33" thickBot="1" x14ac:dyDescent="0.45">
      <c r="A1" s="638" t="s">
        <v>1163</v>
      </c>
      <c r="B1" s="639"/>
      <c r="C1" s="639"/>
      <c r="D1" s="639"/>
      <c r="E1" s="639"/>
      <c r="F1" s="639"/>
      <c r="G1" s="640"/>
      <c r="H1" s="284"/>
      <c r="I1" s="621" t="s">
        <v>1192</v>
      </c>
      <c r="J1" s="622"/>
      <c r="K1" s="622"/>
      <c r="L1" s="622"/>
      <c r="M1" s="623"/>
    </row>
    <row r="2" spans="1:14" ht="16.5" customHeight="1" x14ac:dyDescent="0.45">
      <c r="A2" s="642" t="s">
        <v>1162</v>
      </c>
      <c r="B2" s="629" t="str">
        <f>VLOOKUP('Do not delete'!$A$1,'Collective NPL'!$A$7:$C$334,3,FALSE)</f>
        <v xml:space="preserve"> Aberdeen School District 005 </v>
      </c>
      <c r="C2" s="630"/>
      <c r="D2" s="630"/>
      <c r="E2" s="630"/>
      <c r="F2" s="631"/>
      <c r="G2" s="641" t="s">
        <v>8</v>
      </c>
      <c r="H2" s="285"/>
      <c r="I2" s="624"/>
      <c r="J2" s="583"/>
      <c r="K2" s="583"/>
      <c r="L2" s="583"/>
      <c r="M2" s="625"/>
    </row>
    <row r="3" spans="1:14" ht="21" customHeight="1" x14ac:dyDescent="0.45">
      <c r="A3" s="643"/>
      <c r="B3" s="632"/>
      <c r="C3" s="633"/>
      <c r="D3" s="633"/>
      <c r="E3" s="633"/>
      <c r="F3" s="634"/>
      <c r="G3" s="641"/>
      <c r="H3" s="285"/>
      <c r="I3" s="624"/>
      <c r="J3" s="583"/>
      <c r="K3" s="583"/>
      <c r="L3" s="583"/>
      <c r="M3" s="625"/>
    </row>
    <row r="4" spans="1:14" ht="19.5" customHeight="1" thickBot="1" x14ac:dyDescent="0.45">
      <c r="A4" s="286">
        <v>14005</v>
      </c>
      <c r="B4" s="635"/>
      <c r="C4" s="636"/>
      <c r="D4" s="636"/>
      <c r="E4" s="636"/>
      <c r="F4" s="637"/>
      <c r="G4" s="287" t="str">
        <f>VLOOKUP('Do not delete'!$A$1,'Collective NPL'!$A$7:$AI$335,2,FALSE)</f>
        <v>113</v>
      </c>
      <c r="H4" s="288"/>
      <c r="I4" s="626"/>
      <c r="J4" s="627"/>
      <c r="K4" s="627"/>
      <c r="L4" s="627"/>
      <c r="M4" s="628"/>
    </row>
    <row r="5" spans="1:14" ht="6.6" customHeight="1" thickBot="1" x14ac:dyDescent="0.45">
      <c r="A5" s="289"/>
      <c r="B5" s="290"/>
      <c r="C5" s="290"/>
      <c r="D5" s="290"/>
      <c r="E5" s="290"/>
      <c r="F5" s="290"/>
      <c r="G5" s="291"/>
      <c r="H5" s="288"/>
      <c r="I5" s="345"/>
      <c r="J5" s="345"/>
      <c r="K5" s="345"/>
    </row>
    <row r="6" spans="1:14" ht="19.95" hidden="1" customHeight="1" x14ac:dyDescent="0.4">
      <c r="A6" s="292"/>
      <c r="B6" s="293"/>
      <c r="C6" s="293"/>
      <c r="D6" s="293"/>
      <c r="E6" s="293"/>
      <c r="F6" s="293"/>
      <c r="G6" s="293"/>
      <c r="H6" s="294"/>
      <c r="I6" s="345"/>
      <c r="J6" s="345"/>
      <c r="K6" s="345"/>
      <c r="L6" s="345"/>
      <c r="M6" s="329"/>
      <c r="N6" s="329"/>
    </row>
    <row r="7" spans="1:14" ht="37.5" customHeight="1" thickBot="1" x14ac:dyDescent="0.45">
      <c r="A7" s="555" t="s">
        <v>1207</v>
      </c>
      <c r="B7" s="481"/>
      <c r="C7" s="481"/>
      <c r="D7" s="481"/>
      <c r="E7" s="481"/>
      <c r="F7" s="481"/>
      <c r="G7" s="482"/>
      <c r="H7" s="294"/>
      <c r="I7" s="345"/>
      <c r="J7" s="345"/>
      <c r="K7" s="345"/>
      <c r="L7" s="345"/>
      <c r="M7" s="345"/>
      <c r="N7" s="329"/>
    </row>
    <row r="8" spans="1:14" ht="21" thickBot="1" x14ac:dyDescent="0.45">
      <c r="A8" s="483">
        <v>45838</v>
      </c>
      <c r="B8" s="296" t="s">
        <v>635</v>
      </c>
      <c r="C8" s="296" t="s">
        <v>636</v>
      </c>
      <c r="D8" s="296" t="s">
        <v>634</v>
      </c>
      <c r="E8" s="296" t="s">
        <v>633</v>
      </c>
      <c r="F8" s="297" t="s">
        <v>710</v>
      </c>
      <c r="G8" s="296" t="s">
        <v>657</v>
      </c>
      <c r="H8" s="294"/>
      <c r="I8" s="345"/>
      <c r="J8" s="293" t="s">
        <v>1202</v>
      </c>
      <c r="K8" s="345"/>
      <c r="L8" s="345"/>
      <c r="M8" s="345"/>
      <c r="N8" s="329"/>
    </row>
    <row r="9" spans="1:14" ht="19.8" thickBot="1" x14ac:dyDescent="0.45">
      <c r="A9" s="298" t="s">
        <v>653</v>
      </c>
      <c r="B9" s="299">
        <f>+'Total Contributions'!E6</f>
        <v>144307085.23999995</v>
      </c>
      <c r="C9" s="299">
        <f>+'Total Contributions'!F6</f>
        <v>738588041.76999962</v>
      </c>
      <c r="D9" s="299">
        <f>+'Total Contributions'!D6</f>
        <v>273217075.75</v>
      </c>
      <c r="E9" s="299">
        <f>+'Total Contributions'!C6</f>
        <v>551385664.87</v>
      </c>
      <c r="F9" s="299">
        <f>+'Total Contributions'!G6</f>
        <v>1061299034.5599999</v>
      </c>
      <c r="G9" s="300"/>
      <c r="H9" s="294"/>
      <c r="I9" s="443"/>
      <c r="J9" s="444" t="s">
        <v>7</v>
      </c>
      <c r="K9" s="244" t="s">
        <v>6</v>
      </c>
      <c r="L9" s="245" t="s">
        <v>1038</v>
      </c>
    </row>
    <row r="10" spans="1:14" x14ac:dyDescent="0.4">
      <c r="A10" s="301" t="s">
        <v>654</v>
      </c>
      <c r="B10" s="457">
        <f>IFERROR(VLOOKUP($A$4,'2025 PEFI ER Contributions'!$A$7:$S$350,10,FALSE)+VLOOKUP($A$4,'2025 PEFI ER Contributions'!$A$7:$S$350,12,FALSE),0)</f>
        <v>390155.94999999995</v>
      </c>
      <c r="C10" s="458">
        <f>IFERROR(VLOOKUP($A$4,'2025 PEFI ER Contributions'!$A$7:$S$350,14,FALSE),0)</f>
        <v>2017034.08</v>
      </c>
      <c r="D10" s="460">
        <f>IFERROR(VLOOKUP($A$4,'2025 PEFI ER Contributions'!$A$7:$S$350,8,FALSE),0)</f>
        <v>952120.6399999999</v>
      </c>
      <c r="E10" s="461">
        <f>IFERROR(VLOOKUP($A$4,'2025 PEFI ER Contributions'!$A$7:$S$350,4,FALSE)+VLOOKUP($A$4,'2025 PEFI ER Contributions'!$A$7:$S$350,6,FALSE),0)</f>
        <v>325357.11</v>
      </c>
      <c r="F10" s="462">
        <f>IFERROR(VLOOKUP($A$4,'2025 PEFI ER Contributions'!$A$7:$S$350,18,FALSE),0)</f>
        <v>0</v>
      </c>
      <c r="G10" s="302">
        <f>SUM(B10:F10)</f>
        <v>3684667.78</v>
      </c>
      <c r="H10" s="294"/>
      <c r="I10" s="345"/>
      <c r="J10" s="436">
        <v>6901</v>
      </c>
      <c r="K10" s="506" t="s">
        <v>1201</v>
      </c>
      <c r="L10" s="422">
        <v>4309</v>
      </c>
    </row>
    <row r="11" spans="1:14" x14ac:dyDescent="0.4">
      <c r="A11" s="301" t="s">
        <v>655</v>
      </c>
      <c r="B11" s="464">
        <f>IFERROR(VLOOKUP($A$4,'2025 PEFI ER Contributions'!$A$7:$S$350,11,FALSE)+VLOOKUP($A$4,'2025 PEFI ER Contributions'!$A$7:$S$350,13,FALSE),0)</f>
        <v>2.7036506859737615E-3</v>
      </c>
      <c r="C11" s="464">
        <f>IFERROR(VLOOKUP($A$4,'2025 PEFI ER Contributions'!$A$7:$S$350,15,FALSE),0)</f>
        <v>2.7309324900065407E-3</v>
      </c>
      <c r="D11" s="464">
        <f>IFERROR(VLOOKUP($A$4,'2025 PEFI ER Contributions'!$A$7:$S$350,9,FALSE),0)</f>
        <v>3.4848504156863623E-3</v>
      </c>
      <c r="E11" s="464">
        <f>IFERROR(VLOOKUP($A$4,'2025 PEFI ER Contributions'!$A$7:$S$350,5,FALSE)+VLOOKUP($A$4,'2025 PEFI ER Contributions'!$A$7:$S$350,7,FALSE),0)</f>
        <v>5.9007176052846676E-4</v>
      </c>
      <c r="F11" s="464">
        <f>IFERROR(VLOOKUP($A$4,'2025 PEFI ER Contributions'!$A$7:$S$350,19,FALSE),0)</f>
        <v>0</v>
      </c>
      <c r="G11" s="303"/>
      <c r="H11" s="294"/>
      <c r="I11" s="330"/>
      <c r="J11"/>
      <c r="K11"/>
      <c r="L11"/>
    </row>
    <row r="12" spans="1:14" ht="19.2" x14ac:dyDescent="0.4">
      <c r="A12" s="304" t="s">
        <v>1074</v>
      </c>
      <c r="B12" s="305">
        <f>+B10/B9</f>
        <v>2.7036506859737615E-3</v>
      </c>
      <c r="C12" s="305">
        <f>+C10/C9</f>
        <v>2.7309324900065407E-3</v>
      </c>
      <c r="D12" s="305">
        <f>+D10/D9</f>
        <v>3.4848504156863623E-3</v>
      </c>
      <c r="E12" s="305">
        <f>+E10/E9</f>
        <v>5.9007176052846666E-4</v>
      </c>
      <c r="F12" s="305">
        <f>+F10/F9</f>
        <v>0</v>
      </c>
      <c r="G12" s="306"/>
      <c r="H12" s="294"/>
      <c r="I12" s="330"/>
      <c r="J12"/>
      <c r="K12"/>
      <c r="L12"/>
    </row>
    <row r="13" spans="1:14" ht="17.399999999999999" thickBot="1" x14ac:dyDescent="0.45">
      <c r="A13" s="301" t="s">
        <v>662</v>
      </c>
      <c r="B13" s="307">
        <f>IFERROR(VLOOKUP($A$4,'2025 ER Compensation'!$A$7:$I$350,6,FALSE),0)</f>
        <v>0</v>
      </c>
      <c r="C13" s="307">
        <f>IFERROR(VLOOKUP($A$4,'2025 ER Compensation'!$A$7:$I$350,7,FALSE),0)</f>
        <v>25025217.43</v>
      </c>
      <c r="D13" s="307">
        <f>IFERROR(VLOOKUP($A$4,'2025 ER Compensation'!$A$7:$I$350,5,FALSE),0)</f>
        <v>12269582.300000001</v>
      </c>
      <c r="E13" s="307">
        <f>IFERROR(VLOOKUP($A$4,'2025 ER Compensation'!$A$7:$I$350,4,FALSE),0)</f>
        <v>0</v>
      </c>
      <c r="F13" s="307">
        <f>IFERROR(VLOOKUP($A$4,'2025 ER Compensation'!$A$7:$I$350,9,FALSE),0)</f>
        <v>0</v>
      </c>
      <c r="G13" s="302">
        <f>SUM(B13:F13)</f>
        <v>37294799.730000004</v>
      </c>
      <c r="H13" s="294"/>
      <c r="I13" s="330"/>
      <c r="J13"/>
      <c r="K13"/>
      <c r="L13"/>
    </row>
    <row r="14" spans="1:14" ht="31.5" customHeight="1" thickBot="1" x14ac:dyDescent="0.45">
      <c r="A14" s="554" t="s">
        <v>1195</v>
      </c>
      <c r="B14" s="479"/>
      <c r="C14" s="479"/>
      <c r="D14" s="479"/>
      <c r="E14" s="479"/>
      <c r="F14" s="479"/>
      <c r="G14" s="480"/>
      <c r="H14" s="294"/>
      <c r="J14"/>
      <c r="K14"/>
      <c r="L14"/>
    </row>
    <row r="15" spans="1:14" ht="20.399999999999999" x14ac:dyDescent="0.4">
      <c r="A15" s="308"/>
      <c r="B15" s="309" t="s">
        <v>635</v>
      </c>
      <c r="C15" s="309" t="s">
        <v>636</v>
      </c>
      <c r="D15" s="309" t="s">
        <v>634</v>
      </c>
      <c r="E15" s="309" t="s">
        <v>633</v>
      </c>
      <c r="F15" s="309" t="s">
        <v>710</v>
      </c>
      <c r="G15" s="310"/>
      <c r="H15" s="294"/>
      <c r="J15" s="293"/>
    </row>
    <row r="16" spans="1:14" x14ac:dyDescent="0.4">
      <c r="A16" s="311" t="s">
        <v>1065</v>
      </c>
      <c r="B16" s="312">
        <f>VLOOKUP($A$4,'2025 ER Compensation'!$A$7:$AC$350,11,FALSE)</f>
        <v>0</v>
      </c>
      <c r="C16" s="312">
        <f>VLOOKUP($A$4,'2025 ER Compensation'!$A$7:$AC$350,12,FALSE)</f>
        <v>25025217.43</v>
      </c>
      <c r="D16" s="312">
        <f>VLOOKUP($A$4,'2025 ER Compensation'!$A$7:$AC$350,14,FALSE)</f>
        <v>12269582.300000001</v>
      </c>
      <c r="E16" s="312">
        <f>VLOOKUP($A$4,'2025 ER Compensation'!$A$7:$AC$350,16,FALSE)</f>
        <v>0</v>
      </c>
      <c r="F16" s="312">
        <f>VLOOKUP($A$4,'2025 ER Compensation'!$A$7:$AC$350,17,FALSE)</f>
        <v>0</v>
      </c>
      <c r="G16" s="313">
        <f>SUM(B16:F16)</f>
        <v>37294799.730000004</v>
      </c>
      <c r="H16" s="294"/>
    </row>
    <row r="17" spans="1:13" x14ac:dyDescent="0.4">
      <c r="A17" s="314" t="s">
        <v>1066</v>
      </c>
      <c r="B17" s="312">
        <f>VLOOKUP($A$4,'2025 ER Compensation'!$A$7:$AC$350,21,FALSE)</f>
        <v>59050.78</v>
      </c>
      <c r="C17" s="312">
        <f>VLOOKUP($A$4,'2025 ER Compensation'!$A$7:$AC$350,22,FALSE)</f>
        <v>659153.76</v>
      </c>
      <c r="D17" s="312">
        <f>VLOOKUP($A$4,'2025 ER Compensation'!$A$7:$AC$350,24,FALSE)</f>
        <v>877649.97000000009</v>
      </c>
      <c r="E17" s="312">
        <f>VLOOKUP($A$4,'2025 ER Compensation'!$A$7:$AC$350,26,FALSE)</f>
        <v>0</v>
      </c>
      <c r="F17" s="312">
        <f>VLOOKUP($A$4,'2025 ER Compensation'!$A$7:$AC$350,27,FALSE)</f>
        <v>0</v>
      </c>
      <c r="G17" s="313">
        <f>SUM(B17:F17)</f>
        <v>1595854.5100000002</v>
      </c>
      <c r="H17" s="294"/>
    </row>
    <row r="18" spans="1:13" ht="6" customHeight="1" x14ac:dyDescent="0.4">
      <c r="A18" s="315"/>
      <c r="B18" s="295"/>
      <c r="C18" s="295"/>
      <c r="D18" s="295"/>
      <c r="E18" s="295"/>
      <c r="F18" s="295"/>
      <c r="G18" s="316"/>
      <c r="H18" s="294"/>
    </row>
    <row r="19" spans="1:13" x14ac:dyDescent="0.4">
      <c r="A19" s="314" t="s">
        <v>1068</v>
      </c>
      <c r="B19" s="456">
        <f>VLOOKUP($A$4,'2025 PEFI ER Contributions'!$A$7:$AW$350,36,FALSE)</f>
        <v>0</v>
      </c>
      <c r="C19" s="455">
        <f>VLOOKUP($A$4,'2025 PEFI ER Contributions'!$A$7:$AW$350,37,FALSE)</f>
        <v>2017034.08</v>
      </c>
      <c r="D19" s="459">
        <f>VLOOKUP($A$4,'2025 PEFI ER Contributions'!$A$7:$AW$350,38,FALSE)</f>
        <v>952120.6399999999</v>
      </c>
      <c r="E19" s="317">
        <f>VLOOKUP($A$4,'2025 PEFI ER Contributions'!$A$7:$AW$350,39,FALSE)</f>
        <v>0</v>
      </c>
      <c r="F19" s="463">
        <f>VLOOKUP($A$4,'2025 PEFI ER Contributions'!$A$7:$AW$350,40,FALSE)</f>
        <v>0</v>
      </c>
      <c r="G19" s="313">
        <f>SUM(B19:F19)</f>
        <v>2969154.7199999997</v>
      </c>
      <c r="H19" s="294"/>
    </row>
    <row r="20" spans="1:13" x14ac:dyDescent="0.4">
      <c r="A20" s="314" t="s">
        <v>1069</v>
      </c>
      <c r="B20" s="318">
        <f>VLOOKUP($A$4,'2025 PEFI ER Contributions'!$A$7:$AW$350,43,FALSE)</f>
        <v>0</v>
      </c>
      <c r="C20" s="456">
        <f>VLOOKUP($A$4,'2025 PEFI ER Contributions'!$A$7:$AW$350,44,FALSE)</f>
        <v>390155.94999999995</v>
      </c>
      <c r="D20" s="317">
        <f>VLOOKUP($A$4,'2025 PEFI ER Contributions'!$A$7:$AW$350,45,FALSE)</f>
        <v>325357.11</v>
      </c>
      <c r="E20" s="318">
        <f>VLOOKUP($A$4,'2025 PEFI ER Contributions'!$A$7:$AW$350,46,FALSE)</f>
        <v>0</v>
      </c>
      <c r="F20" s="317">
        <f>VLOOKUP($A$4,'2025 PEFI ER Contributions'!$A$7:$AW$350,47,FALSE)</f>
        <v>0</v>
      </c>
      <c r="G20" s="313">
        <f>SUM(B20:F20)</f>
        <v>715513.05999999994</v>
      </c>
      <c r="H20" s="294"/>
      <c r="I20" s="618" t="s">
        <v>1069</v>
      </c>
      <c r="J20" s="619"/>
      <c r="K20" s="619"/>
      <c r="L20" s="619"/>
      <c r="M20" s="620"/>
    </row>
    <row r="21" spans="1:13" ht="6" customHeight="1" x14ac:dyDescent="0.4">
      <c r="A21" s="315"/>
      <c r="B21" s="295"/>
      <c r="C21" s="295"/>
      <c r="D21" s="295"/>
      <c r="E21" s="295"/>
      <c r="F21" s="319"/>
      <c r="G21" s="316"/>
      <c r="H21" s="294"/>
      <c r="I21" s="346"/>
      <c r="M21" s="347"/>
    </row>
    <row r="22" spans="1:13" x14ac:dyDescent="0.4">
      <c r="A22" s="314" t="s">
        <v>1067</v>
      </c>
      <c r="B22" s="318">
        <f>VLOOKUP($A$4,'2025 PEFI ER Contributions'!$A$7:$AW$350,25,FALSE)</f>
        <v>0</v>
      </c>
      <c r="C22" s="318">
        <f>VLOOKUP($A$4,'2025 PEFI ER Contributions'!$A$7:$AW$350,26,FALSE)</f>
        <v>1989995.9200000002</v>
      </c>
      <c r="D22" s="318">
        <f>VLOOKUP($A$4,'2025 PEFI ER Contributions'!$A$7:$AW$350,27,FALSE)</f>
        <v>885554.7</v>
      </c>
      <c r="E22" s="318">
        <f>VLOOKUP($A$4,'2025 PEFI ER Contributions'!$A$7:$AW$350,28,FALSE)</f>
        <v>0</v>
      </c>
      <c r="F22" s="318">
        <f>VLOOKUP($A$4,'2025 PEFI ER Contributions'!$A$7:$AW$350,29,FALSE)</f>
        <v>0</v>
      </c>
      <c r="G22" s="313">
        <f>SUM(B22:F22)</f>
        <v>2875550.62</v>
      </c>
      <c r="H22" s="294"/>
      <c r="I22" s="612" t="s">
        <v>1214</v>
      </c>
      <c r="J22" s="613"/>
      <c r="K22" s="613"/>
      <c r="L22" s="613"/>
      <c r="M22" s="614"/>
    </row>
    <row r="23" spans="1:13" x14ac:dyDescent="0.4">
      <c r="A23" s="314" t="s">
        <v>1070</v>
      </c>
      <c r="B23" s="318">
        <f>VLOOKUP($A$4,'2025 PEFI ER Contributions'!$A$7:$BW$350,52,FALSE)</f>
        <v>0</v>
      </c>
      <c r="C23" s="318">
        <f>VLOOKUP($A$4,'2025 PEFI ER Contributions'!$A$7:$BW$350,53,FALSE)</f>
        <v>50049.5</v>
      </c>
      <c r="D23" s="318">
        <f>VLOOKUP($A$4,'2025 PEFI ER Contributions'!$A$7:$BW$350,54,FALSE)</f>
        <v>24539.29</v>
      </c>
      <c r="E23" s="318">
        <f>VLOOKUP($A$4,'2025 PEFI ER Contributions'!$A$7:$BW$350,55,FALSE)</f>
        <v>0</v>
      </c>
      <c r="F23" s="318">
        <f>VLOOKUP($A$4,'2025 PEFI ER Contributions'!$A$7:$BW$350,56,FALSE)</f>
        <v>0</v>
      </c>
      <c r="G23" s="313">
        <f>SUM(B23:F23)</f>
        <v>74588.790000000008</v>
      </c>
      <c r="H23" s="294"/>
      <c r="I23" s="612"/>
      <c r="J23" s="613"/>
      <c r="K23" s="613"/>
      <c r="L23" s="613"/>
      <c r="M23" s="614"/>
    </row>
    <row r="24" spans="1:13" x14ac:dyDescent="0.4">
      <c r="A24" s="314" t="s">
        <v>1071</v>
      </c>
      <c r="B24" s="318">
        <f>VLOOKUP($A$4,'2025 PEFI ER Contributions'!$A$7:$BW$350,59,FALSE)</f>
        <v>0</v>
      </c>
      <c r="C24" s="318">
        <v>0</v>
      </c>
      <c r="D24" s="318">
        <v>0</v>
      </c>
      <c r="E24" s="318">
        <f>VLOOKUP($A$4,'2025 PEFI ER Contributions'!$A$7:$BW$350,60,FALSE)</f>
        <v>0</v>
      </c>
      <c r="F24" s="318">
        <v>0</v>
      </c>
      <c r="G24" s="313">
        <f>SUM(B24:F24)</f>
        <v>0</v>
      </c>
      <c r="H24" s="294"/>
      <c r="I24" s="612"/>
      <c r="J24" s="613"/>
      <c r="K24" s="613"/>
      <c r="L24" s="613"/>
      <c r="M24" s="614"/>
    </row>
    <row r="25" spans="1:13" x14ac:dyDescent="0.4">
      <c r="A25" s="314" t="s">
        <v>1072</v>
      </c>
      <c r="B25" s="318">
        <f>VLOOKUP($A$4,'2025 PEFI ER Contributions'!$A$7:$BW$350,63,FALSE)</f>
        <v>0</v>
      </c>
      <c r="C25" s="318">
        <v>0</v>
      </c>
      <c r="D25" s="318">
        <v>0</v>
      </c>
      <c r="E25" s="318">
        <f>VLOOKUP($A$4,'2025 PEFI ER Contributions'!$A$7:$BW$350,64,FALSE)</f>
        <v>0</v>
      </c>
      <c r="F25" s="318">
        <v>0</v>
      </c>
      <c r="G25" s="313">
        <f>SUM(B25:F25)</f>
        <v>0</v>
      </c>
      <c r="H25" s="294"/>
      <c r="I25" s="612"/>
      <c r="J25" s="613"/>
      <c r="K25" s="613"/>
      <c r="L25" s="613"/>
      <c r="M25" s="614"/>
    </row>
    <row r="26" spans="1:13" ht="6" customHeight="1" x14ac:dyDescent="0.4">
      <c r="A26" s="315"/>
      <c r="B26" s="295"/>
      <c r="C26" s="295"/>
      <c r="D26" s="295"/>
      <c r="E26" s="295"/>
      <c r="F26" s="295"/>
      <c r="G26" s="316"/>
      <c r="H26" s="294"/>
      <c r="I26" s="612"/>
      <c r="J26" s="613"/>
      <c r="K26" s="613"/>
      <c r="L26" s="613"/>
      <c r="M26" s="614"/>
    </row>
    <row r="27" spans="1:13" ht="17.399999999999999" thickBot="1" x14ac:dyDescent="0.45">
      <c r="A27" s="320" t="s">
        <v>1073</v>
      </c>
      <c r="B27" s="321">
        <f t="shared" ref="B27:F27" si="0">SUM(B19:B25)</f>
        <v>0</v>
      </c>
      <c r="C27" s="321">
        <f t="shared" si="0"/>
        <v>4447235.45</v>
      </c>
      <c r="D27" s="321">
        <f t="shared" si="0"/>
        <v>2187571.7400000002</v>
      </c>
      <c r="E27" s="321">
        <f t="shared" si="0"/>
        <v>0</v>
      </c>
      <c r="F27" s="321">
        <f t="shared" si="0"/>
        <v>0</v>
      </c>
      <c r="G27" s="322">
        <f>SUM(B27:F27)</f>
        <v>6634807.1900000004</v>
      </c>
      <c r="I27" s="612"/>
      <c r="J27" s="613"/>
      <c r="K27" s="613"/>
      <c r="L27" s="613"/>
      <c r="M27" s="614"/>
    </row>
    <row r="28" spans="1:13" ht="17.399999999999999" thickBot="1" x14ac:dyDescent="0.45">
      <c r="A28" s="341"/>
      <c r="B28" s="342"/>
      <c r="C28" s="342"/>
      <c r="D28" s="342"/>
      <c r="E28" s="342"/>
      <c r="F28" s="342"/>
      <c r="G28" s="343"/>
      <c r="I28" s="612"/>
      <c r="J28" s="613"/>
      <c r="K28" s="613"/>
      <c r="L28" s="613"/>
      <c r="M28" s="614"/>
    </row>
    <row r="29" spans="1:13" ht="19.8" thickBot="1" x14ac:dyDescent="0.45">
      <c r="A29" s="476" t="s">
        <v>1166</v>
      </c>
      <c r="B29" s="477"/>
      <c r="C29" s="477"/>
      <c r="D29" s="477"/>
      <c r="E29" s="477"/>
      <c r="F29" s="477"/>
      <c r="G29" s="478"/>
      <c r="I29" s="612"/>
      <c r="J29" s="613"/>
      <c r="K29" s="613"/>
      <c r="L29" s="613"/>
      <c r="M29" s="614"/>
    </row>
    <row r="30" spans="1:13" ht="20.399999999999999" x14ac:dyDescent="0.4">
      <c r="A30" s="270"/>
      <c r="B30" s="309" t="s">
        <v>635</v>
      </c>
      <c r="C30" s="309" t="s">
        <v>636</v>
      </c>
      <c r="D30" s="309" t="s">
        <v>634</v>
      </c>
      <c r="E30" s="309" t="s">
        <v>633</v>
      </c>
      <c r="F30" s="309" t="s">
        <v>710</v>
      </c>
      <c r="G30" s="323" t="s">
        <v>657</v>
      </c>
      <c r="I30" s="612"/>
      <c r="J30" s="613"/>
      <c r="K30" s="613"/>
      <c r="L30" s="613"/>
      <c r="M30" s="614"/>
    </row>
    <row r="31" spans="1:13" ht="28.8" x14ac:dyDescent="0.4">
      <c r="A31" s="465" t="s">
        <v>1165</v>
      </c>
      <c r="B31" s="344">
        <f>+B19+B20+B23+B24+B25</f>
        <v>0</v>
      </c>
      <c r="C31" s="344">
        <f>+C19+C20+C23+C24+C25</f>
        <v>2457239.5300000003</v>
      </c>
      <c r="D31" s="344">
        <f>+D19+D20+D23+D24+D25</f>
        <v>1302017.04</v>
      </c>
      <c r="E31" s="344">
        <f>+E19+E20+E23+E24+E25</f>
        <v>0</v>
      </c>
      <c r="F31" s="344">
        <f>+F19+F20+F23+F24+F25</f>
        <v>0</v>
      </c>
      <c r="G31" s="313">
        <f>SUM(B31:F31)</f>
        <v>3759256.5700000003</v>
      </c>
      <c r="I31" s="615"/>
      <c r="J31" s="616"/>
      <c r="K31" s="616"/>
      <c r="L31" s="616"/>
      <c r="M31" s="617"/>
    </row>
    <row r="32" spans="1:13" x14ac:dyDescent="0.4">
      <c r="A32" s="465" t="s">
        <v>1067</v>
      </c>
      <c r="B32" s="324">
        <f t="shared" ref="B32:G32" si="1">+B22</f>
        <v>0</v>
      </c>
      <c r="C32" s="324">
        <f t="shared" si="1"/>
        <v>1989995.9200000002</v>
      </c>
      <c r="D32" s="324">
        <f t="shared" si="1"/>
        <v>885554.7</v>
      </c>
      <c r="E32" s="324">
        <f t="shared" si="1"/>
        <v>0</v>
      </c>
      <c r="F32" s="324">
        <f t="shared" si="1"/>
        <v>0</v>
      </c>
      <c r="G32" s="325">
        <f t="shared" si="1"/>
        <v>2875550.62</v>
      </c>
    </row>
    <row r="33" spans="1:12" ht="17.399999999999999" thickBot="1" x14ac:dyDescent="0.45">
      <c r="A33" s="466" t="s">
        <v>1073</v>
      </c>
      <c r="B33" s="326">
        <f t="shared" ref="B33:F33" si="2">+B31+B32</f>
        <v>0</v>
      </c>
      <c r="C33" s="326">
        <f t="shared" si="2"/>
        <v>4447235.45</v>
      </c>
      <c r="D33" s="326">
        <f t="shared" si="2"/>
        <v>2187571.7400000002</v>
      </c>
      <c r="E33" s="326">
        <f t="shared" si="2"/>
        <v>0</v>
      </c>
      <c r="F33" s="326">
        <f t="shared" si="2"/>
        <v>0</v>
      </c>
      <c r="G33" s="327">
        <f>+G31+G32</f>
        <v>6634807.1900000004</v>
      </c>
    </row>
    <row r="34" spans="1:12" ht="19.8" thickBot="1" x14ac:dyDescent="0.45">
      <c r="J34" s="444" t="s">
        <v>7</v>
      </c>
      <c r="K34" s="244" t="s">
        <v>6</v>
      </c>
      <c r="L34" s="245" t="s">
        <v>1038</v>
      </c>
    </row>
    <row r="35" spans="1:12" x14ac:dyDescent="0.4">
      <c r="J35" s="436">
        <v>4901</v>
      </c>
      <c r="K35" s="520" t="s">
        <v>1194</v>
      </c>
      <c r="L35" s="523">
        <v>4281</v>
      </c>
    </row>
    <row r="36" spans="1:12" x14ac:dyDescent="0.4">
      <c r="J36" s="436">
        <v>5903</v>
      </c>
      <c r="K36" s="428" t="s">
        <v>1081</v>
      </c>
      <c r="L36" s="519">
        <v>2901</v>
      </c>
    </row>
    <row r="37" spans="1:12" x14ac:dyDescent="0.4">
      <c r="J37" s="436">
        <v>6901</v>
      </c>
      <c r="K37" s="520" t="s">
        <v>1203</v>
      </c>
      <c r="L37" s="422">
        <v>4309</v>
      </c>
    </row>
    <row r="38" spans="1:12" x14ac:dyDescent="0.4">
      <c r="J38" s="422">
        <v>17902</v>
      </c>
      <c r="K38" s="427" t="s">
        <v>1035</v>
      </c>
      <c r="L38" s="519">
        <v>2633</v>
      </c>
    </row>
    <row r="39" spans="1:12" x14ac:dyDescent="0.4">
      <c r="J39" s="422">
        <v>17908</v>
      </c>
      <c r="K39" s="427" t="s">
        <v>1032</v>
      </c>
      <c r="L39" s="519">
        <v>2630</v>
      </c>
    </row>
    <row r="40" spans="1:12" x14ac:dyDescent="0.4">
      <c r="J40" s="422">
        <v>17911</v>
      </c>
      <c r="K40" s="428" t="s">
        <v>1116</v>
      </c>
      <c r="L40" s="519">
        <v>3063</v>
      </c>
    </row>
    <row r="41" spans="1:12" ht="15.75" customHeight="1" x14ac:dyDescent="0.4">
      <c r="C41" s="328"/>
      <c r="D41" s="328"/>
      <c r="E41" s="328"/>
      <c r="J41" s="422">
        <v>17917</v>
      </c>
      <c r="K41" s="520" t="s">
        <v>1180</v>
      </c>
      <c r="L41" s="522">
        <v>4263</v>
      </c>
    </row>
    <row r="42" spans="1:12" ht="15" customHeight="1" x14ac:dyDescent="0.4">
      <c r="B42" s="328"/>
      <c r="C42" s="328"/>
      <c r="D42" s="328"/>
      <c r="E42" s="328"/>
      <c r="J42" s="422">
        <v>18901</v>
      </c>
      <c r="K42" s="429" t="s">
        <v>1168</v>
      </c>
      <c r="L42" s="519">
        <v>4260</v>
      </c>
    </row>
    <row r="43" spans="1:12" ht="15.75" customHeight="1" x14ac:dyDescent="0.4">
      <c r="B43" s="328"/>
      <c r="C43" s="328"/>
      <c r="D43" s="328"/>
      <c r="E43" s="328"/>
      <c r="J43" s="422">
        <v>27901</v>
      </c>
      <c r="K43" s="520" t="s">
        <v>1135</v>
      </c>
      <c r="L43" s="519">
        <v>4174</v>
      </c>
    </row>
    <row r="44" spans="1:12" x14ac:dyDescent="0.4">
      <c r="J44" s="422">
        <v>27904</v>
      </c>
      <c r="K44" s="427" t="s">
        <v>1031</v>
      </c>
      <c r="L44" s="519">
        <v>2631</v>
      </c>
    </row>
    <row r="45" spans="1:12" x14ac:dyDescent="0.4">
      <c r="J45" s="422">
        <v>31801</v>
      </c>
      <c r="K45" s="426" t="s">
        <v>1036</v>
      </c>
      <c r="L45" s="519">
        <v>1597</v>
      </c>
    </row>
    <row r="46" spans="1:12" x14ac:dyDescent="0.4">
      <c r="J46" s="422">
        <v>32901</v>
      </c>
      <c r="K46" s="427" t="s">
        <v>1034</v>
      </c>
      <c r="L46" s="519">
        <v>2632</v>
      </c>
    </row>
    <row r="47" spans="1:12" x14ac:dyDescent="0.4">
      <c r="J47" s="521">
        <v>32903</v>
      </c>
      <c r="K47" s="429" t="s">
        <v>1170</v>
      </c>
      <c r="L47" s="519">
        <v>4258</v>
      </c>
    </row>
    <row r="48" spans="1:12" x14ac:dyDescent="0.4">
      <c r="J48" s="422">
        <v>32907</v>
      </c>
      <c r="K48" s="427" t="s">
        <v>1037</v>
      </c>
      <c r="L48" s="519">
        <v>2635</v>
      </c>
    </row>
    <row r="49" spans="10:12" x14ac:dyDescent="0.4">
      <c r="J49" s="422">
        <v>37902</v>
      </c>
      <c r="K49" s="520" t="s">
        <v>1182</v>
      </c>
      <c r="L49" s="522">
        <v>4276</v>
      </c>
    </row>
    <row r="50" spans="10:12" x14ac:dyDescent="0.4">
      <c r="J50" s="422">
        <v>38901</v>
      </c>
      <c r="K50" s="520" t="s">
        <v>1184</v>
      </c>
      <c r="L50" s="523">
        <v>4280</v>
      </c>
    </row>
    <row r="51" spans="10:12" x14ac:dyDescent="0.4">
      <c r="J51" s="422">
        <v>99999</v>
      </c>
      <c r="K51" s="520" t="s">
        <v>1186</v>
      </c>
      <c r="L51" s="524">
        <v>4279</v>
      </c>
    </row>
  </sheetData>
  <sortState xmlns:xlrd2="http://schemas.microsoft.com/office/spreadsheetml/2017/richdata2" ref="J35:L51">
    <sortCondition ref="J35:J51"/>
  </sortState>
  <mergeCells count="7">
    <mergeCell ref="I22:M31"/>
    <mergeCell ref="I20:M20"/>
    <mergeCell ref="I1:M4"/>
    <mergeCell ref="B2:F4"/>
    <mergeCell ref="A1:G1"/>
    <mergeCell ref="G2:G3"/>
    <mergeCell ref="A2:A3"/>
  </mergeCells>
  <printOptions horizontalCentered="1"/>
  <pageMargins left="0" right="0" top="0.75" bottom="0.75" header="0.3" footer="0.3"/>
  <pageSetup scale="8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'Collective NPL'!$A$7:$A$325</xm:f>
          </x14:formula1>
          <xm:sqref>A5</xm:sqref>
        </x14:dataValidation>
        <x14:dataValidation type="list" allowBlank="1" showInputMessage="1" showErrorMessage="1" xr:uid="{00000000-0002-0000-0200-000001000000}">
          <x14:formula1>
            <xm:f>'Collective NPL'!$A$7:$A$334</xm:f>
          </x14:formula1>
          <xm:sqref>A4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B368"/>
  <sheetViews>
    <sheetView workbookViewId="0">
      <pane xSplit="3" ySplit="6" topLeftCell="D19" activePane="bottomRight" state="frozen"/>
      <selection pane="topRight" activeCell="D1" sqref="D1"/>
      <selection pane="bottomLeft" activeCell="A7" sqref="A7"/>
      <selection pane="bottomRight" activeCell="F45" sqref="F45"/>
    </sheetView>
  </sheetViews>
  <sheetFormatPr defaultRowHeight="14.4" x14ac:dyDescent="0.3"/>
  <cols>
    <col min="2" max="2" width="6.5546875" bestFit="1" customWidth="1"/>
    <col min="3" max="3" width="48" bestFit="1" customWidth="1"/>
    <col min="4" max="4" width="6" bestFit="1" customWidth="1"/>
    <col min="5" max="5" width="7" customWidth="1"/>
    <col min="6" max="6" width="6.5546875" bestFit="1" customWidth="1"/>
    <col min="7" max="7" width="7.5546875" bestFit="1" customWidth="1"/>
    <col min="8" max="8" width="4.6640625" bestFit="1" customWidth="1"/>
    <col min="9" max="9" width="45.44140625" customWidth="1"/>
    <col min="10" max="10" width="16.44140625" customWidth="1"/>
    <col min="11" max="12" width="6.44140625" bestFit="1" customWidth="1"/>
    <col min="13" max="13" width="9.33203125" bestFit="1" customWidth="1"/>
    <col min="14" max="14" width="5.5546875" bestFit="1" customWidth="1"/>
    <col min="15" max="15" width="48" bestFit="1" customWidth="1"/>
    <col min="16" max="16" width="1.109375" customWidth="1"/>
    <col min="17" max="17" width="12.5546875" bestFit="1" customWidth="1"/>
    <col min="18" max="18" width="12.6640625" customWidth="1"/>
    <col min="19" max="21" width="3" hidden="1" customWidth="1"/>
    <col min="22" max="25" width="14.33203125" hidden="1" customWidth="1"/>
    <col min="26" max="26" width="15" hidden="1" customWidth="1"/>
    <col min="27" max="29" width="14.33203125" bestFit="1" customWidth="1"/>
    <col min="30" max="32" width="3" hidden="1" customWidth="1"/>
    <col min="33" max="33" width="14.33203125" hidden="1" customWidth="1"/>
    <col min="34" max="35" width="12.5546875" hidden="1" customWidth="1"/>
    <col min="36" max="36" width="14.33203125" hidden="1" customWidth="1"/>
    <col min="37" max="37" width="15" hidden="1" customWidth="1"/>
    <col min="38" max="40" width="12.5546875" bestFit="1" customWidth="1"/>
    <col min="41" max="43" width="3" hidden="1" customWidth="1"/>
    <col min="44" max="44" width="9.109375" hidden="1" customWidth="1"/>
    <col min="45" max="48" width="14.33203125" hidden="1" customWidth="1"/>
    <col min="49" max="50" width="15" bestFit="1" customWidth="1"/>
    <col min="51" max="51" width="14.33203125" bestFit="1" customWidth="1"/>
    <col min="52" max="54" width="3" hidden="1" customWidth="1"/>
    <col min="56" max="56" width="15.33203125" bestFit="1" customWidth="1"/>
    <col min="57" max="59" width="14.33203125" bestFit="1" customWidth="1"/>
  </cols>
  <sheetData>
    <row r="1" spans="1:17" x14ac:dyDescent="0.3">
      <c r="A1" s="185">
        <v>1</v>
      </c>
      <c r="B1" s="185">
        <v>2</v>
      </c>
      <c r="C1" s="185">
        <v>3</v>
      </c>
    </row>
    <row r="5" spans="1:17" ht="15" thickBot="1" x14ac:dyDescent="0.35"/>
    <row r="6" spans="1:17" ht="19.8" thickBot="1" x14ac:dyDescent="0.35">
      <c r="A6" s="188" t="s">
        <v>7</v>
      </c>
      <c r="B6" s="188" t="s">
        <v>8</v>
      </c>
      <c r="C6" s="116" t="s">
        <v>6</v>
      </c>
      <c r="F6" s="418" t="s">
        <v>1038</v>
      </c>
      <c r="G6" s="419" t="s">
        <v>7</v>
      </c>
      <c r="H6" s="420" t="s">
        <v>8</v>
      </c>
      <c r="I6" s="420" t="s">
        <v>6</v>
      </c>
      <c r="L6" t="s">
        <v>1199</v>
      </c>
      <c r="M6" s="488" t="s">
        <v>7</v>
      </c>
      <c r="N6" s="489" t="s">
        <v>8</v>
      </c>
      <c r="O6" s="490" t="s">
        <v>6</v>
      </c>
      <c r="Q6" s="491"/>
    </row>
    <row r="7" spans="1:17" x14ac:dyDescent="0.3">
      <c r="A7" s="436">
        <v>1109</v>
      </c>
      <c r="B7" s="188" t="s">
        <v>18</v>
      </c>
      <c r="C7" s="36" t="s">
        <v>590</v>
      </c>
      <c r="D7" s="125"/>
      <c r="E7">
        <v>7</v>
      </c>
      <c r="F7" s="421">
        <v>1064</v>
      </c>
      <c r="G7" s="436">
        <v>1109</v>
      </c>
      <c r="H7" s="422" t="s">
        <v>18</v>
      </c>
      <c r="I7" s="423" t="s">
        <v>590</v>
      </c>
      <c r="K7" s="507">
        <f t="shared" ref="K7:K70" si="0">+L7-F7</f>
        <v>0</v>
      </c>
      <c r="L7" s="494">
        <v>1064</v>
      </c>
      <c r="M7" s="505">
        <v>1109</v>
      </c>
      <c r="N7" s="492" t="s">
        <v>18</v>
      </c>
      <c r="O7" s="493" t="s">
        <v>590</v>
      </c>
      <c r="Q7" s="491">
        <v>1</v>
      </c>
    </row>
    <row r="8" spans="1:17" x14ac:dyDescent="0.3">
      <c r="A8" s="436">
        <v>1122</v>
      </c>
      <c r="B8" s="116" t="s">
        <v>18</v>
      </c>
      <c r="C8" s="108" t="s">
        <v>39</v>
      </c>
      <c r="D8" s="125"/>
      <c r="E8">
        <f t="shared" ref="E8:E71" si="1">+E7+1</f>
        <v>8</v>
      </c>
      <c r="F8" s="421">
        <v>57</v>
      </c>
      <c r="G8" s="436">
        <v>1122</v>
      </c>
      <c r="H8" s="422" t="s">
        <v>18</v>
      </c>
      <c r="I8" s="423" t="s">
        <v>39</v>
      </c>
      <c r="K8" s="508">
        <f t="shared" si="0"/>
        <v>0</v>
      </c>
      <c r="L8" s="421">
        <v>57</v>
      </c>
      <c r="M8" s="504">
        <v>1122</v>
      </c>
      <c r="N8" s="422" t="s">
        <v>18</v>
      </c>
      <c r="O8" s="432" t="s">
        <v>39</v>
      </c>
      <c r="Q8" s="491">
        <f t="shared" ref="Q8:Q44" si="2">+Q7+1</f>
        <v>2</v>
      </c>
    </row>
    <row r="9" spans="1:17" x14ac:dyDescent="0.3">
      <c r="A9" s="436">
        <v>1147</v>
      </c>
      <c r="B9" s="116" t="s">
        <v>26</v>
      </c>
      <c r="C9" s="108" t="s">
        <v>400</v>
      </c>
      <c r="D9" s="125"/>
      <c r="E9">
        <f t="shared" si="1"/>
        <v>9</v>
      </c>
      <c r="F9" s="421">
        <v>695</v>
      </c>
      <c r="G9" s="436">
        <v>1147</v>
      </c>
      <c r="H9" s="422" t="s">
        <v>26</v>
      </c>
      <c r="I9" s="423" t="s">
        <v>400</v>
      </c>
      <c r="K9" s="508">
        <f t="shared" si="0"/>
        <v>0</v>
      </c>
      <c r="L9" s="421">
        <v>695</v>
      </c>
      <c r="M9" s="504">
        <v>1147</v>
      </c>
      <c r="N9" s="422" t="s">
        <v>26</v>
      </c>
      <c r="O9" s="432" t="s">
        <v>400</v>
      </c>
      <c r="Q9" s="491">
        <f t="shared" si="2"/>
        <v>3</v>
      </c>
    </row>
    <row r="10" spans="1:17" x14ac:dyDescent="0.3">
      <c r="A10" s="436">
        <v>1158</v>
      </c>
      <c r="B10" s="116" t="s">
        <v>18</v>
      </c>
      <c r="C10" s="108" t="s">
        <v>270</v>
      </c>
      <c r="D10" s="125"/>
      <c r="E10">
        <f t="shared" si="1"/>
        <v>10</v>
      </c>
      <c r="F10" s="421">
        <v>543</v>
      </c>
      <c r="G10" s="436">
        <v>1158</v>
      </c>
      <c r="H10" s="422" t="s">
        <v>18</v>
      </c>
      <c r="I10" s="423" t="s">
        <v>270</v>
      </c>
      <c r="K10" s="508">
        <f t="shared" si="0"/>
        <v>0</v>
      </c>
      <c r="L10" s="421">
        <v>543</v>
      </c>
      <c r="M10" s="504">
        <v>1158</v>
      </c>
      <c r="N10" s="422" t="s">
        <v>18</v>
      </c>
      <c r="O10" s="432" t="s">
        <v>270</v>
      </c>
      <c r="Q10" s="491">
        <f t="shared" si="2"/>
        <v>4</v>
      </c>
    </row>
    <row r="11" spans="1:17" x14ac:dyDescent="0.3">
      <c r="A11" s="436">
        <v>1160</v>
      </c>
      <c r="B11" s="116" t="s">
        <v>18</v>
      </c>
      <c r="C11" s="108" t="s">
        <v>458</v>
      </c>
      <c r="D11" s="125"/>
      <c r="E11">
        <f t="shared" si="1"/>
        <v>11</v>
      </c>
      <c r="F11" s="421">
        <v>814</v>
      </c>
      <c r="G11" s="436">
        <v>1160</v>
      </c>
      <c r="H11" s="422" t="s">
        <v>18</v>
      </c>
      <c r="I11" s="423" t="s">
        <v>458</v>
      </c>
      <c r="K11" s="508">
        <f t="shared" si="0"/>
        <v>0</v>
      </c>
      <c r="L11" s="421">
        <v>814</v>
      </c>
      <c r="M11" s="504">
        <v>1160</v>
      </c>
      <c r="N11" s="422" t="s">
        <v>18</v>
      </c>
      <c r="O11" s="432" t="s">
        <v>458</v>
      </c>
      <c r="Q11" s="491">
        <f t="shared" si="2"/>
        <v>5</v>
      </c>
    </row>
    <row r="12" spans="1:17" x14ac:dyDescent="0.3">
      <c r="A12" s="436">
        <v>2250</v>
      </c>
      <c r="B12" s="116" t="s">
        <v>26</v>
      </c>
      <c r="C12" s="108" t="s">
        <v>90</v>
      </c>
      <c r="D12" s="125"/>
      <c r="E12">
        <f t="shared" si="1"/>
        <v>12</v>
      </c>
      <c r="F12" s="421">
        <v>156</v>
      </c>
      <c r="G12" s="436">
        <v>2250</v>
      </c>
      <c r="H12" s="422" t="s">
        <v>26</v>
      </c>
      <c r="I12" s="423" t="s">
        <v>90</v>
      </c>
      <c r="K12" s="508">
        <f t="shared" si="0"/>
        <v>0</v>
      </c>
      <c r="L12" s="421">
        <v>156</v>
      </c>
      <c r="M12" s="504">
        <v>2250</v>
      </c>
      <c r="N12" s="422" t="s">
        <v>26</v>
      </c>
      <c r="O12" s="432" t="s">
        <v>90</v>
      </c>
      <c r="Q12" s="491">
        <f t="shared" si="2"/>
        <v>6</v>
      </c>
    </row>
    <row r="13" spans="1:17" x14ac:dyDescent="0.3">
      <c r="A13" s="436">
        <v>2420</v>
      </c>
      <c r="B13" s="116" t="s">
        <v>26</v>
      </c>
      <c r="C13" s="108" t="s">
        <v>24</v>
      </c>
      <c r="D13" s="125"/>
      <c r="E13">
        <f t="shared" si="1"/>
        <v>13</v>
      </c>
      <c r="F13" s="421">
        <v>29</v>
      </c>
      <c r="G13" s="436">
        <v>2420</v>
      </c>
      <c r="H13" s="422" t="s">
        <v>26</v>
      </c>
      <c r="I13" s="423" t="s">
        <v>24</v>
      </c>
      <c r="K13" s="508">
        <f t="shared" si="0"/>
        <v>0</v>
      </c>
      <c r="L13" s="421">
        <v>29</v>
      </c>
      <c r="M13" s="504">
        <v>2420</v>
      </c>
      <c r="N13" s="422" t="s">
        <v>26</v>
      </c>
      <c r="O13" s="432" t="s">
        <v>24</v>
      </c>
      <c r="Q13" s="491">
        <f t="shared" si="2"/>
        <v>7</v>
      </c>
    </row>
    <row r="14" spans="1:17" x14ac:dyDescent="0.3">
      <c r="A14" s="436">
        <v>3017</v>
      </c>
      <c r="B14" s="116" t="s">
        <v>26</v>
      </c>
      <c r="C14" s="108" t="s">
        <v>240</v>
      </c>
      <c r="D14" s="125"/>
      <c r="E14">
        <f t="shared" si="1"/>
        <v>14</v>
      </c>
      <c r="F14" s="421">
        <v>433</v>
      </c>
      <c r="G14" s="436">
        <v>3017</v>
      </c>
      <c r="H14" s="422" t="s">
        <v>26</v>
      </c>
      <c r="I14" s="423" t="s">
        <v>240</v>
      </c>
      <c r="K14" s="508">
        <f t="shared" si="0"/>
        <v>0</v>
      </c>
      <c r="L14" s="421">
        <v>433</v>
      </c>
      <c r="M14" s="504">
        <v>3017</v>
      </c>
      <c r="N14" s="422" t="s">
        <v>26</v>
      </c>
      <c r="O14" s="432" t="s">
        <v>240</v>
      </c>
      <c r="Q14" s="491">
        <f t="shared" si="2"/>
        <v>8</v>
      </c>
    </row>
    <row r="15" spans="1:17" x14ac:dyDescent="0.3">
      <c r="A15" s="436">
        <v>3050</v>
      </c>
      <c r="B15" s="116" t="s">
        <v>26</v>
      </c>
      <c r="C15" s="108" t="s">
        <v>410</v>
      </c>
      <c r="D15" s="125"/>
      <c r="E15">
        <f t="shared" si="1"/>
        <v>15</v>
      </c>
      <c r="F15" s="421">
        <v>712</v>
      </c>
      <c r="G15" s="436">
        <v>3050</v>
      </c>
      <c r="H15" s="422" t="s">
        <v>26</v>
      </c>
      <c r="I15" s="423" t="s">
        <v>410</v>
      </c>
      <c r="K15" s="508">
        <f t="shared" si="0"/>
        <v>0</v>
      </c>
      <c r="L15" s="421">
        <v>712</v>
      </c>
      <c r="M15" s="504">
        <v>3050</v>
      </c>
      <c r="N15" s="422" t="s">
        <v>26</v>
      </c>
      <c r="O15" s="432" t="s">
        <v>410</v>
      </c>
      <c r="Q15" s="491">
        <f t="shared" si="2"/>
        <v>9</v>
      </c>
    </row>
    <row r="16" spans="1:17" x14ac:dyDescent="0.3">
      <c r="A16" s="436">
        <v>3052</v>
      </c>
      <c r="B16" s="116" t="s">
        <v>26</v>
      </c>
      <c r="C16" s="108" t="s">
        <v>246</v>
      </c>
      <c r="D16" s="125"/>
      <c r="E16">
        <f t="shared" si="1"/>
        <v>16</v>
      </c>
      <c r="F16" s="421">
        <v>483</v>
      </c>
      <c r="G16" s="436">
        <v>3052</v>
      </c>
      <c r="H16" s="422" t="s">
        <v>26</v>
      </c>
      <c r="I16" s="423" t="s">
        <v>246</v>
      </c>
      <c r="K16" s="508">
        <f t="shared" si="0"/>
        <v>0</v>
      </c>
      <c r="L16" s="421">
        <v>483</v>
      </c>
      <c r="M16" s="504">
        <v>3052</v>
      </c>
      <c r="N16" s="422" t="s">
        <v>26</v>
      </c>
      <c r="O16" s="432" t="s">
        <v>246</v>
      </c>
      <c r="Q16" s="491">
        <f t="shared" si="2"/>
        <v>10</v>
      </c>
    </row>
    <row r="17" spans="1:17" x14ac:dyDescent="0.3">
      <c r="A17" s="436">
        <v>3053</v>
      </c>
      <c r="B17" s="116" t="s">
        <v>26</v>
      </c>
      <c r="C17" s="108" t="s">
        <v>186</v>
      </c>
      <c r="D17" s="125"/>
      <c r="E17">
        <f t="shared" si="1"/>
        <v>17</v>
      </c>
      <c r="F17" s="421">
        <v>305</v>
      </c>
      <c r="G17" s="436">
        <v>3053</v>
      </c>
      <c r="H17" s="422" t="s">
        <v>26</v>
      </c>
      <c r="I17" s="423" t="s">
        <v>186</v>
      </c>
      <c r="K17" s="508">
        <f t="shared" si="0"/>
        <v>0</v>
      </c>
      <c r="L17" s="421">
        <v>305</v>
      </c>
      <c r="M17" s="504">
        <v>3053</v>
      </c>
      <c r="N17" s="422" t="s">
        <v>26</v>
      </c>
      <c r="O17" s="432" t="s">
        <v>186</v>
      </c>
      <c r="Q17" s="491">
        <f t="shared" si="2"/>
        <v>11</v>
      </c>
    </row>
    <row r="18" spans="1:17" x14ac:dyDescent="0.3">
      <c r="A18" s="436">
        <v>3116</v>
      </c>
      <c r="B18" s="116" t="s">
        <v>26</v>
      </c>
      <c r="C18" s="108" t="s">
        <v>426</v>
      </c>
      <c r="D18" s="125"/>
      <c r="E18">
        <f t="shared" si="1"/>
        <v>18</v>
      </c>
      <c r="F18" s="421">
        <v>767</v>
      </c>
      <c r="G18" s="436">
        <v>3116</v>
      </c>
      <c r="H18" s="422" t="s">
        <v>26</v>
      </c>
      <c r="I18" s="423" t="s">
        <v>426</v>
      </c>
      <c r="K18" s="508">
        <f t="shared" si="0"/>
        <v>0</v>
      </c>
      <c r="L18" s="421">
        <v>767</v>
      </c>
      <c r="M18" s="504">
        <v>3116</v>
      </c>
      <c r="N18" s="422" t="s">
        <v>26</v>
      </c>
      <c r="O18" s="432" t="s">
        <v>426</v>
      </c>
      <c r="Q18" s="491">
        <f t="shared" si="2"/>
        <v>12</v>
      </c>
    </row>
    <row r="19" spans="1:17" x14ac:dyDescent="0.3">
      <c r="A19" s="436">
        <v>3400</v>
      </c>
      <c r="B19" s="116" t="s">
        <v>26</v>
      </c>
      <c r="C19" s="108" t="s">
        <v>454</v>
      </c>
      <c r="D19" s="125"/>
      <c r="E19">
        <f t="shared" si="1"/>
        <v>19</v>
      </c>
      <c r="F19" s="421">
        <v>810</v>
      </c>
      <c r="G19" s="436">
        <v>3400</v>
      </c>
      <c r="H19" s="422" t="s">
        <v>26</v>
      </c>
      <c r="I19" s="423" t="s">
        <v>454</v>
      </c>
      <c r="K19" s="508">
        <f t="shared" si="0"/>
        <v>0</v>
      </c>
      <c r="L19" s="421">
        <v>810</v>
      </c>
      <c r="M19" s="504">
        <v>3400</v>
      </c>
      <c r="N19" s="422" t="s">
        <v>26</v>
      </c>
      <c r="O19" s="432" t="s">
        <v>454</v>
      </c>
      <c r="Q19" s="491">
        <f t="shared" si="2"/>
        <v>13</v>
      </c>
    </row>
    <row r="20" spans="1:17" x14ac:dyDescent="0.3">
      <c r="A20" s="436">
        <v>4019</v>
      </c>
      <c r="B20" s="116" t="s">
        <v>55</v>
      </c>
      <c r="C20" s="108" t="s">
        <v>286</v>
      </c>
      <c r="D20" s="125"/>
      <c r="E20">
        <f t="shared" si="1"/>
        <v>20</v>
      </c>
      <c r="F20" s="421">
        <v>564</v>
      </c>
      <c r="G20" s="436">
        <v>4019</v>
      </c>
      <c r="H20" s="422" t="s">
        <v>55</v>
      </c>
      <c r="I20" s="423" t="s">
        <v>286</v>
      </c>
      <c r="K20" s="508">
        <f t="shared" si="0"/>
        <v>0</v>
      </c>
      <c r="L20" s="421">
        <v>564</v>
      </c>
      <c r="M20" s="504">
        <v>4019</v>
      </c>
      <c r="N20" s="422" t="s">
        <v>55</v>
      </c>
      <c r="O20" s="432" t="s">
        <v>286</v>
      </c>
      <c r="Q20" s="491">
        <f t="shared" si="2"/>
        <v>14</v>
      </c>
    </row>
    <row r="21" spans="1:17" x14ac:dyDescent="0.3">
      <c r="A21" s="436">
        <v>4069</v>
      </c>
      <c r="B21" s="116" t="s">
        <v>55</v>
      </c>
      <c r="C21" s="108" t="s">
        <v>522</v>
      </c>
      <c r="D21" s="125"/>
      <c r="E21">
        <f t="shared" si="1"/>
        <v>21</v>
      </c>
      <c r="F21" s="421">
        <v>1412</v>
      </c>
      <c r="G21" s="436">
        <v>4069</v>
      </c>
      <c r="H21" s="422" t="s">
        <v>55</v>
      </c>
      <c r="I21" s="423" t="s">
        <v>522</v>
      </c>
      <c r="K21" s="508">
        <f t="shared" si="0"/>
        <v>0</v>
      </c>
      <c r="L21" s="421">
        <v>1412</v>
      </c>
      <c r="M21" s="504">
        <v>4069</v>
      </c>
      <c r="N21" s="422" t="s">
        <v>55</v>
      </c>
      <c r="O21" s="432" t="s">
        <v>522</v>
      </c>
      <c r="Q21" s="491">
        <f t="shared" si="2"/>
        <v>15</v>
      </c>
    </row>
    <row r="22" spans="1:17" x14ac:dyDescent="0.3">
      <c r="A22" s="436">
        <v>4127</v>
      </c>
      <c r="B22" s="116" t="s">
        <v>55</v>
      </c>
      <c r="C22" s="108" t="s">
        <v>166</v>
      </c>
      <c r="D22" s="125"/>
      <c r="E22">
        <f t="shared" si="1"/>
        <v>22</v>
      </c>
      <c r="F22" s="421">
        <v>278</v>
      </c>
      <c r="G22" s="436">
        <v>4127</v>
      </c>
      <c r="H22" s="422" t="s">
        <v>55</v>
      </c>
      <c r="I22" s="423" t="s">
        <v>166</v>
      </c>
      <c r="K22" s="508">
        <f t="shared" si="0"/>
        <v>0</v>
      </c>
      <c r="L22" s="421">
        <v>278</v>
      </c>
      <c r="M22" s="504">
        <v>4127</v>
      </c>
      <c r="N22" s="422" t="s">
        <v>55</v>
      </c>
      <c r="O22" s="432" t="s">
        <v>166</v>
      </c>
      <c r="Q22" s="491">
        <f t="shared" si="2"/>
        <v>16</v>
      </c>
    </row>
    <row r="23" spans="1:17" x14ac:dyDescent="0.3">
      <c r="A23" s="436">
        <v>4129</v>
      </c>
      <c r="B23" s="116" t="s">
        <v>55</v>
      </c>
      <c r="C23" s="108" t="s">
        <v>258</v>
      </c>
      <c r="D23" s="125"/>
      <c r="E23">
        <f t="shared" si="1"/>
        <v>23</v>
      </c>
      <c r="F23" s="421">
        <v>514</v>
      </c>
      <c r="G23" s="436">
        <v>4129</v>
      </c>
      <c r="H23" s="422" t="s">
        <v>55</v>
      </c>
      <c r="I23" s="423" t="s">
        <v>258</v>
      </c>
      <c r="K23" s="508">
        <f t="shared" si="0"/>
        <v>0</v>
      </c>
      <c r="L23" s="421">
        <v>514</v>
      </c>
      <c r="M23" s="504">
        <v>4129</v>
      </c>
      <c r="N23" s="422" t="s">
        <v>55</v>
      </c>
      <c r="O23" s="432" t="s">
        <v>258</v>
      </c>
      <c r="Q23" s="491">
        <f t="shared" si="2"/>
        <v>17</v>
      </c>
    </row>
    <row r="24" spans="1:17" x14ac:dyDescent="0.3">
      <c r="A24" s="436">
        <v>4222</v>
      </c>
      <c r="B24" s="116" t="s">
        <v>55</v>
      </c>
      <c r="C24" s="108" t="s">
        <v>70</v>
      </c>
      <c r="D24" s="125"/>
      <c r="E24">
        <f t="shared" si="1"/>
        <v>24</v>
      </c>
      <c r="F24" s="421">
        <v>106</v>
      </c>
      <c r="G24" s="436">
        <v>4222</v>
      </c>
      <c r="H24" s="422" t="s">
        <v>55</v>
      </c>
      <c r="I24" s="423" t="s">
        <v>70</v>
      </c>
      <c r="K24" s="508">
        <f t="shared" si="0"/>
        <v>0</v>
      </c>
      <c r="L24" s="421">
        <v>106</v>
      </c>
      <c r="M24" s="504">
        <v>4222</v>
      </c>
      <c r="N24" s="422" t="s">
        <v>55</v>
      </c>
      <c r="O24" s="432" t="s">
        <v>70</v>
      </c>
      <c r="Q24" s="491">
        <f t="shared" si="2"/>
        <v>18</v>
      </c>
    </row>
    <row r="25" spans="1:17" x14ac:dyDescent="0.3">
      <c r="A25" s="436">
        <v>4228</v>
      </c>
      <c r="B25" s="116" t="s">
        <v>55</v>
      </c>
      <c r="C25" s="108" t="s">
        <v>68</v>
      </c>
      <c r="D25" s="125"/>
      <c r="E25">
        <f t="shared" si="1"/>
        <v>25</v>
      </c>
      <c r="F25" s="421">
        <v>103</v>
      </c>
      <c r="G25" s="436">
        <v>4228</v>
      </c>
      <c r="H25" s="422" t="s">
        <v>55</v>
      </c>
      <c r="I25" s="423" t="s">
        <v>68</v>
      </c>
      <c r="K25" s="508">
        <f t="shared" si="0"/>
        <v>0</v>
      </c>
      <c r="L25" s="421">
        <v>103</v>
      </c>
      <c r="M25" s="504">
        <v>4228</v>
      </c>
      <c r="N25" s="422" t="s">
        <v>55</v>
      </c>
      <c r="O25" s="432" t="s">
        <v>68</v>
      </c>
      <c r="Q25" s="491">
        <f t="shared" si="2"/>
        <v>19</v>
      </c>
    </row>
    <row r="26" spans="1:17" x14ac:dyDescent="0.3">
      <c r="A26" s="436">
        <v>4246</v>
      </c>
      <c r="B26" s="116" t="s">
        <v>55</v>
      </c>
      <c r="C26" s="108" t="s">
        <v>596</v>
      </c>
      <c r="D26" s="125"/>
      <c r="E26">
        <f t="shared" si="1"/>
        <v>26</v>
      </c>
      <c r="F26" s="421">
        <v>1073</v>
      </c>
      <c r="G26" s="436">
        <v>4246</v>
      </c>
      <c r="H26" s="422" t="s">
        <v>55</v>
      </c>
      <c r="I26" s="423" t="s">
        <v>596</v>
      </c>
      <c r="K26" s="508">
        <f t="shared" si="0"/>
        <v>0</v>
      </c>
      <c r="L26" s="421">
        <v>1073</v>
      </c>
      <c r="M26" s="504">
        <v>4246</v>
      </c>
      <c r="N26" s="422" t="s">
        <v>55</v>
      </c>
      <c r="O26" s="432" t="s">
        <v>596</v>
      </c>
      <c r="Q26" s="491">
        <f t="shared" si="2"/>
        <v>20</v>
      </c>
    </row>
    <row r="27" spans="1:17" x14ac:dyDescent="0.3">
      <c r="A27" s="436">
        <v>4801</v>
      </c>
      <c r="B27" s="116">
        <v>171</v>
      </c>
      <c r="C27" s="525" t="s">
        <v>344</v>
      </c>
      <c r="D27" s="125"/>
      <c r="E27">
        <f t="shared" si="1"/>
        <v>27</v>
      </c>
      <c r="F27" s="421">
        <v>266</v>
      </c>
      <c r="G27" s="436">
        <v>4801</v>
      </c>
      <c r="H27" s="422">
        <v>171</v>
      </c>
      <c r="I27" s="520" t="s">
        <v>344</v>
      </c>
      <c r="K27" s="508">
        <f t="shared" si="0"/>
        <v>0</v>
      </c>
      <c r="L27" s="421">
        <v>266</v>
      </c>
      <c r="M27" s="504">
        <v>4801</v>
      </c>
      <c r="N27" s="422">
        <v>171</v>
      </c>
      <c r="O27" s="526" t="s">
        <v>344</v>
      </c>
      <c r="Q27" s="491">
        <f t="shared" si="2"/>
        <v>21</v>
      </c>
    </row>
    <row r="28" spans="1:17" x14ac:dyDescent="0.3">
      <c r="A28" s="437">
        <v>4901</v>
      </c>
      <c r="B28" s="425" t="s">
        <v>1039</v>
      </c>
      <c r="C28" s="447" t="s">
        <v>1194</v>
      </c>
      <c r="D28" s="125"/>
      <c r="E28">
        <f t="shared" si="1"/>
        <v>28</v>
      </c>
      <c r="F28" s="247">
        <v>4281</v>
      </c>
      <c r="G28" s="437">
        <v>4901</v>
      </c>
      <c r="H28" s="425" t="s">
        <v>1039</v>
      </c>
      <c r="I28" s="447" t="s">
        <v>1194</v>
      </c>
      <c r="K28" s="508">
        <f t="shared" si="0"/>
        <v>0</v>
      </c>
      <c r="L28" s="496">
        <v>4281</v>
      </c>
      <c r="M28" s="504">
        <v>4901</v>
      </c>
      <c r="N28" s="425" t="s">
        <v>1039</v>
      </c>
      <c r="O28" s="447" t="s">
        <v>1194</v>
      </c>
      <c r="Q28" s="491">
        <f t="shared" si="2"/>
        <v>22</v>
      </c>
    </row>
    <row r="29" spans="1:17" x14ac:dyDescent="0.3">
      <c r="A29" s="436">
        <v>5121</v>
      </c>
      <c r="B29" s="116" t="s">
        <v>52</v>
      </c>
      <c r="C29" s="108" t="s">
        <v>420</v>
      </c>
      <c r="D29" s="125"/>
      <c r="E29">
        <f t="shared" si="1"/>
        <v>29</v>
      </c>
      <c r="F29" s="421">
        <v>753</v>
      </c>
      <c r="G29" s="436">
        <v>5121</v>
      </c>
      <c r="H29" s="422" t="s">
        <v>52</v>
      </c>
      <c r="I29" s="423" t="s">
        <v>420</v>
      </c>
      <c r="K29" s="508">
        <f t="shared" si="0"/>
        <v>0</v>
      </c>
      <c r="L29" s="421">
        <v>753</v>
      </c>
      <c r="M29" s="504">
        <v>5121</v>
      </c>
      <c r="N29" s="422" t="s">
        <v>52</v>
      </c>
      <c r="O29" s="432" t="s">
        <v>420</v>
      </c>
      <c r="Q29" s="491">
        <f t="shared" si="2"/>
        <v>23</v>
      </c>
    </row>
    <row r="30" spans="1:17" x14ac:dyDescent="0.3">
      <c r="A30" s="436">
        <v>5313</v>
      </c>
      <c r="B30" s="116" t="s">
        <v>52</v>
      </c>
      <c r="C30" s="108" t="s">
        <v>118</v>
      </c>
      <c r="D30" s="125"/>
      <c r="E30">
        <f t="shared" si="1"/>
        <v>30</v>
      </c>
      <c r="F30" s="421">
        <v>210</v>
      </c>
      <c r="G30" s="436">
        <v>5313</v>
      </c>
      <c r="H30" s="422" t="s">
        <v>52</v>
      </c>
      <c r="I30" s="423" t="s">
        <v>118</v>
      </c>
      <c r="K30" s="508">
        <f t="shared" si="0"/>
        <v>0</v>
      </c>
      <c r="L30" s="421">
        <v>210</v>
      </c>
      <c r="M30" s="504">
        <v>5313</v>
      </c>
      <c r="N30" s="422" t="s">
        <v>52</v>
      </c>
      <c r="O30" s="432" t="s">
        <v>118</v>
      </c>
      <c r="Q30" s="491">
        <f t="shared" si="2"/>
        <v>24</v>
      </c>
    </row>
    <row r="31" spans="1:17" x14ac:dyDescent="0.3">
      <c r="A31" s="436">
        <v>5323</v>
      </c>
      <c r="B31" s="116" t="s">
        <v>52</v>
      </c>
      <c r="C31" s="108" t="s">
        <v>486</v>
      </c>
      <c r="D31" s="125"/>
      <c r="E31">
        <f t="shared" si="1"/>
        <v>31</v>
      </c>
      <c r="F31" s="421">
        <v>857</v>
      </c>
      <c r="G31" s="436">
        <v>5323</v>
      </c>
      <c r="H31" s="422" t="s">
        <v>52</v>
      </c>
      <c r="I31" s="423" t="s">
        <v>486</v>
      </c>
      <c r="K31" s="508">
        <f t="shared" si="0"/>
        <v>0</v>
      </c>
      <c r="L31" s="421">
        <v>857</v>
      </c>
      <c r="M31" s="504">
        <v>5323</v>
      </c>
      <c r="N31" s="422" t="s">
        <v>52</v>
      </c>
      <c r="O31" s="432" t="s">
        <v>486</v>
      </c>
      <c r="Q31" s="491">
        <f t="shared" si="2"/>
        <v>25</v>
      </c>
    </row>
    <row r="32" spans="1:17" x14ac:dyDescent="0.3">
      <c r="A32" s="436">
        <v>5401</v>
      </c>
      <c r="B32" s="116" t="s">
        <v>52</v>
      </c>
      <c r="C32" s="108" t="s">
        <v>64</v>
      </c>
      <c r="D32" s="125"/>
      <c r="E32">
        <f t="shared" si="1"/>
        <v>32</v>
      </c>
      <c r="F32" s="421">
        <v>98</v>
      </c>
      <c r="G32" s="436">
        <v>5401</v>
      </c>
      <c r="H32" s="422" t="s">
        <v>52</v>
      </c>
      <c r="I32" s="423" t="s">
        <v>64</v>
      </c>
      <c r="K32" s="508">
        <f t="shared" si="0"/>
        <v>0</v>
      </c>
      <c r="L32" s="421">
        <v>98</v>
      </c>
      <c r="M32" s="504">
        <v>5401</v>
      </c>
      <c r="N32" s="422" t="s">
        <v>52</v>
      </c>
      <c r="O32" s="432" t="s">
        <v>64</v>
      </c>
      <c r="Q32" s="491">
        <f t="shared" si="2"/>
        <v>26</v>
      </c>
    </row>
    <row r="33" spans="1:17" x14ac:dyDescent="0.3">
      <c r="A33" s="436">
        <v>5402</v>
      </c>
      <c r="B33" s="116" t="s">
        <v>52</v>
      </c>
      <c r="C33" s="108" t="s">
        <v>438</v>
      </c>
      <c r="D33" s="125"/>
      <c r="E33">
        <f t="shared" si="1"/>
        <v>33</v>
      </c>
      <c r="F33" s="421">
        <v>787</v>
      </c>
      <c r="G33" s="436">
        <v>5402</v>
      </c>
      <c r="H33" s="422" t="s">
        <v>52</v>
      </c>
      <c r="I33" s="423" t="s">
        <v>438</v>
      </c>
      <c r="K33" s="508">
        <f t="shared" si="0"/>
        <v>0</v>
      </c>
      <c r="L33" s="421">
        <v>787</v>
      </c>
      <c r="M33" s="504">
        <v>5402</v>
      </c>
      <c r="N33" s="422" t="s">
        <v>52</v>
      </c>
      <c r="O33" s="432" t="s">
        <v>438</v>
      </c>
      <c r="Q33" s="491">
        <f t="shared" si="2"/>
        <v>27</v>
      </c>
    </row>
    <row r="34" spans="1:17" x14ac:dyDescent="0.3">
      <c r="A34" s="436">
        <v>5903</v>
      </c>
      <c r="B34" s="250" t="s">
        <v>1039</v>
      </c>
      <c r="C34" s="235" t="s">
        <v>1081</v>
      </c>
      <c r="D34" s="125"/>
      <c r="E34">
        <f t="shared" si="1"/>
        <v>34</v>
      </c>
      <c r="F34" s="424">
        <v>2901</v>
      </c>
      <c r="G34" s="436">
        <v>5903</v>
      </c>
      <c r="H34" s="422" t="s">
        <v>52</v>
      </c>
      <c r="I34" s="423" t="s">
        <v>1086</v>
      </c>
      <c r="K34" s="508">
        <f t="shared" si="0"/>
        <v>0</v>
      </c>
      <c r="L34" s="424">
        <v>2901</v>
      </c>
      <c r="M34" s="504">
        <v>5903</v>
      </c>
      <c r="N34" s="425" t="s">
        <v>1039</v>
      </c>
      <c r="O34" s="497" t="s">
        <v>1081</v>
      </c>
      <c r="Q34" s="491">
        <f t="shared" si="2"/>
        <v>28</v>
      </c>
    </row>
    <row r="35" spans="1:17" x14ac:dyDescent="0.3">
      <c r="A35" s="436">
        <v>6037</v>
      </c>
      <c r="B35" s="116" t="s">
        <v>34</v>
      </c>
      <c r="C35" s="108" t="s">
        <v>572</v>
      </c>
      <c r="D35" s="125"/>
      <c r="E35">
        <f t="shared" si="1"/>
        <v>35</v>
      </c>
      <c r="F35" s="421">
        <v>1031</v>
      </c>
      <c r="G35" s="436">
        <v>6037</v>
      </c>
      <c r="H35" s="422" t="s">
        <v>34</v>
      </c>
      <c r="I35" s="423" t="s">
        <v>572</v>
      </c>
      <c r="K35" s="508">
        <f t="shared" si="0"/>
        <v>0</v>
      </c>
      <c r="L35" s="421">
        <v>1031</v>
      </c>
      <c r="M35" s="504">
        <v>6037</v>
      </c>
      <c r="N35" s="422" t="s">
        <v>34</v>
      </c>
      <c r="O35" s="432" t="s">
        <v>572</v>
      </c>
      <c r="Q35" s="491">
        <f t="shared" si="2"/>
        <v>29</v>
      </c>
    </row>
    <row r="36" spans="1:17" x14ac:dyDescent="0.3">
      <c r="A36" s="436">
        <v>6098</v>
      </c>
      <c r="B36" s="116" t="s">
        <v>34</v>
      </c>
      <c r="C36" s="108" t="s">
        <v>220</v>
      </c>
      <c r="D36" s="125"/>
      <c r="E36">
        <f t="shared" si="1"/>
        <v>36</v>
      </c>
      <c r="F36" s="421">
        <v>381</v>
      </c>
      <c r="G36" s="436">
        <v>6098</v>
      </c>
      <c r="H36" s="422" t="s">
        <v>34</v>
      </c>
      <c r="I36" s="423" t="s">
        <v>220</v>
      </c>
      <c r="K36" s="508">
        <f t="shared" si="0"/>
        <v>0</v>
      </c>
      <c r="L36" s="421">
        <v>381</v>
      </c>
      <c r="M36" s="504">
        <v>6098</v>
      </c>
      <c r="N36" s="422" t="s">
        <v>34</v>
      </c>
      <c r="O36" s="432" t="s">
        <v>220</v>
      </c>
      <c r="Q36" s="491">
        <f t="shared" si="2"/>
        <v>30</v>
      </c>
    </row>
    <row r="37" spans="1:17" x14ac:dyDescent="0.3">
      <c r="A37" s="436">
        <v>6101</v>
      </c>
      <c r="B37" s="116" t="s">
        <v>34</v>
      </c>
      <c r="C37" s="108" t="s">
        <v>252</v>
      </c>
      <c r="D37" s="125"/>
      <c r="E37">
        <f t="shared" si="1"/>
        <v>37</v>
      </c>
      <c r="F37" s="421">
        <v>506</v>
      </c>
      <c r="G37" s="436">
        <v>6101</v>
      </c>
      <c r="H37" s="422" t="s">
        <v>34</v>
      </c>
      <c r="I37" s="423" t="s">
        <v>252</v>
      </c>
      <c r="K37" s="508">
        <f t="shared" si="0"/>
        <v>0</v>
      </c>
      <c r="L37" s="421">
        <v>506</v>
      </c>
      <c r="M37" s="504">
        <v>6101</v>
      </c>
      <c r="N37" s="422" t="s">
        <v>34</v>
      </c>
      <c r="O37" s="432" t="s">
        <v>252</v>
      </c>
      <c r="Q37" s="491">
        <f t="shared" si="2"/>
        <v>31</v>
      </c>
    </row>
    <row r="38" spans="1:17" x14ac:dyDescent="0.3">
      <c r="A38" s="436">
        <v>6103</v>
      </c>
      <c r="B38" s="116" t="s">
        <v>34</v>
      </c>
      <c r="C38" s="108" t="s">
        <v>210</v>
      </c>
      <c r="D38" s="125"/>
      <c r="E38">
        <f t="shared" si="1"/>
        <v>38</v>
      </c>
      <c r="F38" s="421">
        <v>366</v>
      </c>
      <c r="G38" s="436">
        <v>6103</v>
      </c>
      <c r="H38" s="422" t="s">
        <v>34</v>
      </c>
      <c r="I38" s="423" t="s">
        <v>210</v>
      </c>
      <c r="K38" s="508">
        <f t="shared" si="0"/>
        <v>0</v>
      </c>
      <c r="L38" s="421">
        <v>366</v>
      </c>
      <c r="M38" s="504">
        <v>6103</v>
      </c>
      <c r="N38" s="422" t="s">
        <v>34</v>
      </c>
      <c r="O38" s="432" t="s">
        <v>210</v>
      </c>
      <c r="Q38" s="491">
        <f t="shared" si="2"/>
        <v>32</v>
      </c>
    </row>
    <row r="39" spans="1:17" x14ac:dyDescent="0.3">
      <c r="A39" s="436">
        <v>6112</v>
      </c>
      <c r="B39" s="116" t="s">
        <v>34</v>
      </c>
      <c r="C39" s="108" t="s">
        <v>588</v>
      </c>
      <c r="D39" s="125"/>
      <c r="E39">
        <f t="shared" si="1"/>
        <v>39</v>
      </c>
      <c r="F39" s="421">
        <v>1063</v>
      </c>
      <c r="G39" s="436">
        <v>6112</v>
      </c>
      <c r="H39" s="422" t="s">
        <v>34</v>
      </c>
      <c r="I39" s="423" t="s">
        <v>588</v>
      </c>
      <c r="K39" s="508">
        <f t="shared" si="0"/>
        <v>0</v>
      </c>
      <c r="L39" s="421">
        <v>1063</v>
      </c>
      <c r="M39" s="504">
        <v>6112</v>
      </c>
      <c r="N39" s="422" t="s">
        <v>34</v>
      </c>
      <c r="O39" s="432" t="s">
        <v>588</v>
      </c>
      <c r="Q39" s="491">
        <f t="shared" si="2"/>
        <v>33</v>
      </c>
    </row>
    <row r="40" spans="1:17" x14ac:dyDescent="0.3">
      <c r="A40" s="436">
        <v>6114</v>
      </c>
      <c r="B40" s="116" t="s">
        <v>34</v>
      </c>
      <c r="C40" s="108" t="s">
        <v>176</v>
      </c>
      <c r="D40" s="125"/>
      <c r="E40">
        <f t="shared" si="1"/>
        <v>40</v>
      </c>
      <c r="F40" s="421">
        <v>291</v>
      </c>
      <c r="G40" s="436">
        <v>6114</v>
      </c>
      <c r="H40" s="422" t="s">
        <v>34</v>
      </c>
      <c r="I40" s="423" t="s">
        <v>176</v>
      </c>
      <c r="K40" s="508">
        <f t="shared" si="0"/>
        <v>0</v>
      </c>
      <c r="L40" s="421">
        <v>291</v>
      </c>
      <c r="M40" s="504">
        <v>6114</v>
      </c>
      <c r="N40" s="422" t="s">
        <v>34</v>
      </c>
      <c r="O40" s="432" t="s">
        <v>176</v>
      </c>
      <c r="Q40" s="491">
        <f t="shared" si="2"/>
        <v>34</v>
      </c>
    </row>
    <row r="41" spans="1:17" x14ac:dyDescent="0.3">
      <c r="A41" s="436">
        <v>6117</v>
      </c>
      <c r="B41" s="116" t="s">
        <v>34</v>
      </c>
      <c r="C41" s="108" t="s">
        <v>62</v>
      </c>
      <c r="D41" s="125"/>
      <c r="E41">
        <f t="shared" si="1"/>
        <v>41</v>
      </c>
      <c r="F41" s="421">
        <v>96</v>
      </c>
      <c r="G41" s="436">
        <v>6117</v>
      </c>
      <c r="H41" s="422" t="s">
        <v>34</v>
      </c>
      <c r="I41" s="423" t="s">
        <v>62</v>
      </c>
      <c r="K41" s="508">
        <f t="shared" si="0"/>
        <v>0</v>
      </c>
      <c r="L41" s="421">
        <v>96</v>
      </c>
      <c r="M41" s="504">
        <v>6117</v>
      </c>
      <c r="N41" s="422" t="s">
        <v>34</v>
      </c>
      <c r="O41" s="432" t="s">
        <v>62</v>
      </c>
      <c r="Q41" s="491">
        <f t="shared" si="2"/>
        <v>35</v>
      </c>
    </row>
    <row r="42" spans="1:17" x14ac:dyDescent="0.3">
      <c r="A42" s="436">
        <v>6119</v>
      </c>
      <c r="B42" s="116" t="s">
        <v>34</v>
      </c>
      <c r="C42" s="108" t="s">
        <v>32</v>
      </c>
      <c r="D42" s="125"/>
      <c r="E42">
        <f t="shared" si="1"/>
        <v>42</v>
      </c>
      <c r="F42" s="421">
        <v>45</v>
      </c>
      <c r="G42" s="436">
        <v>6119</v>
      </c>
      <c r="H42" s="422" t="s">
        <v>34</v>
      </c>
      <c r="I42" s="423" t="s">
        <v>32</v>
      </c>
      <c r="K42" s="508">
        <f t="shared" si="0"/>
        <v>0</v>
      </c>
      <c r="L42" s="421">
        <v>45</v>
      </c>
      <c r="M42" s="504">
        <v>6119</v>
      </c>
      <c r="N42" s="422" t="s">
        <v>34</v>
      </c>
      <c r="O42" s="432" t="s">
        <v>32</v>
      </c>
      <c r="Q42" s="491">
        <f t="shared" si="2"/>
        <v>36</v>
      </c>
    </row>
    <row r="43" spans="1:17" x14ac:dyDescent="0.3">
      <c r="A43" s="436">
        <v>6122</v>
      </c>
      <c r="B43" s="116" t="s">
        <v>34</v>
      </c>
      <c r="C43" s="108" t="s">
        <v>456</v>
      </c>
      <c r="D43" s="125"/>
      <c r="E43">
        <f t="shared" si="1"/>
        <v>43</v>
      </c>
      <c r="F43" s="421">
        <v>812</v>
      </c>
      <c r="G43" s="436">
        <v>6122</v>
      </c>
      <c r="H43" s="422" t="s">
        <v>34</v>
      </c>
      <c r="I43" s="423" t="s">
        <v>456</v>
      </c>
      <c r="K43" s="508">
        <f t="shared" si="0"/>
        <v>0</v>
      </c>
      <c r="L43" s="421">
        <v>812</v>
      </c>
      <c r="M43" s="504">
        <v>6122</v>
      </c>
      <c r="N43" s="422" t="s">
        <v>34</v>
      </c>
      <c r="O43" s="432" t="s">
        <v>456</v>
      </c>
      <c r="Q43" s="491">
        <f t="shared" si="2"/>
        <v>37</v>
      </c>
    </row>
    <row r="44" spans="1:17" x14ac:dyDescent="0.3">
      <c r="A44" s="436">
        <v>6801</v>
      </c>
      <c r="B44" s="116" t="s">
        <v>34</v>
      </c>
      <c r="C44" s="249" t="s">
        <v>154</v>
      </c>
      <c r="D44" s="125"/>
      <c r="E44">
        <f t="shared" si="1"/>
        <v>44</v>
      </c>
      <c r="F44" s="421">
        <v>261</v>
      </c>
      <c r="G44" s="436">
        <v>6801</v>
      </c>
      <c r="H44" s="422" t="s">
        <v>34</v>
      </c>
      <c r="I44" s="423" t="s">
        <v>154</v>
      </c>
      <c r="K44" s="508">
        <f t="shared" si="0"/>
        <v>0</v>
      </c>
      <c r="L44" s="421">
        <v>261</v>
      </c>
      <c r="M44" s="504">
        <v>6801</v>
      </c>
      <c r="N44" s="422" t="s">
        <v>34</v>
      </c>
      <c r="O44" s="495" t="s">
        <v>154</v>
      </c>
      <c r="Q44" s="491">
        <f t="shared" si="2"/>
        <v>38</v>
      </c>
    </row>
    <row r="45" spans="1:17" x14ac:dyDescent="0.3">
      <c r="A45" s="504">
        <v>6901</v>
      </c>
      <c r="B45" s="425" t="s">
        <v>1039</v>
      </c>
      <c r="C45" s="447" t="s">
        <v>1205</v>
      </c>
      <c r="D45" s="125"/>
      <c r="E45">
        <f t="shared" si="1"/>
        <v>45</v>
      </c>
      <c r="F45" s="518">
        <v>4309</v>
      </c>
      <c r="G45" s="504">
        <v>6901</v>
      </c>
      <c r="H45" s="425" t="s">
        <v>1039</v>
      </c>
      <c r="I45" s="447" t="s">
        <v>1205</v>
      </c>
      <c r="K45" s="508">
        <f t="shared" si="0"/>
        <v>0</v>
      </c>
      <c r="L45" s="518">
        <v>4309</v>
      </c>
      <c r="M45" s="504">
        <v>6901</v>
      </c>
      <c r="N45" s="425" t="s">
        <v>1039</v>
      </c>
      <c r="O45" s="447" t="s">
        <v>1205</v>
      </c>
      <c r="Q45" s="491" t="s">
        <v>1200</v>
      </c>
    </row>
    <row r="46" spans="1:17" x14ac:dyDescent="0.3">
      <c r="A46" s="436">
        <v>7002</v>
      </c>
      <c r="B46" s="116" t="s">
        <v>26</v>
      </c>
      <c r="C46" s="108" t="s">
        <v>132</v>
      </c>
      <c r="D46" s="125"/>
      <c r="E46">
        <f t="shared" si="1"/>
        <v>46</v>
      </c>
      <c r="F46" s="421">
        <v>225</v>
      </c>
      <c r="G46" s="436">
        <v>7002</v>
      </c>
      <c r="H46" s="422" t="s">
        <v>26</v>
      </c>
      <c r="I46" s="423" t="s">
        <v>132</v>
      </c>
      <c r="K46" s="508">
        <f t="shared" si="0"/>
        <v>0</v>
      </c>
      <c r="L46" s="421">
        <v>225</v>
      </c>
      <c r="M46" s="504">
        <v>7002</v>
      </c>
      <c r="N46" s="422" t="s">
        <v>26</v>
      </c>
      <c r="O46" s="432" t="s">
        <v>132</v>
      </c>
    </row>
    <row r="47" spans="1:17" x14ac:dyDescent="0.3">
      <c r="A47" s="436">
        <v>7035</v>
      </c>
      <c r="B47" s="116" t="s">
        <v>26</v>
      </c>
      <c r="C47" s="108" t="s">
        <v>520</v>
      </c>
      <c r="D47" s="125"/>
      <c r="E47">
        <f t="shared" si="1"/>
        <v>47</v>
      </c>
      <c r="F47" s="421">
        <v>933</v>
      </c>
      <c r="G47" s="436">
        <v>7035</v>
      </c>
      <c r="H47" s="422" t="s">
        <v>26</v>
      </c>
      <c r="I47" s="423" t="s">
        <v>520</v>
      </c>
      <c r="K47" s="508">
        <f t="shared" si="0"/>
        <v>0</v>
      </c>
      <c r="L47" s="421">
        <v>933</v>
      </c>
      <c r="M47" s="504">
        <v>7035</v>
      </c>
      <c r="N47" s="422" t="s">
        <v>26</v>
      </c>
      <c r="O47" s="432" t="s">
        <v>520</v>
      </c>
    </row>
    <row r="48" spans="1:17" x14ac:dyDescent="0.3">
      <c r="A48" s="436">
        <v>8122</v>
      </c>
      <c r="B48" s="116" t="s">
        <v>34</v>
      </c>
      <c r="C48" s="108" t="s">
        <v>272</v>
      </c>
      <c r="D48" s="125"/>
      <c r="E48">
        <f t="shared" si="1"/>
        <v>48</v>
      </c>
      <c r="F48" s="421">
        <v>550</v>
      </c>
      <c r="G48" s="436">
        <v>8122</v>
      </c>
      <c r="H48" s="422" t="s">
        <v>34</v>
      </c>
      <c r="I48" s="423" t="s">
        <v>272</v>
      </c>
      <c r="K48" s="508">
        <f t="shared" si="0"/>
        <v>0</v>
      </c>
      <c r="L48" s="421">
        <v>550</v>
      </c>
      <c r="M48" s="504">
        <v>8122</v>
      </c>
      <c r="N48" s="422" t="s">
        <v>34</v>
      </c>
      <c r="O48" s="432" t="s">
        <v>272</v>
      </c>
    </row>
    <row r="49" spans="1:15" x14ac:dyDescent="0.3">
      <c r="A49" s="436">
        <v>8130</v>
      </c>
      <c r="B49" s="116" t="s">
        <v>34</v>
      </c>
      <c r="C49" s="108" t="s">
        <v>558</v>
      </c>
      <c r="D49" s="125"/>
      <c r="E49">
        <f t="shared" si="1"/>
        <v>49</v>
      </c>
      <c r="F49" s="421">
        <v>994</v>
      </c>
      <c r="G49" s="436">
        <v>8130</v>
      </c>
      <c r="H49" s="422" t="s">
        <v>34</v>
      </c>
      <c r="I49" s="423" t="s">
        <v>558</v>
      </c>
      <c r="K49" s="508">
        <f t="shared" si="0"/>
        <v>0</v>
      </c>
      <c r="L49" s="421">
        <v>994</v>
      </c>
      <c r="M49" s="504">
        <v>8130</v>
      </c>
      <c r="N49" s="422" t="s">
        <v>34</v>
      </c>
      <c r="O49" s="432" t="s">
        <v>558</v>
      </c>
    </row>
    <row r="50" spans="1:15" x14ac:dyDescent="0.3">
      <c r="A50" s="436">
        <v>8401</v>
      </c>
      <c r="B50" s="116" t="s">
        <v>34</v>
      </c>
      <c r="C50" s="108" t="s">
        <v>72</v>
      </c>
      <c r="D50" s="125"/>
      <c r="E50">
        <f t="shared" si="1"/>
        <v>50</v>
      </c>
      <c r="F50" s="421">
        <v>108</v>
      </c>
      <c r="G50" s="436">
        <v>8401</v>
      </c>
      <c r="H50" s="422" t="s">
        <v>34</v>
      </c>
      <c r="I50" s="423" t="s">
        <v>72</v>
      </c>
      <c r="K50" s="508">
        <f t="shared" si="0"/>
        <v>0</v>
      </c>
      <c r="L50" s="421">
        <v>108</v>
      </c>
      <c r="M50" s="504">
        <v>8401</v>
      </c>
      <c r="N50" s="422" t="s">
        <v>34</v>
      </c>
      <c r="O50" s="432" t="s">
        <v>72</v>
      </c>
    </row>
    <row r="51" spans="1:15" x14ac:dyDescent="0.3">
      <c r="A51" s="436">
        <v>8402</v>
      </c>
      <c r="B51" s="116" t="s">
        <v>34</v>
      </c>
      <c r="C51" s="108" t="s">
        <v>234</v>
      </c>
      <c r="D51" s="125"/>
      <c r="E51">
        <f t="shared" si="1"/>
        <v>51</v>
      </c>
      <c r="F51" s="421">
        <v>424</v>
      </c>
      <c r="G51" s="436">
        <v>8402</v>
      </c>
      <c r="H51" s="422" t="s">
        <v>34</v>
      </c>
      <c r="I51" s="423" t="s">
        <v>234</v>
      </c>
      <c r="K51" s="508">
        <f t="shared" si="0"/>
        <v>0</v>
      </c>
      <c r="L51" s="421">
        <v>424</v>
      </c>
      <c r="M51" s="504">
        <v>8402</v>
      </c>
      <c r="N51" s="422" t="s">
        <v>34</v>
      </c>
      <c r="O51" s="432" t="s">
        <v>234</v>
      </c>
    </row>
    <row r="52" spans="1:15" x14ac:dyDescent="0.3">
      <c r="A52" s="436">
        <v>8404</v>
      </c>
      <c r="B52" s="116" t="s">
        <v>34</v>
      </c>
      <c r="C52" s="108" t="s">
        <v>620</v>
      </c>
      <c r="D52" s="125"/>
      <c r="E52">
        <f t="shared" si="1"/>
        <v>52</v>
      </c>
      <c r="F52" s="421">
        <v>1113</v>
      </c>
      <c r="G52" s="436">
        <v>8404</v>
      </c>
      <c r="H52" s="422" t="s">
        <v>34</v>
      </c>
      <c r="I52" s="423" t="s">
        <v>620</v>
      </c>
      <c r="K52" s="508">
        <f t="shared" si="0"/>
        <v>0</v>
      </c>
      <c r="L52" s="421">
        <v>1113</v>
      </c>
      <c r="M52" s="504">
        <v>8404</v>
      </c>
      <c r="N52" s="422" t="s">
        <v>34</v>
      </c>
      <c r="O52" s="432" t="s">
        <v>620</v>
      </c>
    </row>
    <row r="53" spans="1:15" x14ac:dyDescent="0.3">
      <c r="A53" s="436">
        <v>8458</v>
      </c>
      <c r="B53" s="116" t="s">
        <v>34</v>
      </c>
      <c r="C53" s="108" t="s">
        <v>238</v>
      </c>
      <c r="D53" s="125"/>
      <c r="E53">
        <f t="shared" si="1"/>
        <v>53</v>
      </c>
      <c r="F53" s="421">
        <v>428</v>
      </c>
      <c r="G53" s="436">
        <v>8458</v>
      </c>
      <c r="H53" s="422" t="s">
        <v>34</v>
      </c>
      <c r="I53" s="423" t="s">
        <v>238</v>
      </c>
      <c r="K53" s="508">
        <f t="shared" si="0"/>
        <v>0</v>
      </c>
      <c r="L53" s="421">
        <v>428</v>
      </c>
      <c r="M53" s="504">
        <v>8458</v>
      </c>
      <c r="N53" s="422" t="s">
        <v>34</v>
      </c>
      <c r="O53" s="432" t="s">
        <v>238</v>
      </c>
    </row>
    <row r="54" spans="1:15" x14ac:dyDescent="0.3">
      <c r="A54" s="436">
        <v>9013</v>
      </c>
      <c r="B54" s="116" t="s">
        <v>55</v>
      </c>
      <c r="C54" s="108" t="s">
        <v>394</v>
      </c>
      <c r="D54" s="125"/>
      <c r="E54">
        <f t="shared" si="1"/>
        <v>54</v>
      </c>
      <c r="F54" s="421">
        <v>686</v>
      </c>
      <c r="G54" s="436">
        <v>9013</v>
      </c>
      <c r="H54" s="422" t="s">
        <v>55</v>
      </c>
      <c r="I54" s="423" t="s">
        <v>394</v>
      </c>
      <c r="K54" s="508">
        <f t="shared" si="0"/>
        <v>0</v>
      </c>
      <c r="L54" s="421">
        <v>686</v>
      </c>
      <c r="M54" s="504">
        <v>9013</v>
      </c>
      <c r="N54" s="422" t="s">
        <v>55</v>
      </c>
      <c r="O54" s="432" t="s">
        <v>394</v>
      </c>
    </row>
    <row r="55" spans="1:15" x14ac:dyDescent="0.3">
      <c r="A55" s="436">
        <v>9075</v>
      </c>
      <c r="B55" s="116" t="s">
        <v>55</v>
      </c>
      <c r="C55" s="108" t="s">
        <v>56</v>
      </c>
      <c r="D55" s="125"/>
      <c r="E55">
        <f t="shared" si="1"/>
        <v>55</v>
      </c>
      <c r="F55" s="421">
        <v>87</v>
      </c>
      <c r="G55" s="436">
        <v>9075</v>
      </c>
      <c r="H55" s="422" t="s">
        <v>55</v>
      </c>
      <c r="I55" s="423" t="s">
        <v>56</v>
      </c>
      <c r="K55" s="508">
        <f t="shared" si="0"/>
        <v>0</v>
      </c>
      <c r="L55" s="421">
        <v>87</v>
      </c>
      <c r="M55" s="504">
        <v>9075</v>
      </c>
      <c r="N55" s="422" t="s">
        <v>55</v>
      </c>
      <c r="O55" s="432" t="s">
        <v>56</v>
      </c>
    </row>
    <row r="56" spans="1:15" x14ac:dyDescent="0.3">
      <c r="A56" s="436">
        <v>9102</v>
      </c>
      <c r="B56" s="116" t="s">
        <v>55</v>
      </c>
      <c r="C56" s="108" t="s">
        <v>402</v>
      </c>
      <c r="D56" s="125"/>
      <c r="E56">
        <f t="shared" si="1"/>
        <v>56</v>
      </c>
      <c r="F56" s="421">
        <v>701</v>
      </c>
      <c r="G56" s="436">
        <v>9102</v>
      </c>
      <c r="H56" s="422" t="s">
        <v>55</v>
      </c>
      <c r="I56" s="423" t="s">
        <v>402</v>
      </c>
      <c r="K56" s="508">
        <f t="shared" si="0"/>
        <v>0</v>
      </c>
      <c r="L56" s="421">
        <v>701</v>
      </c>
      <c r="M56" s="504">
        <v>9102</v>
      </c>
      <c r="N56" s="422" t="s">
        <v>55</v>
      </c>
      <c r="O56" s="432" t="s">
        <v>402</v>
      </c>
    </row>
    <row r="57" spans="1:15" x14ac:dyDescent="0.3">
      <c r="A57" s="436">
        <v>9206</v>
      </c>
      <c r="B57" s="116" t="s">
        <v>55</v>
      </c>
      <c r="C57" s="108" t="s">
        <v>144</v>
      </c>
      <c r="D57" s="125"/>
      <c r="E57">
        <f t="shared" si="1"/>
        <v>57</v>
      </c>
      <c r="F57" s="421">
        <v>249</v>
      </c>
      <c r="G57" s="436">
        <v>9206</v>
      </c>
      <c r="H57" s="422" t="s">
        <v>55</v>
      </c>
      <c r="I57" s="423" t="s">
        <v>144</v>
      </c>
      <c r="K57" s="508">
        <f t="shared" si="0"/>
        <v>0</v>
      </c>
      <c r="L57" s="421">
        <v>249</v>
      </c>
      <c r="M57" s="504">
        <v>9206</v>
      </c>
      <c r="N57" s="422" t="s">
        <v>55</v>
      </c>
      <c r="O57" s="432" t="s">
        <v>144</v>
      </c>
    </row>
    <row r="58" spans="1:15" x14ac:dyDescent="0.3">
      <c r="A58" s="436">
        <v>9207</v>
      </c>
      <c r="B58" s="116" t="s">
        <v>55</v>
      </c>
      <c r="C58" s="108" t="s">
        <v>284</v>
      </c>
      <c r="D58" s="125"/>
      <c r="E58">
        <f t="shared" si="1"/>
        <v>58</v>
      </c>
      <c r="F58" s="421">
        <v>562</v>
      </c>
      <c r="G58" s="436">
        <v>9207</v>
      </c>
      <c r="H58" s="422" t="s">
        <v>55</v>
      </c>
      <c r="I58" s="423" t="s">
        <v>284</v>
      </c>
      <c r="K58" s="508">
        <f t="shared" si="0"/>
        <v>0</v>
      </c>
      <c r="L58" s="421">
        <v>562</v>
      </c>
      <c r="M58" s="504">
        <v>9207</v>
      </c>
      <c r="N58" s="422" t="s">
        <v>55</v>
      </c>
      <c r="O58" s="432" t="s">
        <v>284</v>
      </c>
    </row>
    <row r="59" spans="1:15" x14ac:dyDescent="0.3">
      <c r="A59" s="436">
        <v>9209</v>
      </c>
      <c r="B59" s="116" t="s">
        <v>55</v>
      </c>
      <c r="C59" s="108" t="s">
        <v>592</v>
      </c>
      <c r="D59" s="125"/>
      <c r="E59">
        <f t="shared" si="1"/>
        <v>59</v>
      </c>
      <c r="F59" s="421">
        <v>1067</v>
      </c>
      <c r="G59" s="436">
        <v>9209</v>
      </c>
      <c r="H59" s="422" t="s">
        <v>55</v>
      </c>
      <c r="I59" s="423" t="s">
        <v>592</v>
      </c>
      <c r="K59" s="508">
        <f t="shared" si="0"/>
        <v>0</v>
      </c>
      <c r="L59" s="421">
        <v>1067</v>
      </c>
      <c r="M59" s="504">
        <v>9209</v>
      </c>
      <c r="N59" s="422" t="s">
        <v>55</v>
      </c>
      <c r="O59" s="432" t="s">
        <v>592</v>
      </c>
    </row>
    <row r="60" spans="1:15" x14ac:dyDescent="0.3">
      <c r="A60" s="436">
        <v>10003</v>
      </c>
      <c r="B60" s="116" t="s">
        <v>18</v>
      </c>
      <c r="C60" s="108" t="s">
        <v>236</v>
      </c>
      <c r="D60" s="125"/>
      <c r="E60">
        <f t="shared" si="1"/>
        <v>60</v>
      </c>
      <c r="F60" s="421">
        <v>425</v>
      </c>
      <c r="G60" s="436">
        <v>10003</v>
      </c>
      <c r="H60" s="422" t="s">
        <v>18</v>
      </c>
      <c r="I60" s="423" t="s">
        <v>236</v>
      </c>
      <c r="K60" s="508">
        <f t="shared" si="0"/>
        <v>0</v>
      </c>
      <c r="L60" s="421">
        <v>425</v>
      </c>
      <c r="M60" s="451">
        <v>10003</v>
      </c>
      <c r="N60" s="422" t="s">
        <v>18</v>
      </c>
      <c r="O60" s="432" t="s">
        <v>236</v>
      </c>
    </row>
    <row r="61" spans="1:15" x14ac:dyDescent="0.3">
      <c r="A61" s="436">
        <v>10050</v>
      </c>
      <c r="B61" s="116" t="s">
        <v>18</v>
      </c>
      <c r="C61" s="108" t="s">
        <v>122</v>
      </c>
      <c r="D61" s="125"/>
      <c r="E61">
        <f t="shared" si="1"/>
        <v>61</v>
      </c>
      <c r="F61" s="421">
        <v>214</v>
      </c>
      <c r="G61" s="436">
        <v>10050</v>
      </c>
      <c r="H61" s="422" t="s">
        <v>18</v>
      </c>
      <c r="I61" s="423" t="s">
        <v>122</v>
      </c>
      <c r="K61" s="508">
        <f t="shared" si="0"/>
        <v>0</v>
      </c>
      <c r="L61" s="421">
        <v>214</v>
      </c>
      <c r="M61" s="451">
        <v>10050</v>
      </c>
      <c r="N61" s="422" t="s">
        <v>18</v>
      </c>
      <c r="O61" s="432" t="s">
        <v>122</v>
      </c>
    </row>
    <row r="62" spans="1:15" x14ac:dyDescent="0.3">
      <c r="A62" s="436">
        <v>10065</v>
      </c>
      <c r="B62" s="116" t="s">
        <v>18</v>
      </c>
      <c r="C62" s="108" t="s">
        <v>392</v>
      </c>
      <c r="D62" s="125"/>
      <c r="E62">
        <f t="shared" si="1"/>
        <v>62</v>
      </c>
      <c r="F62" s="421">
        <v>685</v>
      </c>
      <c r="G62" s="436">
        <v>10065</v>
      </c>
      <c r="H62" s="422" t="s">
        <v>18</v>
      </c>
      <c r="I62" s="423" t="s">
        <v>392</v>
      </c>
      <c r="K62" s="508">
        <f t="shared" si="0"/>
        <v>0</v>
      </c>
      <c r="L62" s="421">
        <v>685</v>
      </c>
      <c r="M62" s="451">
        <v>10065</v>
      </c>
      <c r="N62" s="422" t="s">
        <v>18</v>
      </c>
      <c r="O62" s="432" t="s">
        <v>392</v>
      </c>
    </row>
    <row r="63" spans="1:15" x14ac:dyDescent="0.3">
      <c r="A63" s="436">
        <v>10070</v>
      </c>
      <c r="B63" s="116" t="s">
        <v>18</v>
      </c>
      <c r="C63" s="108" t="s">
        <v>226</v>
      </c>
      <c r="D63" s="125"/>
      <c r="E63">
        <f t="shared" si="1"/>
        <v>63</v>
      </c>
      <c r="F63" s="421">
        <v>396</v>
      </c>
      <c r="G63" s="436">
        <v>10070</v>
      </c>
      <c r="H63" s="422" t="s">
        <v>18</v>
      </c>
      <c r="I63" s="423" t="s">
        <v>226</v>
      </c>
      <c r="K63" s="508">
        <f t="shared" si="0"/>
        <v>0</v>
      </c>
      <c r="L63" s="421">
        <v>396</v>
      </c>
      <c r="M63" s="451">
        <v>10070</v>
      </c>
      <c r="N63" s="422" t="s">
        <v>18</v>
      </c>
      <c r="O63" s="432" t="s">
        <v>226</v>
      </c>
    </row>
    <row r="64" spans="1:15" x14ac:dyDescent="0.3">
      <c r="A64" s="436">
        <v>10309</v>
      </c>
      <c r="B64" s="116" t="s">
        <v>18</v>
      </c>
      <c r="C64" s="108" t="s">
        <v>452</v>
      </c>
      <c r="D64" s="125"/>
      <c r="E64">
        <f t="shared" si="1"/>
        <v>64</v>
      </c>
      <c r="F64" s="421">
        <v>805</v>
      </c>
      <c r="G64" s="436">
        <v>10309</v>
      </c>
      <c r="H64" s="422" t="s">
        <v>18</v>
      </c>
      <c r="I64" s="423" t="s">
        <v>452</v>
      </c>
      <c r="K64" s="508">
        <f t="shared" si="0"/>
        <v>0</v>
      </c>
      <c r="L64" s="421">
        <v>805</v>
      </c>
      <c r="M64" s="451">
        <v>10309</v>
      </c>
      <c r="N64" s="422" t="s">
        <v>18</v>
      </c>
      <c r="O64" s="432" t="s">
        <v>452</v>
      </c>
    </row>
    <row r="65" spans="1:15" x14ac:dyDescent="0.3">
      <c r="A65" s="436">
        <v>11001</v>
      </c>
      <c r="B65" s="116" t="s">
        <v>26</v>
      </c>
      <c r="C65" s="108" t="s">
        <v>406</v>
      </c>
      <c r="D65" s="125"/>
      <c r="E65">
        <f t="shared" si="1"/>
        <v>65</v>
      </c>
      <c r="F65" s="421">
        <v>709</v>
      </c>
      <c r="G65" s="436">
        <v>11001</v>
      </c>
      <c r="H65" s="422" t="s">
        <v>26</v>
      </c>
      <c r="I65" s="423" t="s">
        <v>406</v>
      </c>
      <c r="K65" s="508">
        <f t="shared" si="0"/>
        <v>0</v>
      </c>
      <c r="L65" s="421">
        <v>709</v>
      </c>
      <c r="M65" s="451">
        <v>11001</v>
      </c>
      <c r="N65" s="422" t="s">
        <v>26</v>
      </c>
      <c r="O65" s="432" t="s">
        <v>406</v>
      </c>
    </row>
    <row r="66" spans="1:15" x14ac:dyDescent="0.3">
      <c r="A66" s="436">
        <v>11051</v>
      </c>
      <c r="B66" s="116" t="s">
        <v>26</v>
      </c>
      <c r="C66" s="108" t="s">
        <v>346</v>
      </c>
      <c r="D66" s="125"/>
      <c r="E66">
        <f t="shared" si="1"/>
        <v>66</v>
      </c>
      <c r="F66" s="421">
        <v>648</v>
      </c>
      <c r="G66" s="436">
        <v>11051</v>
      </c>
      <c r="H66" s="422" t="s">
        <v>26</v>
      </c>
      <c r="I66" s="423" t="s">
        <v>346</v>
      </c>
      <c r="K66" s="508">
        <f t="shared" si="0"/>
        <v>0</v>
      </c>
      <c r="L66" s="421">
        <v>648</v>
      </c>
      <c r="M66" s="451">
        <v>11051</v>
      </c>
      <c r="N66" s="422" t="s">
        <v>26</v>
      </c>
      <c r="O66" s="432" t="s">
        <v>346</v>
      </c>
    </row>
    <row r="67" spans="1:15" x14ac:dyDescent="0.3">
      <c r="A67" s="436">
        <v>11054</v>
      </c>
      <c r="B67" s="116" t="s">
        <v>26</v>
      </c>
      <c r="C67" s="108" t="s">
        <v>518</v>
      </c>
      <c r="D67" s="125"/>
      <c r="E67">
        <f t="shared" si="1"/>
        <v>67</v>
      </c>
      <c r="F67" s="421">
        <v>932</v>
      </c>
      <c r="G67" s="436">
        <v>11054</v>
      </c>
      <c r="H67" s="422" t="s">
        <v>26</v>
      </c>
      <c r="I67" s="423" t="s">
        <v>518</v>
      </c>
      <c r="K67" s="508">
        <f t="shared" si="0"/>
        <v>0</v>
      </c>
      <c r="L67" s="421">
        <v>932</v>
      </c>
      <c r="M67" s="451">
        <v>11054</v>
      </c>
      <c r="N67" s="422" t="s">
        <v>26</v>
      </c>
      <c r="O67" s="432" t="s">
        <v>518</v>
      </c>
    </row>
    <row r="68" spans="1:15" x14ac:dyDescent="0.3">
      <c r="A68" s="436">
        <v>11056</v>
      </c>
      <c r="B68" s="116" t="s">
        <v>26</v>
      </c>
      <c r="C68" s="108" t="s">
        <v>232</v>
      </c>
      <c r="D68" s="125"/>
      <c r="E68">
        <f t="shared" si="1"/>
        <v>68</v>
      </c>
      <c r="F68" s="421">
        <v>421</v>
      </c>
      <c r="G68" s="436">
        <v>11056</v>
      </c>
      <c r="H68" s="422" t="s">
        <v>26</v>
      </c>
      <c r="I68" s="423" t="s">
        <v>232</v>
      </c>
      <c r="K68" s="508">
        <f t="shared" si="0"/>
        <v>0</v>
      </c>
      <c r="L68" s="421">
        <v>421</v>
      </c>
      <c r="M68" s="451">
        <v>11056</v>
      </c>
      <c r="N68" s="422" t="s">
        <v>26</v>
      </c>
      <c r="O68" s="432" t="s">
        <v>232</v>
      </c>
    </row>
    <row r="69" spans="1:15" x14ac:dyDescent="0.3">
      <c r="A69" s="436">
        <v>11801</v>
      </c>
      <c r="B69" s="116">
        <v>123</v>
      </c>
      <c r="C69" s="249" t="s">
        <v>158</v>
      </c>
      <c r="D69" s="125"/>
      <c r="E69">
        <f t="shared" si="1"/>
        <v>69</v>
      </c>
      <c r="F69" s="421">
        <v>265</v>
      </c>
      <c r="G69" s="436">
        <v>11801</v>
      </c>
      <c r="H69" s="422">
        <v>123</v>
      </c>
      <c r="I69" s="423" t="s">
        <v>158</v>
      </c>
      <c r="K69" s="508">
        <f t="shared" si="0"/>
        <v>0</v>
      </c>
      <c r="L69" s="421">
        <v>265</v>
      </c>
      <c r="M69" s="451">
        <v>11801</v>
      </c>
      <c r="N69" s="422">
        <v>123</v>
      </c>
      <c r="O69" s="495" t="s">
        <v>158</v>
      </c>
    </row>
    <row r="70" spans="1:15" x14ac:dyDescent="0.3">
      <c r="A70" s="436">
        <v>12110</v>
      </c>
      <c r="B70" s="116" t="s">
        <v>26</v>
      </c>
      <c r="C70" s="108" t="s">
        <v>418</v>
      </c>
      <c r="D70" s="125"/>
      <c r="E70">
        <f t="shared" si="1"/>
        <v>70</v>
      </c>
      <c r="F70" s="421">
        <v>750</v>
      </c>
      <c r="G70" s="436">
        <v>12110</v>
      </c>
      <c r="H70" s="422" t="s">
        <v>26</v>
      </c>
      <c r="I70" s="423" t="s">
        <v>418</v>
      </c>
      <c r="K70" s="508">
        <f t="shared" si="0"/>
        <v>0</v>
      </c>
      <c r="L70" s="421">
        <v>750</v>
      </c>
      <c r="M70" s="451">
        <v>12110</v>
      </c>
      <c r="N70" s="422" t="s">
        <v>26</v>
      </c>
      <c r="O70" s="432" t="s">
        <v>418</v>
      </c>
    </row>
    <row r="71" spans="1:15" x14ac:dyDescent="0.3">
      <c r="A71" s="436">
        <v>13073</v>
      </c>
      <c r="B71" s="116" t="s">
        <v>45</v>
      </c>
      <c r="C71" s="108" t="s">
        <v>578</v>
      </c>
      <c r="D71" s="125"/>
      <c r="E71">
        <f t="shared" si="1"/>
        <v>71</v>
      </c>
      <c r="F71" s="421">
        <v>1044</v>
      </c>
      <c r="G71" s="436">
        <v>13073</v>
      </c>
      <c r="H71" s="422" t="s">
        <v>45</v>
      </c>
      <c r="I71" s="423" t="s">
        <v>578</v>
      </c>
      <c r="K71" s="508">
        <f t="shared" ref="K71:K134" si="3">+L71-F71</f>
        <v>0</v>
      </c>
      <c r="L71" s="421">
        <v>1044</v>
      </c>
      <c r="M71" s="451">
        <v>13073</v>
      </c>
      <c r="N71" s="422" t="s">
        <v>45</v>
      </c>
      <c r="O71" s="432" t="s">
        <v>578</v>
      </c>
    </row>
    <row r="72" spans="1:15" x14ac:dyDescent="0.3">
      <c r="A72" s="436">
        <v>13144</v>
      </c>
      <c r="B72" s="116" t="s">
        <v>55</v>
      </c>
      <c r="C72" s="108" t="s">
        <v>442</v>
      </c>
      <c r="D72" s="125"/>
      <c r="E72">
        <f t="shared" ref="E72:E135" si="4">+E71+1</f>
        <v>72</v>
      </c>
      <c r="F72" s="421">
        <v>790</v>
      </c>
      <c r="G72" s="436">
        <v>13144</v>
      </c>
      <c r="H72" s="422" t="s">
        <v>55</v>
      </c>
      <c r="I72" s="423" t="s">
        <v>442</v>
      </c>
      <c r="K72" s="508">
        <f t="shared" si="3"/>
        <v>0</v>
      </c>
      <c r="L72" s="421">
        <v>790</v>
      </c>
      <c r="M72" s="451">
        <v>13144</v>
      </c>
      <c r="N72" s="422" t="s">
        <v>55</v>
      </c>
      <c r="O72" s="432" t="s">
        <v>442</v>
      </c>
    </row>
    <row r="73" spans="1:15" x14ac:dyDescent="0.3">
      <c r="A73" s="436">
        <v>13146</v>
      </c>
      <c r="B73" s="116" t="s">
        <v>55</v>
      </c>
      <c r="C73" s="527" t="s">
        <v>586</v>
      </c>
      <c r="D73" s="125"/>
      <c r="E73">
        <f t="shared" si="4"/>
        <v>73</v>
      </c>
      <c r="F73" s="421">
        <v>1059</v>
      </c>
      <c r="G73" s="436">
        <v>13146</v>
      </c>
      <c r="H73" s="422" t="s">
        <v>55</v>
      </c>
      <c r="I73" s="520" t="s">
        <v>586</v>
      </c>
      <c r="K73" s="508">
        <f t="shared" si="3"/>
        <v>0</v>
      </c>
      <c r="L73" s="421">
        <v>1059</v>
      </c>
      <c r="M73" s="451">
        <v>13146</v>
      </c>
      <c r="N73" s="422" t="s">
        <v>55</v>
      </c>
      <c r="O73" s="427" t="s">
        <v>586</v>
      </c>
    </row>
    <row r="74" spans="1:15" x14ac:dyDescent="0.3">
      <c r="A74" s="436">
        <v>13151</v>
      </c>
      <c r="B74" s="116" t="s">
        <v>55</v>
      </c>
      <c r="C74" s="108" t="s">
        <v>114</v>
      </c>
      <c r="D74" s="125"/>
      <c r="E74">
        <f t="shared" si="4"/>
        <v>74</v>
      </c>
      <c r="F74" s="421">
        <v>197</v>
      </c>
      <c r="G74" s="436">
        <v>13151</v>
      </c>
      <c r="H74" s="422" t="s">
        <v>55</v>
      </c>
      <c r="I74" s="423" t="s">
        <v>114</v>
      </c>
      <c r="K74" s="508">
        <f t="shared" si="3"/>
        <v>0</v>
      </c>
      <c r="L74" s="421">
        <v>197</v>
      </c>
      <c r="M74" s="451">
        <v>13151</v>
      </c>
      <c r="N74" s="422" t="s">
        <v>55</v>
      </c>
      <c r="O74" s="432" t="s">
        <v>114</v>
      </c>
    </row>
    <row r="75" spans="1:15" x14ac:dyDescent="0.3">
      <c r="A75" s="436">
        <v>13156</v>
      </c>
      <c r="B75" s="116" t="s">
        <v>55</v>
      </c>
      <c r="C75" s="108" t="s">
        <v>502</v>
      </c>
      <c r="D75" s="125"/>
      <c r="E75">
        <f t="shared" si="4"/>
        <v>75</v>
      </c>
      <c r="F75" s="421">
        <v>905</v>
      </c>
      <c r="G75" s="436">
        <v>13156</v>
      </c>
      <c r="H75" s="422" t="s">
        <v>55</v>
      </c>
      <c r="I75" s="423" t="s">
        <v>502</v>
      </c>
      <c r="K75" s="508">
        <f t="shared" si="3"/>
        <v>0</v>
      </c>
      <c r="L75" s="421">
        <v>905</v>
      </c>
      <c r="M75" s="451">
        <v>13156</v>
      </c>
      <c r="N75" s="422" t="s">
        <v>55</v>
      </c>
      <c r="O75" s="432" t="s">
        <v>502</v>
      </c>
    </row>
    <row r="76" spans="1:15" x14ac:dyDescent="0.3">
      <c r="A76" s="436">
        <v>13160</v>
      </c>
      <c r="B76" s="116" t="s">
        <v>45</v>
      </c>
      <c r="C76" s="108" t="s">
        <v>470</v>
      </c>
      <c r="D76" s="125"/>
      <c r="E76">
        <f t="shared" si="4"/>
        <v>76</v>
      </c>
      <c r="F76" s="421">
        <v>825</v>
      </c>
      <c r="G76" s="436">
        <v>13160</v>
      </c>
      <c r="H76" s="422" t="s">
        <v>45</v>
      </c>
      <c r="I76" s="423" t="s">
        <v>470</v>
      </c>
      <c r="K76" s="508">
        <f t="shared" si="3"/>
        <v>0</v>
      </c>
      <c r="L76" s="421">
        <v>825</v>
      </c>
      <c r="M76" s="451">
        <v>13160</v>
      </c>
      <c r="N76" s="422" t="s">
        <v>45</v>
      </c>
      <c r="O76" s="432" t="s">
        <v>470</v>
      </c>
    </row>
    <row r="77" spans="1:15" x14ac:dyDescent="0.3">
      <c r="A77" s="436">
        <v>13161</v>
      </c>
      <c r="B77" s="116" t="s">
        <v>55</v>
      </c>
      <c r="C77" s="108" t="s">
        <v>314</v>
      </c>
      <c r="D77" s="125"/>
      <c r="E77">
        <f t="shared" si="4"/>
        <v>77</v>
      </c>
      <c r="F77" s="421">
        <v>611</v>
      </c>
      <c r="G77" s="436">
        <v>13161</v>
      </c>
      <c r="H77" s="422" t="s">
        <v>55</v>
      </c>
      <c r="I77" s="423" t="s">
        <v>314</v>
      </c>
      <c r="K77" s="508">
        <f t="shared" si="3"/>
        <v>0</v>
      </c>
      <c r="L77" s="421">
        <v>611</v>
      </c>
      <c r="M77" s="451">
        <v>13161</v>
      </c>
      <c r="N77" s="422" t="s">
        <v>55</v>
      </c>
      <c r="O77" s="432" t="s">
        <v>314</v>
      </c>
    </row>
    <row r="78" spans="1:15" x14ac:dyDescent="0.3">
      <c r="A78" s="436">
        <v>13165</v>
      </c>
      <c r="B78" s="116" t="s">
        <v>55</v>
      </c>
      <c r="C78" s="108" t="s">
        <v>170</v>
      </c>
      <c r="D78" s="125"/>
      <c r="E78">
        <f t="shared" si="4"/>
        <v>78</v>
      </c>
      <c r="F78" s="421">
        <v>284</v>
      </c>
      <c r="G78" s="436">
        <v>13165</v>
      </c>
      <c r="H78" s="422" t="s">
        <v>55</v>
      </c>
      <c r="I78" s="423" t="s">
        <v>170</v>
      </c>
      <c r="K78" s="508">
        <f t="shared" si="3"/>
        <v>0</v>
      </c>
      <c r="L78" s="421">
        <v>284</v>
      </c>
      <c r="M78" s="451">
        <v>13165</v>
      </c>
      <c r="N78" s="422" t="s">
        <v>55</v>
      </c>
      <c r="O78" s="432" t="s">
        <v>170</v>
      </c>
    </row>
    <row r="79" spans="1:15" x14ac:dyDescent="0.3">
      <c r="A79" s="436">
        <v>13167</v>
      </c>
      <c r="B79" s="116" t="s">
        <v>55</v>
      </c>
      <c r="C79" s="108" t="s">
        <v>612</v>
      </c>
      <c r="D79" s="125"/>
      <c r="E79">
        <f t="shared" si="4"/>
        <v>79</v>
      </c>
      <c r="F79" s="421">
        <v>1104</v>
      </c>
      <c r="G79" s="436">
        <v>13167</v>
      </c>
      <c r="H79" s="422" t="s">
        <v>55</v>
      </c>
      <c r="I79" s="423" t="s">
        <v>612</v>
      </c>
      <c r="K79" s="508">
        <f t="shared" si="3"/>
        <v>0</v>
      </c>
      <c r="L79" s="421">
        <v>1104</v>
      </c>
      <c r="M79" s="451">
        <v>13167</v>
      </c>
      <c r="N79" s="422" t="s">
        <v>55</v>
      </c>
      <c r="O79" s="432" t="s">
        <v>612</v>
      </c>
    </row>
    <row r="80" spans="1:15" x14ac:dyDescent="0.3">
      <c r="A80" s="436">
        <v>13301</v>
      </c>
      <c r="B80" s="116" t="s">
        <v>55</v>
      </c>
      <c r="C80" s="108" t="s">
        <v>198</v>
      </c>
      <c r="D80" s="125"/>
      <c r="E80">
        <f t="shared" si="4"/>
        <v>80</v>
      </c>
      <c r="F80" s="421">
        <v>339</v>
      </c>
      <c r="G80" s="436">
        <v>13301</v>
      </c>
      <c r="H80" s="422" t="s">
        <v>55</v>
      </c>
      <c r="I80" s="423" t="s">
        <v>198</v>
      </c>
      <c r="K80" s="508">
        <f t="shared" si="3"/>
        <v>0</v>
      </c>
      <c r="L80" s="421">
        <v>339</v>
      </c>
      <c r="M80" s="451">
        <v>13301</v>
      </c>
      <c r="N80" s="422" t="s">
        <v>55</v>
      </c>
      <c r="O80" s="432" t="s">
        <v>198</v>
      </c>
    </row>
    <row r="81" spans="1:15" x14ac:dyDescent="0.3">
      <c r="A81" s="436">
        <v>14005</v>
      </c>
      <c r="B81" s="116" t="s">
        <v>13</v>
      </c>
      <c r="C81" s="108" t="s">
        <v>11</v>
      </c>
      <c r="D81" s="125"/>
      <c r="E81">
        <f t="shared" si="4"/>
        <v>81</v>
      </c>
      <c r="F81" s="421">
        <v>2</v>
      </c>
      <c r="G81" s="436">
        <v>14005</v>
      </c>
      <c r="H81" s="422" t="s">
        <v>13</v>
      </c>
      <c r="I81" s="423" t="s">
        <v>11</v>
      </c>
      <c r="K81" s="508">
        <f t="shared" si="3"/>
        <v>0</v>
      </c>
      <c r="L81" s="421">
        <v>2</v>
      </c>
      <c r="M81" s="451">
        <v>14005</v>
      </c>
      <c r="N81" s="422" t="s">
        <v>13</v>
      </c>
      <c r="O81" s="432" t="s">
        <v>11</v>
      </c>
    </row>
    <row r="82" spans="1:15" x14ac:dyDescent="0.3">
      <c r="A82" s="436">
        <v>14028</v>
      </c>
      <c r="B82" s="116" t="s">
        <v>13</v>
      </c>
      <c r="C82" s="108" t="s">
        <v>224</v>
      </c>
      <c r="D82" s="125"/>
      <c r="E82">
        <f t="shared" si="4"/>
        <v>82</v>
      </c>
      <c r="F82" s="421">
        <v>385</v>
      </c>
      <c r="G82" s="436">
        <v>14028</v>
      </c>
      <c r="H82" s="422" t="s">
        <v>13</v>
      </c>
      <c r="I82" s="423" t="s">
        <v>224</v>
      </c>
      <c r="K82" s="508">
        <f t="shared" si="3"/>
        <v>0</v>
      </c>
      <c r="L82" s="421">
        <v>385</v>
      </c>
      <c r="M82" s="451">
        <v>14028</v>
      </c>
      <c r="N82" s="422" t="s">
        <v>13</v>
      </c>
      <c r="O82" s="432" t="s">
        <v>224</v>
      </c>
    </row>
    <row r="83" spans="1:15" x14ac:dyDescent="0.3">
      <c r="A83" s="436">
        <v>14064</v>
      </c>
      <c r="B83" s="116" t="s">
        <v>13</v>
      </c>
      <c r="C83" s="108" t="s">
        <v>342</v>
      </c>
      <c r="D83" s="125"/>
      <c r="E83">
        <f t="shared" si="4"/>
        <v>83</v>
      </c>
      <c r="F83" s="421">
        <v>645</v>
      </c>
      <c r="G83" s="436">
        <v>14064</v>
      </c>
      <c r="H83" s="422" t="s">
        <v>13</v>
      </c>
      <c r="I83" s="423" t="s">
        <v>342</v>
      </c>
      <c r="K83" s="508">
        <f t="shared" si="3"/>
        <v>0</v>
      </c>
      <c r="L83" s="421">
        <v>645</v>
      </c>
      <c r="M83" s="451">
        <v>14064</v>
      </c>
      <c r="N83" s="422" t="s">
        <v>13</v>
      </c>
      <c r="O83" s="432" t="s">
        <v>342</v>
      </c>
    </row>
    <row r="84" spans="1:15" x14ac:dyDescent="0.3">
      <c r="A84" s="436">
        <v>14065</v>
      </c>
      <c r="B84" s="116" t="s">
        <v>13</v>
      </c>
      <c r="C84" s="108" t="s">
        <v>294</v>
      </c>
      <c r="D84" s="125"/>
      <c r="E84">
        <f t="shared" si="4"/>
        <v>84</v>
      </c>
      <c r="F84" s="421">
        <v>577</v>
      </c>
      <c r="G84" s="436">
        <v>14065</v>
      </c>
      <c r="H84" s="422" t="s">
        <v>13</v>
      </c>
      <c r="I84" s="423" t="s">
        <v>294</v>
      </c>
      <c r="K84" s="508">
        <f t="shared" si="3"/>
        <v>0</v>
      </c>
      <c r="L84" s="421">
        <v>577</v>
      </c>
      <c r="M84" s="451">
        <v>14065</v>
      </c>
      <c r="N84" s="422" t="s">
        <v>13</v>
      </c>
      <c r="O84" s="432" t="s">
        <v>294</v>
      </c>
    </row>
    <row r="85" spans="1:15" x14ac:dyDescent="0.3">
      <c r="A85" s="436">
        <v>14066</v>
      </c>
      <c r="B85" s="116" t="s">
        <v>13</v>
      </c>
      <c r="C85" s="108" t="s">
        <v>310</v>
      </c>
      <c r="D85" s="125"/>
      <c r="E85">
        <f t="shared" si="4"/>
        <v>85</v>
      </c>
      <c r="F85" s="421">
        <v>606</v>
      </c>
      <c r="G85" s="436">
        <v>14066</v>
      </c>
      <c r="H85" s="422" t="s">
        <v>13</v>
      </c>
      <c r="I85" s="423" t="s">
        <v>310</v>
      </c>
      <c r="K85" s="508">
        <f t="shared" si="3"/>
        <v>0</v>
      </c>
      <c r="L85" s="421">
        <v>606</v>
      </c>
      <c r="M85" s="451">
        <v>14066</v>
      </c>
      <c r="N85" s="422" t="s">
        <v>13</v>
      </c>
      <c r="O85" s="432" t="s">
        <v>310</v>
      </c>
    </row>
    <row r="86" spans="1:15" x14ac:dyDescent="0.3">
      <c r="A86" s="436">
        <v>14068</v>
      </c>
      <c r="B86" s="116" t="s">
        <v>13</v>
      </c>
      <c r="C86" s="108" t="s">
        <v>162</v>
      </c>
      <c r="D86" s="125"/>
      <c r="E86">
        <f t="shared" si="4"/>
        <v>86</v>
      </c>
      <c r="F86" s="421">
        <v>272</v>
      </c>
      <c r="G86" s="436">
        <v>14068</v>
      </c>
      <c r="H86" s="422" t="s">
        <v>13</v>
      </c>
      <c r="I86" s="423" t="s">
        <v>162</v>
      </c>
      <c r="K86" s="508">
        <f t="shared" si="3"/>
        <v>0</v>
      </c>
      <c r="L86" s="421">
        <v>272</v>
      </c>
      <c r="M86" s="451">
        <v>14068</v>
      </c>
      <c r="N86" s="422" t="s">
        <v>13</v>
      </c>
      <c r="O86" s="432" t="s">
        <v>162</v>
      </c>
    </row>
    <row r="87" spans="1:15" x14ac:dyDescent="0.3">
      <c r="A87" s="436">
        <v>14077</v>
      </c>
      <c r="B87" s="116" t="s">
        <v>13</v>
      </c>
      <c r="C87" s="108" t="s">
        <v>540</v>
      </c>
      <c r="D87" s="125"/>
      <c r="E87">
        <f t="shared" si="4"/>
        <v>87</v>
      </c>
      <c r="F87" s="421">
        <v>967</v>
      </c>
      <c r="G87" s="436">
        <v>14077</v>
      </c>
      <c r="H87" s="422" t="s">
        <v>13</v>
      </c>
      <c r="I87" s="423" t="s">
        <v>540</v>
      </c>
      <c r="K87" s="508">
        <f t="shared" si="3"/>
        <v>0</v>
      </c>
      <c r="L87" s="421">
        <v>967</v>
      </c>
      <c r="M87" s="451">
        <v>14077</v>
      </c>
      <c r="N87" s="422" t="s">
        <v>13</v>
      </c>
      <c r="O87" s="432" t="s">
        <v>540</v>
      </c>
    </row>
    <row r="88" spans="1:15" x14ac:dyDescent="0.3">
      <c r="A88" s="436">
        <v>14097</v>
      </c>
      <c r="B88" s="116" t="s">
        <v>13</v>
      </c>
      <c r="C88" s="108" t="s">
        <v>440</v>
      </c>
      <c r="D88" s="125"/>
      <c r="E88">
        <f t="shared" si="4"/>
        <v>88</v>
      </c>
      <c r="F88" s="421">
        <v>788</v>
      </c>
      <c r="G88" s="436">
        <v>14097</v>
      </c>
      <c r="H88" s="422" t="s">
        <v>13</v>
      </c>
      <c r="I88" s="423" t="s">
        <v>440</v>
      </c>
      <c r="K88" s="508">
        <f t="shared" si="3"/>
        <v>0</v>
      </c>
      <c r="L88" s="421">
        <v>788</v>
      </c>
      <c r="M88" s="451">
        <v>14097</v>
      </c>
      <c r="N88" s="422" t="s">
        <v>13</v>
      </c>
      <c r="O88" s="432" t="s">
        <v>440</v>
      </c>
    </row>
    <row r="89" spans="1:15" x14ac:dyDescent="0.3">
      <c r="A89" s="436">
        <v>14099</v>
      </c>
      <c r="B89" s="116" t="s">
        <v>13</v>
      </c>
      <c r="C89" s="108" t="s">
        <v>112</v>
      </c>
      <c r="D89" s="125"/>
      <c r="E89">
        <f t="shared" si="4"/>
        <v>89</v>
      </c>
      <c r="F89" s="421">
        <v>194</v>
      </c>
      <c r="G89" s="436">
        <v>14099</v>
      </c>
      <c r="H89" s="422" t="s">
        <v>13</v>
      </c>
      <c r="I89" s="423" t="s">
        <v>112</v>
      </c>
      <c r="K89" s="508">
        <f t="shared" si="3"/>
        <v>0</v>
      </c>
      <c r="L89" s="421">
        <v>194</v>
      </c>
      <c r="M89" s="451">
        <v>14099</v>
      </c>
      <c r="N89" s="422" t="s">
        <v>13</v>
      </c>
      <c r="O89" s="432" t="s">
        <v>112</v>
      </c>
    </row>
    <row r="90" spans="1:15" x14ac:dyDescent="0.3">
      <c r="A90" s="436">
        <v>14104</v>
      </c>
      <c r="B90" s="116" t="s">
        <v>13</v>
      </c>
      <c r="C90" s="108" t="s">
        <v>476</v>
      </c>
      <c r="D90" s="125"/>
      <c r="E90">
        <f t="shared" si="4"/>
        <v>90</v>
      </c>
      <c r="F90" s="421">
        <v>834</v>
      </c>
      <c r="G90" s="436">
        <v>14104</v>
      </c>
      <c r="H90" s="422" t="s">
        <v>13</v>
      </c>
      <c r="I90" s="423" t="s">
        <v>476</v>
      </c>
      <c r="K90" s="508">
        <f t="shared" si="3"/>
        <v>0</v>
      </c>
      <c r="L90" s="421">
        <v>834</v>
      </c>
      <c r="M90" s="451">
        <v>14104</v>
      </c>
      <c r="N90" s="422" t="s">
        <v>13</v>
      </c>
      <c r="O90" s="432" t="s">
        <v>476</v>
      </c>
    </row>
    <row r="91" spans="1:15" x14ac:dyDescent="0.3">
      <c r="A91" s="436">
        <v>14117</v>
      </c>
      <c r="B91" s="116" t="s">
        <v>13</v>
      </c>
      <c r="C91" s="108" t="s">
        <v>616</v>
      </c>
      <c r="D91" s="125"/>
      <c r="E91">
        <f t="shared" si="4"/>
        <v>91</v>
      </c>
      <c r="F91" s="421">
        <v>1109</v>
      </c>
      <c r="G91" s="436">
        <v>14117</v>
      </c>
      <c r="H91" s="422" t="s">
        <v>13</v>
      </c>
      <c r="I91" s="423" t="s">
        <v>616</v>
      </c>
      <c r="K91" s="508">
        <f t="shared" si="3"/>
        <v>0</v>
      </c>
      <c r="L91" s="421">
        <v>1109</v>
      </c>
      <c r="M91" s="451">
        <v>14117</v>
      </c>
      <c r="N91" s="422" t="s">
        <v>13</v>
      </c>
      <c r="O91" s="432" t="s">
        <v>616</v>
      </c>
    </row>
    <row r="92" spans="1:15" x14ac:dyDescent="0.3">
      <c r="A92" s="436">
        <v>14172</v>
      </c>
      <c r="B92" s="116" t="s">
        <v>13</v>
      </c>
      <c r="C92" s="108" t="s">
        <v>372</v>
      </c>
      <c r="D92" s="125"/>
      <c r="E92">
        <f t="shared" si="4"/>
        <v>92</v>
      </c>
      <c r="F92" s="421">
        <v>663</v>
      </c>
      <c r="G92" s="436">
        <v>14172</v>
      </c>
      <c r="H92" s="422" t="s">
        <v>13</v>
      </c>
      <c r="I92" s="423" t="s">
        <v>372</v>
      </c>
      <c r="K92" s="508">
        <f t="shared" si="3"/>
        <v>0</v>
      </c>
      <c r="L92" s="421">
        <v>663</v>
      </c>
      <c r="M92" s="451">
        <v>14172</v>
      </c>
      <c r="N92" s="422" t="s">
        <v>13</v>
      </c>
      <c r="O92" s="432" t="s">
        <v>372</v>
      </c>
    </row>
    <row r="93" spans="1:15" x14ac:dyDescent="0.3">
      <c r="A93" s="436">
        <v>14400</v>
      </c>
      <c r="B93" s="116" t="s">
        <v>13</v>
      </c>
      <c r="C93" s="108" t="s">
        <v>368</v>
      </c>
      <c r="D93" s="125"/>
      <c r="E93">
        <f t="shared" si="4"/>
        <v>93</v>
      </c>
      <c r="F93" s="421">
        <v>660</v>
      </c>
      <c r="G93" s="436">
        <v>14400</v>
      </c>
      <c r="H93" s="422" t="s">
        <v>13</v>
      </c>
      <c r="I93" s="423" t="s">
        <v>368</v>
      </c>
      <c r="K93" s="508">
        <f t="shared" si="3"/>
        <v>0</v>
      </c>
      <c r="L93" s="421">
        <v>660</v>
      </c>
      <c r="M93" s="451">
        <v>14400</v>
      </c>
      <c r="N93" s="422" t="s">
        <v>13</v>
      </c>
      <c r="O93" s="432" t="s">
        <v>368</v>
      </c>
    </row>
    <row r="94" spans="1:15" x14ac:dyDescent="0.3">
      <c r="A94" s="436">
        <v>15201</v>
      </c>
      <c r="B94" s="116" t="s">
        <v>21</v>
      </c>
      <c r="C94" s="108" t="s">
        <v>364</v>
      </c>
      <c r="D94" s="125"/>
      <c r="E94">
        <f t="shared" si="4"/>
        <v>94</v>
      </c>
      <c r="F94" s="421">
        <v>656</v>
      </c>
      <c r="G94" s="436">
        <v>15201</v>
      </c>
      <c r="H94" s="422" t="s">
        <v>21</v>
      </c>
      <c r="I94" s="423" t="s">
        <v>364</v>
      </c>
      <c r="K94" s="508">
        <f t="shared" si="3"/>
        <v>0</v>
      </c>
      <c r="L94" s="421">
        <v>656</v>
      </c>
      <c r="M94" s="451">
        <v>15201</v>
      </c>
      <c r="N94" s="422" t="s">
        <v>21</v>
      </c>
      <c r="O94" s="432" t="s">
        <v>364</v>
      </c>
    </row>
    <row r="95" spans="1:15" x14ac:dyDescent="0.3">
      <c r="A95" s="436">
        <v>15204</v>
      </c>
      <c r="B95" s="116" t="s">
        <v>21</v>
      </c>
      <c r="C95" s="108" t="s">
        <v>116</v>
      </c>
      <c r="D95" s="125"/>
      <c r="E95">
        <f t="shared" si="4"/>
        <v>95</v>
      </c>
      <c r="F95" s="421">
        <v>199</v>
      </c>
      <c r="G95" s="436">
        <v>15204</v>
      </c>
      <c r="H95" s="422" t="s">
        <v>21</v>
      </c>
      <c r="I95" s="423" t="s">
        <v>116</v>
      </c>
      <c r="K95" s="508">
        <f t="shared" si="3"/>
        <v>0</v>
      </c>
      <c r="L95" s="421">
        <v>199</v>
      </c>
      <c r="M95" s="451">
        <v>15204</v>
      </c>
      <c r="N95" s="422" t="s">
        <v>21</v>
      </c>
      <c r="O95" s="432" t="s">
        <v>116</v>
      </c>
    </row>
    <row r="96" spans="1:15" x14ac:dyDescent="0.3">
      <c r="A96" s="436">
        <v>15206</v>
      </c>
      <c r="B96" s="116" t="s">
        <v>21</v>
      </c>
      <c r="C96" s="108" t="s">
        <v>508</v>
      </c>
      <c r="D96" s="125"/>
      <c r="E96">
        <f t="shared" si="4"/>
        <v>96</v>
      </c>
      <c r="F96" s="421">
        <v>903</v>
      </c>
      <c r="G96" s="436">
        <v>15206</v>
      </c>
      <c r="H96" s="422" t="s">
        <v>21</v>
      </c>
      <c r="I96" s="423" t="s">
        <v>508</v>
      </c>
      <c r="K96" s="508">
        <f t="shared" si="3"/>
        <v>0</v>
      </c>
      <c r="L96" s="421">
        <v>903</v>
      </c>
      <c r="M96" s="451">
        <v>15206</v>
      </c>
      <c r="N96" s="422" t="s">
        <v>21</v>
      </c>
      <c r="O96" s="432" t="s">
        <v>508</v>
      </c>
    </row>
    <row r="97" spans="1:15" x14ac:dyDescent="0.3">
      <c r="A97" s="436">
        <v>16020</v>
      </c>
      <c r="B97" s="116" t="s">
        <v>52</v>
      </c>
      <c r="C97" s="108" t="s">
        <v>434</v>
      </c>
      <c r="D97" s="125"/>
      <c r="E97">
        <f t="shared" si="4"/>
        <v>97</v>
      </c>
      <c r="F97" s="421">
        <v>785</v>
      </c>
      <c r="G97" s="436">
        <v>16020</v>
      </c>
      <c r="H97" s="422" t="s">
        <v>52</v>
      </c>
      <c r="I97" s="423" t="s">
        <v>434</v>
      </c>
      <c r="K97" s="508">
        <f t="shared" si="3"/>
        <v>0</v>
      </c>
      <c r="L97" s="421">
        <v>785</v>
      </c>
      <c r="M97" s="451">
        <v>16020</v>
      </c>
      <c r="N97" s="422" t="s">
        <v>52</v>
      </c>
      <c r="O97" s="432" t="s">
        <v>434</v>
      </c>
    </row>
    <row r="98" spans="1:15" x14ac:dyDescent="0.3">
      <c r="A98" s="436">
        <v>16046</v>
      </c>
      <c r="B98" s="116" t="s">
        <v>52</v>
      </c>
      <c r="C98" s="108" t="s">
        <v>58</v>
      </c>
      <c r="D98" s="125"/>
      <c r="E98">
        <f t="shared" si="4"/>
        <v>98</v>
      </c>
      <c r="F98" s="421">
        <v>89</v>
      </c>
      <c r="G98" s="436">
        <v>16046</v>
      </c>
      <c r="H98" s="422" t="s">
        <v>52</v>
      </c>
      <c r="I98" s="423" t="s">
        <v>58</v>
      </c>
      <c r="K98" s="508">
        <f t="shared" si="3"/>
        <v>0</v>
      </c>
      <c r="L98" s="421">
        <v>89</v>
      </c>
      <c r="M98" s="451">
        <v>16046</v>
      </c>
      <c r="N98" s="422" t="s">
        <v>52</v>
      </c>
      <c r="O98" s="432" t="s">
        <v>58</v>
      </c>
    </row>
    <row r="99" spans="1:15" x14ac:dyDescent="0.3">
      <c r="A99" s="436">
        <v>16048</v>
      </c>
      <c r="B99" s="116" t="s">
        <v>52</v>
      </c>
      <c r="C99" s="108" t="s">
        <v>436</v>
      </c>
      <c r="D99" s="125"/>
      <c r="E99">
        <f t="shared" si="4"/>
        <v>99</v>
      </c>
      <c r="F99" s="421">
        <v>786</v>
      </c>
      <c r="G99" s="436">
        <v>16048</v>
      </c>
      <c r="H99" s="422" t="s">
        <v>52</v>
      </c>
      <c r="I99" s="423" t="s">
        <v>436</v>
      </c>
      <c r="K99" s="508">
        <f t="shared" si="3"/>
        <v>0</v>
      </c>
      <c r="L99" s="421">
        <v>786</v>
      </c>
      <c r="M99" s="451">
        <v>16048</v>
      </c>
      <c r="N99" s="422" t="s">
        <v>52</v>
      </c>
      <c r="O99" s="432" t="s">
        <v>436</v>
      </c>
    </row>
    <row r="100" spans="1:15" x14ac:dyDescent="0.3">
      <c r="A100" s="436">
        <v>16049</v>
      </c>
      <c r="B100" s="116" t="s">
        <v>52</v>
      </c>
      <c r="C100" s="108" t="s">
        <v>88</v>
      </c>
      <c r="D100" s="125"/>
      <c r="E100">
        <f t="shared" si="4"/>
        <v>100</v>
      </c>
      <c r="F100" s="421">
        <v>137</v>
      </c>
      <c r="G100" s="436">
        <v>16049</v>
      </c>
      <c r="H100" s="422" t="s">
        <v>52</v>
      </c>
      <c r="I100" s="423" t="s">
        <v>88</v>
      </c>
      <c r="K100" s="508">
        <f t="shared" si="3"/>
        <v>0</v>
      </c>
      <c r="L100" s="421">
        <v>137</v>
      </c>
      <c r="M100" s="451">
        <v>16049</v>
      </c>
      <c r="N100" s="422" t="s">
        <v>52</v>
      </c>
      <c r="O100" s="432" t="s">
        <v>88</v>
      </c>
    </row>
    <row r="101" spans="1:15" x14ac:dyDescent="0.3">
      <c r="A101" s="436">
        <v>16050</v>
      </c>
      <c r="B101" s="116" t="s">
        <v>52</v>
      </c>
      <c r="C101" s="108" t="s">
        <v>422</v>
      </c>
      <c r="D101" s="125"/>
      <c r="E101">
        <f t="shared" si="4"/>
        <v>101</v>
      </c>
      <c r="F101" s="421">
        <v>757</v>
      </c>
      <c r="G101" s="436">
        <v>16050</v>
      </c>
      <c r="H101" s="422" t="s">
        <v>52</v>
      </c>
      <c r="I101" s="423" t="s">
        <v>422</v>
      </c>
      <c r="K101" s="508">
        <f t="shared" si="3"/>
        <v>0</v>
      </c>
      <c r="L101" s="421">
        <v>757</v>
      </c>
      <c r="M101" s="451">
        <v>16050</v>
      </c>
      <c r="N101" s="422" t="s">
        <v>52</v>
      </c>
      <c r="O101" s="432" t="s">
        <v>422</v>
      </c>
    </row>
    <row r="102" spans="1:15" x14ac:dyDescent="0.3">
      <c r="A102" s="436">
        <v>17001</v>
      </c>
      <c r="B102" s="116" t="s">
        <v>29</v>
      </c>
      <c r="C102" s="108" t="s">
        <v>478</v>
      </c>
      <c r="D102" s="125"/>
      <c r="E102">
        <f t="shared" si="4"/>
        <v>102</v>
      </c>
      <c r="F102" s="421">
        <v>844</v>
      </c>
      <c r="G102" s="436">
        <v>17001</v>
      </c>
      <c r="H102" s="422" t="s">
        <v>29</v>
      </c>
      <c r="I102" s="423" t="s">
        <v>478</v>
      </c>
      <c r="K102" s="508">
        <f t="shared" si="3"/>
        <v>0</v>
      </c>
      <c r="L102" s="421">
        <v>844</v>
      </c>
      <c r="M102" s="451">
        <v>17001</v>
      </c>
      <c r="N102" s="422" t="s">
        <v>29</v>
      </c>
      <c r="O102" s="432" t="s">
        <v>478</v>
      </c>
    </row>
    <row r="103" spans="1:15" x14ac:dyDescent="0.3">
      <c r="A103" s="436">
        <v>17210</v>
      </c>
      <c r="B103" s="116" t="s">
        <v>29</v>
      </c>
      <c r="C103" s="108" t="s">
        <v>180</v>
      </c>
      <c r="D103" s="125"/>
      <c r="E103">
        <f t="shared" si="4"/>
        <v>103</v>
      </c>
      <c r="F103" s="421">
        <v>294</v>
      </c>
      <c r="G103" s="436">
        <v>17210</v>
      </c>
      <c r="H103" s="422" t="s">
        <v>29</v>
      </c>
      <c r="I103" s="423" t="s">
        <v>180</v>
      </c>
      <c r="K103" s="508">
        <f t="shared" si="3"/>
        <v>0</v>
      </c>
      <c r="L103" s="421">
        <v>294</v>
      </c>
      <c r="M103" s="451">
        <v>17210</v>
      </c>
      <c r="N103" s="422" t="s">
        <v>29</v>
      </c>
      <c r="O103" s="432" t="s">
        <v>180</v>
      </c>
    </row>
    <row r="104" spans="1:15" x14ac:dyDescent="0.3">
      <c r="A104" s="436">
        <v>17216</v>
      </c>
      <c r="B104" s="116" t="s">
        <v>29</v>
      </c>
      <c r="C104" s="108" t="s">
        <v>168</v>
      </c>
      <c r="D104" s="125"/>
      <c r="E104">
        <f t="shared" si="4"/>
        <v>104</v>
      </c>
      <c r="F104" s="421">
        <v>280</v>
      </c>
      <c r="G104" s="436">
        <v>17216</v>
      </c>
      <c r="H104" s="422" t="s">
        <v>29</v>
      </c>
      <c r="I104" s="423" t="s">
        <v>168</v>
      </c>
      <c r="K104" s="508">
        <f t="shared" si="3"/>
        <v>0</v>
      </c>
      <c r="L104" s="421">
        <v>280</v>
      </c>
      <c r="M104" s="451">
        <v>17216</v>
      </c>
      <c r="N104" s="422" t="s">
        <v>29</v>
      </c>
      <c r="O104" s="432" t="s">
        <v>168</v>
      </c>
    </row>
    <row r="105" spans="1:15" x14ac:dyDescent="0.3">
      <c r="A105" s="436">
        <v>17400</v>
      </c>
      <c r="B105" s="116" t="s">
        <v>29</v>
      </c>
      <c r="C105" s="108" t="s">
        <v>300</v>
      </c>
      <c r="D105" s="125"/>
      <c r="E105">
        <f t="shared" si="4"/>
        <v>105</v>
      </c>
      <c r="F105" s="421">
        <v>585</v>
      </c>
      <c r="G105" s="436">
        <v>17400</v>
      </c>
      <c r="H105" s="422" t="s">
        <v>29</v>
      </c>
      <c r="I105" s="423" t="s">
        <v>300</v>
      </c>
      <c r="K105" s="508">
        <f t="shared" si="3"/>
        <v>0</v>
      </c>
      <c r="L105" s="421">
        <v>585</v>
      </c>
      <c r="M105" s="451">
        <v>17400</v>
      </c>
      <c r="N105" s="422" t="s">
        <v>29</v>
      </c>
      <c r="O105" s="432" t="s">
        <v>300</v>
      </c>
    </row>
    <row r="106" spans="1:15" x14ac:dyDescent="0.3">
      <c r="A106" s="436">
        <v>17401</v>
      </c>
      <c r="B106" s="116" t="s">
        <v>29</v>
      </c>
      <c r="C106" s="108" t="s">
        <v>218</v>
      </c>
      <c r="D106" s="125"/>
      <c r="E106">
        <f t="shared" si="4"/>
        <v>106</v>
      </c>
      <c r="F106" s="421">
        <v>378</v>
      </c>
      <c r="G106" s="436">
        <v>17401</v>
      </c>
      <c r="H106" s="422" t="s">
        <v>29</v>
      </c>
      <c r="I106" s="423" t="s">
        <v>218</v>
      </c>
      <c r="K106" s="508">
        <f t="shared" si="3"/>
        <v>0</v>
      </c>
      <c r="L106" s="421">
        <v>378</v>
      </c>
      <c r="M106" s="451">
        <v>17401</v>
      </c>
      <c r="N106" s="422" t="s">
        <v>29</v>
      </c>
      <c r="O106" s="432" t="s">
        <v>218</v>
      </c>
    </row>
    <row r="107" spans="1:15" x14ac:dyDescent="0.3">
      <c r="A107" s="436">
        <v>17402</v>
      </c>
      <c r="B107" s="116" t="s">
        <v>29</v>
      </c>
      <c r="C107" s="108" t="s">
        <v>574</v>
      </c>
      <c r="D107" s="125"/>
      <c r="E107">
        <f t="shared" si="4"/>
        <v>107</v>
      </c>
      <c r="F107" s="421">
        <v>1032</v>
      </c>
      <c r="G107" s="436">
        <v>17402</v>
      </c>
      <c r="H107" s="422" t="s">
        <v>29</v>
      </c>
      <c r="I107" s="423" t="s">
        <v>574</v>
      </c>
      <c r="K107" s="508">
        <f t="shared" si="3"/>
        <v>0</v>
      </c>
      <c r="L107" s="421">
        <v>1032</v>
      </c>
      <c r="M107" s="451">
        <v>17402</v>
      </c>
      <c r="N107" s="422" t="s">
        <v>29</v>
      </c>
      <c r="O107" s="432" t="s">
        <v>574</v>
      </c>
    </row>
    <row r="108" spans="1:15" x14ac:dyDescent="0.3">
      <c r="A108" s="436">
        <v>17403</v>
      </c>
      <c r="B108" s="116" t="s">
        <v>29</v>
      </c>
      <c r="C108" s="108" t="s">
        <v>450</v>
      </c>
      <c r="D108" s="125"/>
      <c r="E108">
        <f t="shared" si="4"/>
        <v>108</v>
      </c>
      <c r="F108" s="421">
        <v>804</v>
      </c>
      <c r="G108" s="436">
        <v>17403</v>
      </c>
      <c r="H108" s="422" t="s">
        <v>29</v>
      </c>
      <c r="I108" s="423" t="s">
        <v>450</v>
      </c>
      <c r="K108" s="508">
        <f t="shared" si="3"/>
        <v>0</v>
      </c>
      <c r="L108" s="421">
        <v>804</v>
      </c>
      <c r="M108" s="451">
        <v>17403</v>
      </c>
      <c r="N108" s="422" t="s">
        <v>29</v>
      </c>
      <c r="O108" s="432" t="s">
        <v>450</v>
      </c>
    </row>
    <row r="109" spans="1:15" x14ac:dyDescent="0.3">
      <c r="A109" s="436">
        <v>17404</v>
      </c>
      <c r="B109" s="116" t="s">
        <v>29</v>
      </c>
      <c r="C109" s="108" t="s">
        <v>496</v>
      </c>
      <c r="D109" s="125"/>
      <c r="E109">
        <f t="shared" si="4"/>
        <v>109</v>
      </c>
      <c r="F109" s="421">
        <v>878</v>
      </c>
      <c r="G109" s="436">
        <v>17404</v>
      </c>
      <c r="H109" s="422" t="s">
        <v>29</v>
      </c>
      <c r="I109" s="423" t="s">
        <v>496</v>
      </c>
      <c r="K109" s="508">
        <f t="shared" si="3"/>
        <v>0</v>
      </c>
      <c r="L109" s="421">
        <v>878</v>
      </c>
      <c r="M109" s="451">
        <v>17404</v>
      </c>
      <c r="N109" s="422" t="s">
        <v>29</v>
      </c>
      <c r="O109" s="432" t="s">
        <v>496</v>
      </c>
    </row>
    <row r="110" spans="1:15" x14ac:dyDescent="0.3">
      <c r="A110" s="436">
        <v>17405</v>
      </c>
      <c r="B110" s="116" t="s">
        <v>29</v>
      </c>
      <c r="C110" s="108" t="s">
        <v>35</v>
      </c>
      <c r="D110" s="125"/>
      <c r="E110">
        <f t="shared" si="4"/>
        <v>110</v>
      </c>
      <c r="F110" s="421">
        <v>50</v>
      </c>
      <c r="G110" s="436">
        <v>17405</v>
      </c>
      <c r="H110" s="422" t="s">
        <v>29</v>
      </c>
      <c r="I110" s="423" t="s">
        <v>35</v>
      </c>
      <c r="K110" s="508">
        <f t="shared" si="3"/>
        <v>0</v>
      </c>
      <c r="L110" s="421">
        <v>50</v>
      </c>
      <c r="M110" s="451">
        <v>17405</v>
      </c>
      <c r="N110" s="422" t="s">
        <v>29</v>
      </c>
      <c r="O110" s="432" t="s">
        <v>35</v>
      </c>
    </row>
    <row r="111" spans="1:15" x14ac:dyDescent="0.3">
      <c r="A111" s="436">
        <v>17406</v>
      </c>
      <c r="B111" s="116" t="s">
        <v>29</v>
      </c>
      <c r="C111" s="108" t="s">
        <v>562</v>
      </c>
      <c r="D111" s="125"/>
      <c r="E111">
        <f t="shared" si="4"/>
        <v>111</v>
      </c>
      <c r="F111" s="421">
        <v>909</v>
      </c>
      <c r="G111" s="436">
        <v>17406</v>
      </c>
      <c r="H111" s="422" t="s">
        <v>29</v>
      </c>
      <c r="I111" s="423" t="s">
        <v>562</v>
      </c>
      <c r="K111" s="508">
        <f t="shared" si="3"/>
        <v>0</v>
      </c>
      <c r="L111" s="421">
        <v>909</v>
      </c>
      <c r="M111" s="451">
        <v>17406</v>
      </c>
      <c r="N111" s="422" t="s">
        <v>29</v>
      </c>
      <c r="O111" s="432" t="s">
        <v>562</v>
      </c>
    </row>
    <row r="112" spans="1:15" x14ac:dyDescent="0.3">
      <c r="A112" s="436">
        <v>17407</v>
      </c>
      <c r="B112" s="116" t="s">
        <v>29</v>
      </c>
      <c r="C112" s="108" t="s">
        <v>462</v>
      </c>
      <c r="D112" s="125"/>
      <c r="E112">
        <f t="shared" si="4"/>
        <v>112</v>
      </c>
      <c r="F112" s="421">
        <v>816</v>
      </c>
      <c r="G112" s="436">
        <v>17407</v>
      </c>
      <c r="H112" s="422" t="s">
        <v>29</v>
      </c>
      <c r="I112" s="423" t="s">
        <v>462</v>
      </c>
      <c r="K112" s="508">
        <f t="shared" si="3"/>
        <v>0</v>
      </c>
      <c r="L112" s="421">
        <v>816</v>
      </c>
      <c r="M112" s="451">
        <v>17407</v>
      </c>
      <c r="N112" s="422" t="s">
        <v>29</v>
      </c>
      <c r="O112" s="432" t="s">
        <v>462</v>
      </c>
    </row>
    <row r="113" spans="1:15" x14ac:dyDescent="0.3">
      <c r="A113" s="436">
        <v>17408</v>
      </c>
      <c r="B113" s="116" t="s">
        <v>29</v>
      </c>
      <c r="C113" s="108" t="s">
        <v>27</v>
      </c>
      <c r="D113" s="125"/>
      <c r="E113">
        <f t="shared" si="4"/>
        <v>113</v>
      </c>
      <c r="F113" s="421">
        <v>39</v>
      </c>
      <c r="G113" s="436">
        <v>17408</v>
      </c>
      <c r="H113" s="422" t="s">
        <v>29</v>
      </c>
      <c r="I113" s="423" t="s">
        <v>27</v>
      </c>
      <c r="K113" s="508">
        <f t="shared" si="3"/>
        <v>0</v>
      </c>
      <c r="L113" s="421">
        <v>39</v>
      </c>
      <c r="M113" s="451">
        <v>17408</v>
      </c>
      <c r="N113" s="422" t="s">
        <v>29</v>
      </c>
      <c r="O113" s="432" t="s">
        <v>27</v>
      </c>
    </row>
    <row r="114" spans="1:15" x14ac:dyDescent="0.3">
      <c r="A114" s="436">
        <v>17409</v>
      </c>
      <c r="B114" s="116" t="s">
        <v>29</v>
      </c>
      <c r="C114" s="108" t="s">
        <v>542</v>
      </c>
      <c r="D114" s="125"/>
      <c r="E114">
        <f t="shared" si="4"/>
        <v>114</v>
      </c>
      <c r="F114" s="421">
        <v>968</v>
      </c>
      <c r="G114" s="436">
        <v>17409</v>
      </c>
      <c r="H114" s="422" t="s">
        <v>29</v>
      </c>
      <c r="I114" s="423" t="s">
        <v>542</v>
      </c>
      <c r="K114" s="508">
        <f t="shared" si="3"/>
        <v>0</v>
      </c>
      <c r="L114" s="421">
        <v>968</v>
      </c>
      <c r="M114" s="451">
        <v>17409</v>
      </c>
      <c r="N114" s="422" t="s">
        <v>29</v>
      </c>
      <c r="O114" s="432" t="s">
        <v>542</v>
      </c>
    </row>
    <row r="115" spans="1:15" x14ac:dyDescent="0.3">
      <c r="A115" s="436">
        <v>17410</v>
      </c>
      <c r="B115" s="116" t="s">
        <v>29</v>
      </c>
      <c r="C115" s="108" t="s">
        <v>500</v>
      </c>
      <c r="D115" s="125"/>
      <c r="E115">
        <f t="shared" si="4"/>
        <v>115</v>
      </c>
      <c r="F115" s="421">
        <v>902</v>
      </c>
      <c r="G115" s="436">
        <v>17410</v>
      </c>
      <c r="H115" s="422" t="s">
        <v>29</v>
      </c>
      <c r="I115" s="423" t="s">
        <v>500</v>
      </c>
      <c r="K115" s="508">
        <f t="shared" si="3"/>
        <v>0</v>
      </c>
      <c r="L115" s="421">
        <v>902</v>
      </c>
      <c r="M115" s="451">
        <v>17410</v>
      </c>
      <c r="N115" s="422" t="s">
        <v>29</v>
      </c>
      <c r="O115" s="432" t="s">
        <v>500</v>
      </c>
    </row>
    <row r="116" spans="1:15" x14ac:dyDescent="0.3">
      <c r="A116" s="436">
        <v>17411</v>
      </c>
      <c r="B116" s="116" t="s">
        <v>29</v>
      </c>
      <c r="C116" s="108" t="s">
        <v>230</v>
      </c>
      <c r="D116" s="125"/>
      <c r="E116">
        <f t="shared" si="4"/>
        <v>116</v>
      </c>
      <c r="F116" s="421">
        <v>415</v>
      </c>
      <c r="G116" s="436">
        <v>17411</v>
      </c>
      <c r="H116" s="422" t="s">
        <v>29</v>
      </c>
      <c r="I116" s="423" t="s">
        <v>230</v>
      </c>
      <c r="K116" s="508">
        <f t="shared" si="3"/>
        <v>0</v>
      </c>
      <c r="L116" s="421">
        <v>415</v>
      </c>
      <c r="M116" s="451">
        <v>17411</v>
      </c>
      <c r="N116" s="422" t="s">
        <v>29</v>
      </c>
      <c r="O116" s="432" t="s">
        <v>230</v>
      </c>
    </row>
    <row r="117" spans="1:15" x14ac:dyDescent="0.3">
      <c r="A117" s="436">
        <v>17412</v>
      </c>
      <c r="B117" s="116" t="s">
        <v>29</v>
      </c>
      <c r="C117" s="108" t="s">
        <v>492</v>
      </c>
      <c r="D117" s="125"/>
      <c r="E117">
        <f t="shared" si="4"/>
        <v>117</v>
      </c>
      <c r="F117" s="421">
        <v>865</v>
      </c>
      <c r="G117" s="436">
        <v>17412</v>
      </c>
      <c r="H117" s="422" t="s">
        <v>29</v>
      </c>
      <c r="I117" s="423" t="s">
        <v>492</v>
      </c>
      <c r="K117" s="508">
        <f t="shared" si="3"/>
        <v>0</v>
      </c>
      <c r="L117" s="421">
        <v>865</v>
      </c>
      <c r="M117" s="451">
        <v>17412</v>
      </c>
      <c r="N117" s="422" t="s">
        <v>29</v>
      </c>
      <c r="O117" s="432" t="s">
        <v>492</v>
      </c>
    </row>
    <row r="118" spans="1:15" x14ac:dyDescent="0.3">
      <c r="A118" s="436">
        <v>17414</v>
      </c>
      <c r="B118" s="116" t="s">
        <v>29</v>
      </c>
      <c r="C118" s="108" t="s">
        <v>262</v>
      </c>
      <c r="D118" s="125"/>
      <c r="E118">
        <f t="shared" si="4"/>
        <v>118</v>
      </c>
      <c r="F118" s="421">
        <v>518</v>
      </c>
      <c r="G118" s="436">
        <v>17414</v>
      </c>
      <c r="H118" s="422" t="s">
        <v>29</v>
      </c>
      <c r="I118" s="423" t="s">
        <v>262</v>
      </c>
      <c r="K118" s="508">
        <f t="shared" si="3"/>
        <v>0</v>
      </c>
      <c r="L118" s="421">
        <v>518</v>
      </c>
      <c r="M118" s="451">
        <v>17414</v>
      </c>
      <c r="N118" s="422" t="s">
        <v>29</v>
      </c>
      <c r="O118" s="432" t="s">
        <v>262</v>
      </c>
    </row>
    <row r="119" spans="1:15" x14ac:dyDescent="0.3">
      <c r="A119" s="436">
        <v>17415</v>
      </c>
      <c r="B119" s="116" t="s">
        <v>29</v>
      </c>
      <c r="C119" s="108" t="s">
        <v>242</v>
      </c>
      <c r="D119" s="125"/>
      <c r="E119">
        <f t="shared" si="4"/>
        <v>119</v>
      </c>
      <c r="F119" s="421">
        <v>435</v>
      </c>
      <c r="G119" s="436">
        <v>17415</v>
      </c>
      <c r="H119" s="422" t="s">
        <v>29</v>
      </c>
      <c r="I119" s="423" t="s">
        <v>242</v>
      </c>
      <c r="K119" s="508">
        <f t="shared" si="3"/>
        <v>0</v>
      </c>
      <c r="L119" s="421">
        <v>435</v>
      </c>
      <c r="M119" s="451">
        <v>17415</v>
      </c>
      <c r="N119" s="422" t="s">
        <v>29</v>
      </c>
      <c r="O119" s="432" t="s">
        <v>242</v>
      </c>
    </row>
    <row r="120" spans="1:15" x14ac:dyDescent="0.3">
      <c r="A120" s="436">
        <v>17417</v>
      </c>
      <c r="B120" s="116" t="s">
        <v>29</v>
      </c>
      <c r="C120" s="108" t="s">
        <v>360</v>
      </c>
      <c r="D120" s="125"/>
      <c r="E120">
        <f t="shared" si="4"/>
        <v>120</v>
      </c>
      <c r="F120" s="421">
        <v>653</v>
      </c>
      <c r="G120" s="436">
        <v>17417</v>
      </c>
      <c r="H120" s="422" t="s">
        <v>29</v>
      </c>
      <c r="I120" s="423" t="s">
        <v>360</v>
      </c>
      <c r="K120" s="508">
        <f t="shared" si="3"/>
        <v>0</v>
      </c>
      <c r="L120" s="421">
        <v>653</v>
      </c>
      <c r="M120" s="451">
        <v>17417</v>
      </c>
      <c r="N120" s="422" t="s">
        <v>29</v>
      </c>
      <c r="O120" s="432" t="s">
        <v>360</v>
      </c>
    </row>
    <row r="121" spans="1:15" x14ac:dyDescent="0.3">
      <c r="A121" s="436">
        <v>17801</v>
      </c>
      <c r="B121" s="116">
        <v>121</v>
      </c>
      <c r="C121" s="249" t="s">
        <v>428</v>
      </c>
      <c r="D121" s="125"/>
      <c r="E121">
        <f t="shared" si="4"/>
        <v>121</v>
      </c>
      <c r="F121" s="421">
        <v>264</v>
      </c>
      <c r="G121" s="436">
        <v>17801</v>
      </c>
      <c r="H121" s="422">
        <v>121</v>
      </c>
      <c r="I121" s="423" t="s">
        <v>428</v>
      </c>
      <c r="K121" s="508">
        <f t="shared" si="3"/>
        <v>0</v>
      </c>
      <c r="L121" s="421">
        <v>264</v>
      </c>
      <c r="M121" s="451">
        <v>17801</v>
      </c>
      <c r="N121" s="422">
        <v>121</v>
      </c>
      <c r="O121" s="495" t="s">
        <v>428</v>
      </c>
    </row>
    <row r="122" spans="1:15" x14ac:dyDescent="0.3">
      <c r="A122" s="436">
        <v>17902</v>
      </c>
      <c r="B122" s="250" t="s">
        <v>1039</v>
      </c>
      <c r="C122" s="251" t="s">
        <v>1035</v>
      </c>
      <c r="D122" s="125"/>
      <c r="E122">
        <f t="shared" si="4"/>
        <v>122</v>
      </c>
      <c r="F122" s="421">
        <v>2633</v>
      </c>
      <c r="G122" s="436">
        <v>17902</v>
      </c>
      <c r="H122" s="425" t="s">
        <v>1039</v>
      </c>
      <c r="I122" s="426" t="s">
        <v>1083</v>
      </c>
      <c r="K122" s="508">
        <f t="shared" si="3"/>
        <v>0</v>
      </c>
      <c r="L122" s="421">
        <v>2633</v>
      </c>
      <c r="M122" s="451">
        <v>17902</v>
      </c>
      <c r="N122" s="425" t="s">
        <v>1039</v>
      </c>
      <c r="O122" s="450" t="s">
        <v>1035</v>
      </c>
    </row>
    <row r="123" spans="1:15" x14ac:dyDescent="0.3">
      <c r="A123" s="436">
        <v>17908</v>
      </c>
      <c r="B123" s="250" t="s">
        <v>1039</v>
      </c>
      <c r="C123" s="251" t="s">
        <v>1032</v>
      </c>
      <c r="D123" s="125"/>
      <c r="E123">
        <f t="shared" si="4"/>
        <v>123</v>
      </c>
      <c r="F123" s="421">
        <v>2630</v>
      </c>
      <c r="G123" s="436">
        <v>17908</v>
      </c>
      <c r="H123" s="425" t="s">
        <v>1039</v>
      </c>
      <c r="I123" s="427" t="s">
        <v>1032</v>
      </c>
      <c r="K123" s="508">
        <f t="shared" si="3"/>
        <v>0</v>
      </c>
      <c r="L123" s="421">
        <v>2630</v>
      </c>
      <c r="M123" s="451">
        <v>17908</v>
      </c>
      <c r="N123" s="425" t="s">
        <v>1039</v>
      </c>
      <c r="O123" s="450" t="s">
        <v>1032</v>
      </c>
    </row>
    <row r="124" spans="1:15" x14ac:dyDescent="0.3">
      <c r="A124" s="436">
        <v>17911</v>
      </c>
      <c r="B124" s="250" t="s">
        <v>1039</v>
      </c>
      <c r="C124" s="215" t="s">
        <v>1116</v>
      </c>
      <c r="D124" s="125"/>
      <c r="E124">
        <f t="shared" si="4"/>
        <v>124</v>
      </c>
      <c r="F124" s="424">
        <v>3063</v>
      </c>
      <c r="G124" s="436">
        <v>17911</v>
      </c>
      <c r="H124" s="425" t="s">
        <v>1039</v>
      </c>
      <c r="I124" s="428" t="s">
        <v>1116</v>
      </c>
      <c r="K124" s="508">
        <f t="shared" si="3"/>
        <v>0</v>
      </c>
      <c r="L124" s="424">
        <v>3063</v>
      </c>
      <c r="M124" s="451">
        <v>17911</v>
      </c>
      <c r="N124" s="425" t="s">
        <v>1039</v>
      </c>
      <c r="O124" s="498" t="s">
        <v>1116</v>
      </c>
    </row>
    <row r="125" spans="1:15" x14ac:dyDescent="0.3">
      <c r="A125" s="437">
        <v>17917</v>
      </c>
      <c r="B125" s="425" t="s">
        <v>1039</v>
      </c>
      <c r="C125" s="423" t="s">
        <v>1180</v>
      </c>
      <c r="D125" s="125"/>
      <c r="E125">
        <f t="shared" si="4"/>
        <v>125</v>
      </c>
      <c r="F125" s="438">
        <v>4263</v>
      </c>
      <c r="G125" s="437">
        <v>17917</v>
      </c>
      <c r="H125" s="425" t="s">
        <v>1039</v>
      </c>
      <c r="I125" s="423" t="s">
        <v>1180</v>
      </c>
      <c r="K125" s="508">
        <f t="shared" si="3"/>
        <v>0</v>
      </c>
      <c r="L125" s="499">
        <v>4263</v>
      </c>
      <c r="M125" s="451">
        <v>17917</v>
      </c>
      <c r="N125" s="425" t="s">
        <v>1039</v>
      </c>
      <c r="O125" s="447" t="s">
        <v>1180</v>
      </c>
    </row>
    <row r="126" spans="1:15" x14ac:dyDescent="0.3">
      <c r="A126" s="436">
        <v>18100</v>
      </c>
      <c r="B126" s="116" t="s">
        <v>52</v>
      </c>
      <c r="C126" s="108" t="s">
        <v>50</v>
      </c>
      <c r="D126" s="125"/>
      <c r="E126">
        <f t="shared" si="4"/>
        <v>126</v>
      </c>
      <c r="F126" s="421">
        <v>82</v>
      </c>
      <c r="G126" s="436">
        <v>18100</v>
      </c>
      <c r="H126" s="422" t="s">
        <v>52</v>
      </c>
      <c r="I126" s="423" t="s">
        <v>50</v>
      </c>
      <c r="K126" s="508">
        <f t="shared" si="3"/>
        <v>0</v>
      </c>
      <c r="L126" s="421">
        <v>82</v>
      </c>
      <c r="M126" s="451">
        <v>18100</v>
      </c>
      <c r="N126" s="422" t="s">
        <v>52</v>
      </c>
      <c r="O126" s="432" t="s">
        <v>50</v>
      </c>
    </row>
    <row r="127" spans="1:15" x14ac:dyDescent="0.3">
      <c r="A127" s="436">
        <v>18303</v>
      </c>
      <c r="B127" s="116" t="s">
        <v>29</v>
      </c>
      <c r="C127" s="108" t="s">
        <v>30</v>
      </c>
      <c r="D127" s="125"/>
      <c r="E127">
        <f t="shared" si="4"/>
        <v>127</v>
      </c>
      <c r="F127" s="421">
        <v>42</v>
      </c>
      <c r="G127" s="436">
        <v>18303</v>
      </c>
      <c r="H127" s="422" t="s">
        <v>29</v>
      </c>
      <c r="I127" s="423" t="s">
        <v>30</v>
      </c>
      <c r="K127" s="508">
        <f t="shared" si="3"/>
        <v>0</v>
      </c>
      <c r="L127" s="421">
        <v>42</v>
      </c>
      <c r="M127" s="451">
        <v>18303</v>
      </c>
      <c r="N127" s="422" t="s">
        <v>29</v>
      </c>
      <c r="O127" s="432" t="s">
        <v>30</v>
      </c>
    </row>
    <row r="128" spans="1:15" x14ac:dyDescent="0.3">
      <c r="A128" s="436">
        <v>18400</v>
      </c>
      <c r="B128" s="116" t="s">
        <v>52</v>
      </c>
      <c r="C128" s="108" t="s">
        <v>348</v>
      </c>
      <c r="D128" s="125"/>
      <c r="E128">
        <f t="shared" si="4"/>
        <v>128</v>
      </c>
      <c r="F128" s="421">
        <v>649</v>
      </c>
      <c r="G128" s="436">
        <v>18400</v>
      </c>
      <c r="H128" s="422" t="s">
        <v>52</v>
      </c>
      <c r="I128" s="423" t="s">
        <v>348</v>
      </c>
      <c r="K128" s="508">
        <f t="shared" si="3"/>
        <v>0</v>
      </c>
      <c r="L128" s="421">
        <v>649</v>
      </c>
      <c r="M128" s="451">
        <v>18400</v>
      </c>
      <c r="N128" s="422" t="s">
        <v>52</v>
      </c>
      <c r="O128" s="432" t="s">
        <v>348</v>
      </c>
    </row>
    <row r="129" spans="1:15" x14ac:dyDescent="0.3">
      <c r="A129" s="436">
        <v>18401</v>
      </c>
      <c r="B129" s="116" t="s">
        <v>52</v>
      </c>
      <c r="C129" s="108" t="s">
        <v>76</v>
      </c>
      <c r="D129" s="125"/>
      <c r="E129">
        <f t="shared" si="4"/>
        <v>129</v>
      </c>
      <c r="F129" s="421">
        <v>114</v>
      </c>
      <c r="G129" s="436">
        <v>18401</v>
      </c>
      <c r="H129" s="422" t="s">
        <v>52</v>
      </c>
      <c r="I129" s="423" t="s">
        <v>76</v>
      </c>
      <c r="K129" s="508">
        <f t="shared" si="3"/>
        <v>0</v>
      </c>
      <c r="L129" s="421">
        <v>114</v>
      </c>
      <c r="M129" s="451">
        <v>18401</v>
      </c>
      <c r="N129" s="422" t="s">
        <v>52</v>
      </c>
      <c r="O129" s="432" t="s">
        <v>76</v>
      </c>
    </row>
    <row r="130" spans="1:15" x14ac:dyDescent="0.3">
      <c r="A130" s="436">
        <v>18402</v>
      </c>
      <c r="B130" s="116" t="s">
        <v>52</v>
      </c>
      <c r="C130" s="108" t="s">
        <v>506</v>
      </c>
      <c r="D130" s="125"/>
      <c r="E130">
        <f t="shared" si="4"/>
        <v>130</v>
      </c>
      <c r="F130" s="421">
        <v>910</v>
      </c>
      <c r="G130" s="436">
        <v>18402</v>
      </c>
      <c r="H130" s="422" t="s">
        <v>52</v>
      </c>
      <c r="I130" s="423" t="s">
        <v>506</v>
      </c>
      <c r="K130" s="508">
        <f t="shared" si="3"/>
        <v>0</v>
      </c>
      <c r="L130" s="421">
        <v>910</v>
      </c>
      <c r="M130" s="451">
        <v>18402</v>
      </c>
      <c r="N130" s="422" t="s">
        <v>52</v>
      </c>
      <c r="O130" s="432" t="s">
        <v>506</v>
      </c>
    </row>
    <row r="131" spans="1:15" x14ac:dyDescent="0.3">
      <c r="A131" s="436">
        <v>18801</v>
      </c>
      <c r="B131" s="116">
        <v>114</v>
      </c>
      <c r="C131" s="511" t="s">
        <v>380</v>
      </c>
      <c r="D131" s="125"/>
      <c r="E131">
        <f t="shared" si="4"/>
        <v>131</v>
      </c>
      <c r="F131" s="421">
        <v>263</v>
      </c>
      <c r="G131" s="436">
        <v>18801</v>
      </c>
      <c r="H131" s="422">
        <v>114</v>
      </c>
      <c r="I131" s="423" t="s">
        <v>380</v>
      </c>
      <c r="K131" s="508">
        <f t="shared" si="3"/>
        <v>0</v>
      </c>
      <c r="L131" s="421">
        <v>263</v>
      </c>
      <c r="M131" s="451">
        <v>18801</v>
      </c>
      <c r="N131" s="422">
        <v>114</v>
      </c>
      <c r="O131" s="517" t="s">
        <v>380</v>
      </c>
    </row>
    <row r="132" spans="1:15" x14ac:dyDescent="0.3">
      <c r="A132" s="436">
        <v>18901</v>
      </c>
      <c r="B132" s="250" t="s">
        <v>1039</v>
      </c>
      <c r="C132" s="509" t="s">
        <v>1168</v>
      </c>
      <c r="D132" s="125"/>
      <c r="E132">
        <f t="shared" si="4"/>
        <v>132</v>
      </c>
      <c r="F132" s="421">
        <v>4260</v>
      </c>
      <c r="G132" s="436">
        <v>18901</v>
      </c>
      <c r="H132" s="422" t="s">
        <v>1039</v>
      </c>
      <c r="I132" s="429" t="s">
        <v>1175</v>
      </c>
      <c r="K132" s="508">
        <f t="shared" si="3"/>
        <v>0</v>
      </c>
      <c r="L132" s="421">
        <v>4260</v>
      </c>
      <c r="M132" s="451">
        <v>18901</v>
      </c>
      <c r="N132" s="425" t="s">
        <v>1039</v>
      </c>
      <c r="O132" s="516" t="s">
        <v>1168</v>
      </c>
    </row>
    <row r="133" spans="1:15" x14ac:dyDescent="0.3">
      <c r="A133" s="436">
        <v>19007</v>
      </c>
      <c r="B133" s="116" t="s">
        <v>45</v>
      </c>
      <c r="C133" s="108" t="s">
        <v>126</v>
      </c>
      <c r="D133" s="125"/>
      <c r="E133">
        <f t="shared" si="4"/>
        <v>133</v>
      </c>
      <c r="F133" s="421">
        <v>218</v>
      </c>
      <c r="G133" s="436">
        <v>19007</v>
      </c>
      <c r="H133" s="422" t="s">
        <v>45</v>
      </c>
      <c r="I133" s="423" t="s">
        <v>126</v>
      </c>
      <c r="K133" s="508">
        <f t="shared" si="3"/>
        <v>0</v>
      </c>
      <c r="L133" s="421">
        <v>218</v>
      </c>
      <c r="M133" s="451">
        <v>19007</v>
      </c>
      <c r="N133" s="422" t="s">
        <v>45</v>
      </c>
      <c r="O133" s="432" t="s">
        <v>126</v>
      </c>
    </row>
    <row r="134" spans="1:15" x14ac:dyDescent="0.3">
      <c r="A134" s="436">
        <v>19028</v>
      </c>
      <c r="B134" s="116" t="s">
        <v>45</v>
      </c>
      <c r="C134" s="108" t="s">
        <v>146</v>
      </c>
      <c r="D134" s="125"/>
      <c r="E134">
        <f t="shared" si="4"/>
        <v>134</v>
      </c>
      <c r="F134" s="421">
        <v>250</v>
      </c>
      <c r="G134" s="436">
        <v>19028</v>
      </c>
      <c r="H134" s="422" t="s">
        <v>45</v>
      </c>
      <c r="I134" s="423" t="s">
        <v>146</v>
      </c>
      <c r="K134" s="508">
        <f t="shared" si="3"/>
        <v>0</v>
      </c>
      <c r="L134" s="421">
        <v>250</v>
      </c>
      <c r="M134" s="451">
        <v>19028</v>
      </c>
      <c r="N134" s="422" t="s">
        <v>45</v>
      </c>
      <c r="O134" s="432" t="s">
        <v>146</v>
      </c>
    </row>
    <row r="135" spans="1:15" x14ac:dyDescent="0.3">
      <c r="A135" s="436">
        <v>19400</v>
      </c>
      <c r="B135" s="116" t="s">
        <v>45</v>
      </c>
      <c r="C135" s="108" t="s">
        <v>548</v>
      </c>
      <c r="D135" s="125"/>
      <c r="E135">
        <f t="shared" si="4"/>
        <v>135</v>
      </c>
      <c r="F135" s="421">
        <v>975</v>
      </c>
      <c r="G135" s="436">
        <v>19400</v>
      </c>
      <c r="H135" s="422" t="s">
        <v>45</v>
      </c>
      <c r="I135" s="423" t="s">
        <v>548</v>
      </c>
      <c r="K135" s="508">
        <f t="shared" ref="K135:K198" si="5">+L135-F135</f>
        <v>0</v>
      </c>
      <c r="L135" s="421">
        <v>975</v>
      </c>
      <c r="M135" s="451">
        <v>19400</v>
      </c>
      <c r="N135" s="422" t="s">
        <v>45</v>
      </c>
      <c r="O135" s="432" t="s">
        <v>548</v>
      </c>
    </row>
    <row r="136" spans="1:15" x14ac:dyDescent="0.3">
      <c r="A136" s="436">
        <v>19401</v>
      </c>
      <c r="B136" s="116" t="s">
        <v>45</v>
      </c>
      <c r="C136" s="108" t="s">
        <v>160</v>
      </c>
      <c r="D136" s="125"/>
      <c r="E136">
        <f t="shared" ref="E136:E199" si="6">+E135+1</f>
        <v>136</v>
      </c>
      <c r="F136" s="421">
        <v>270</v>
      </c>
      <c r="G136" s="436">
        <v>19401</v>
      </c>
      <c r="H136" s="422" t="s">
        <v>45</v>
      </c>
      <c r="I136" s="423" t="s">
        <v>160</v>
      </c>
      <c r="K136" s="508">
        <f t="shared" si="5"/>
        <v>0</v>
      </c>
      <c r="L136" s="421">
        <v>270</v>
      </c>
      <c r="M136" s="451">
        <v>19401</v>
      </c>
      <c r="N136" s="422" t="s">
        <v>45</v>
      </c>
      <c r="O136" s="432" t="s">
        <v>160</v>
      </c>
    </row>
    <row r="137" spans="1:15" x14ac:dyDescent="0.3">
      <c r="A137" s="436">
        <v>19403</v>
      </c>
      <c r="B137" s="116" t="s">
        <v>45</v>
      </c>
      <c r="C137" s="108" t="s">
        <v>248</v>
      </c>
      <c r="D137" s="125"/>
      <c r="E137">
        <f t="shared" si="6"/>
        <v>137</v>
      </c>
      <c r="F137" s="421">
        <v>501</v>
      </c>
      <c r="G137" s="436">
        <v>19403</v>
      </c>
      <c r="H137" s="422" t="s">
        <v>45</v>
      </c>
      <c r="I137" s="423" t="s">
        <v>248</v>
      </c>
      <c r="K137" s="508">
        <f t="shared" si="5"/>
        <v>0</v>
      </c>
      <c r="L137" s="421">
        <v>501</v>
      </c>
      <c r="M137" s="451">
        <v>19403</v>
      </c>
      <c r="N137" s="422" t="s">
        <v>45</v>
      </c>
      <c r="O137" s="432" t="s">
        <v>248</v>
      </c>
    </row>
    <row r="138" spans="1:15" x14ac:dyDescent="0.3">
      <c r="A138" s="436">
        <v>19404</v>
      </c>
      <c r="B138" s="116" t="s">
        <v>45</v>
      </c>
      <c r="C138" s="108" t="s">
        <v>92</v>
      </c>
      <c r="D138" s="125"/>
      <c r="E138">
        <f t="shared" si="6"/>
        <v>138</v>
      </c>
      <c r="F138" s="421">
        <v>158</v>
      </c>
      <c r="G138" s="436">
        <v>19404</v>
      </c>
      <c r="H138" s="422" t="s">
        <v>45</v>
      </c>
      <c r="I138" s="423" t="s">
        <v>92</v>
      </c>
      <c r="K138" s="508">
        <f t="shared" si="5"/>
        <v>0</v>
      </c>
      <c r="L138" s="421">
        <v>158</v>
      </c>
      <c r="M138" s="451">
        <v>19404</v>
      </c>
      <c r="N138" s="422" t="s">
        <v>45</v>
      </c>
      <c r="O138" s="432" t="s">
        <v>92</v>
      </c>
    </row>
    <row r="139" spans="1:15" x14ac:dyDescent="0.3">
      <c r="A139" s="436">
        <v>20094</v>
      </c>
      <c r="B139" s="116" t="s">
        <v>34</v>
      </c>
      <c r="C139" s="108" t="s">
        <v>618</v>
      </c>
      <c r="D139" s="125"/>
      <c r="E139">
        <f t="shared" si="6"/>
        <v>139</v>
      </c>
      <c r="F139" s="421">
        <v>1110</v>
      </c>
      <c r="G139" s="436">
        <v>20094</v>
      </c>
      <c r="H139" s="422" t="s">
        <v>34</v>
      </c>
      <c r="I139" s="423" t="s">
        <v>618</v>
      </c>
      <c r="K139" s="508">
        <f t="shared" si="5"/>
        <v>0</v>
      </c>
      <c r="L139" s="421">
        <v>1110</v>
      </c>
      <c r="M139" s="451">
        <v>20094</v>
      </c>
      <c r="N139" s="422" t="s">
        <v>34</v>
      </c>
      <c r="O139" s="432" t="s">
        <v>618</v>
      </c>
    </row>
    <row r="140" spans="1:15" x14ac:dyDescent="0.3">
      <c r="A140" s="436">
        <v>20203</v>
      </c>
      <c r="B140" s="116" t="s">
        <v>45</v>
      </c>
      <c r="C140" s="108" t="s">
        <v>43</v>
      </c>
      <c r="D140" s="125"/>
      <c r="E140">
        <f t="shared" si="6"/>
        <v>140</v>
      </c>
      <c r="F140" s="421">
        <v>67</v>
      </c>
      <c r="G140" s="436">
        <v>20203</v>
      </c>
      <c r="H140" s="422" t="s">
        <v>45</v>
      </c>
      <c r="I140" s="423" t="s">
        <v>43</v>
      </c>
      <c r="K140" s="508">
        <f t="shared" si="5"/>
        <v>0</v>
      </c>
      <c r="L140" s="421">
        <v>67</v>
      </c>
      <c r="M140" s="451">
        <v>20203</v>
      </c>
      <c r="N140" s="422" t="s">
        <v>45</v>
      </c>
      <c r="O140" s="432" t="s">
        <v>43</v>
      </c>
    </row>
    <row r="141" spans="1:15" x14ac:dyDescent="0.3">
      <c r="A141" s="436">
        <v>20215</v>
      </c>
      <c r="B141" s="116" t="s">
        <v>34</v>
      </c>
      <c r="C141" s="108" t="s">
        <v>74</v>
      </c>
      <c r="D141" s="125"/>
      <c r="E141">
        <f t="shared" si="6"/>
        <v>141</v>
      </c>
      <c r="F141" s="421">
        <v>113</v>
      </c>
      <c r="G141" s="436">
        <v>20215</v>
      </c>
      <c r="H141" s="422" t="s">
        <v>34</v>
      </c>
      <c r="I141" s="423" t="s">
        <v>74</v>
      </c>
      <c r="K141" s="508">
        <f t="shared" si="5"/>
        <v>0</v>
      </c>
      <c r="L141" s="421">
        <v>113</v>
      </c>
      <c r="M141" s="451">
        <v>20215</v>
      </c>
      <c r="N141" s="422" t="s">
        <v>34</v>
      </c>
      <c r="O141" s="432" t="s">
        <v>74</v>
      </c>
    </row>
    <row r="142" spans="1:15" x14ac:dyDescent="0.3">
      <c r="A142" s="436">
        <v>20400</v>
      </c>
      <c r="B142" s="116" t="s">
        <v>34</v>
      </c>
      <c r="C142" s="108" t="s">
        <v>560</v>
      </c>
      <c r="D142" s="125"/>
      <c r="E142">
        <f t="shared" si="6"/>
        <v>142</v>
      </c>
      <c r="F142" s="421">
        <v>1000</v>
      </c>
      <c r="G142" s="436">
        <v>20400</v>
      </c>
      <c r="H142" s="422" t="s">
        <v>34</v>
      </c>
      <c r="I142" s="423" t="s">
        <v>560</v>
      </c>
      <c r="K142" s="508">
        <f t="shared" si="5"/>
        <v>0</v>
      </c>
      <c r="L142" s="421">
        <v>1000</v>
      </c>
      <c r="M142" s="451">
        <v>20400</v>
      </c>
      <c r="N142" s="422" t="s">
        <v>34</v>
      </c>
      <c r="O142" s="432" t="s">
        <v>560</v>
      </c>
    </row>
    <row r="143" spans="1:15" x14ac:dyDescent="0.3">
      <c r="A143" s="436">
        <v>20401</v>
      </c>
      <c r="B143" s="116" t="s">
        <v>34</v>
      </c>
      <c r="C143" s="108" t="s">
        <v>194</v>
      </c>
      <c r="D143" s="125"/>
      <c r="E143">
        <f t="shared" si="6"/>
        <v>143</v>
      </c>
      <c r="F143" s="421">
        <v>332</v>
      </c>
      <c r="G143" s="436">
        <v>20401</v>
      </c>
      <c r="H143" s="422" t="s">
        <v>34</v>
      </c>
      <c r="I143" s="423" t="s">
        <v>194</v>
      </c>
      <c r="K143" s="508">
        <f t="shared" si="5"/>
        <v>0</v>
      </c>
      <c r="L143" s="421">
        <v>332</v>
      </c>
      <c r="M143" s="451">
        <v>20401</v>
      </c>
      <c r="N143" s="422" t="s">
        <v>34</v>
      </c>
      <c r="O143" s="432" t="s">
        <v>194</v>
      </c>
    </row>
    <row r="144" spans="1:15" x14ac:dyDescent="0.3">
      <c r="A144" s="436">
        <v>20402</v>
      </c>
      <c r="B144" s="116" t="s">
        <v>34</v>
      </c>
      <c r="C144" s="108" t="s">
        <v>250</v>
      </c>
      <c r="D144" s="125"/>
      <c r="E144">
        <f t="shared" si="6"/>
        <v>144</v>
      </c>
      <c r="F144" s="421">
        <v>505</v>
      </c>
      <c r="G144" s="436">
        <v>20402</v>
      </c>
      <c r="H144" s="422" t="s">
        <v>34</v>
      </c>
      <c r="I144" s="423" t="s">
        <v>250</v>
      </c>
      <c r="K144" s="508">
        <f t="shared" si="5"/>
        <v>0</v>
      </c>
      <c r="L144" s="421">
        <v>505</v>
      </c>
      <c r="M144" s="451">
        <v>20402</v>
      </c>
      <c r="N144" s="422" t="s">
        <v>34</v>
      </c>
      <c r="O144" s="432" t="s">
        <v>250</v>
      </c>
    </row>
    <row r="145" spans="1:15" x14ac:dyDescent="0.3">
      <c r="A145" s="436">
        <v>20403</v>
      </c>
      <c r="B145" s="116" t="s">
        <v>34</v>
      </c>
      <c r="C145" s="108" t="s">
        <v>466</v>
      </c>
      <c r="D145" s="125"/>
      <c r="E145">
        <f t="shared" si="6"/>
        <v>145</v>
      </c>
      <c r="F145" s="421">
        <v>819</v>
      </c>
      <c r="G145" s="436">
        <v>20403</v>
      </c>
      <c r="H145" s="422" t="s">
        <v>34</v>
      </c>
      <c r="I145" s="423" t="s">
        <v>466</v>
      </c>
      <c r="K145" s="508">
        <f t="shared" si="5"/>
        <v>0</v>
      </c>
      <c r="L145" s="421">
        <v>819</v>
      </c>
      <c r="M145" s="451">
        <v>20403</v>
      </c>
      <c r="N145" s="422" t="s">
        <v>34</v>
      </c>
      <c r="O145" s="432" t="s">
        <v>466</v>
      </c>
    </row>
    <row r="146" spans="1:15" x14ac:dyDescent="0.3">
      <c r="A146" s="436">
        <v>20404</v>
      </c>
      <c r="B146" s="116" t="s">
        <v>45</v>
      </c>
      <c r="C146" s="108" t="s">
        <v>196</v>
      </c>
      <c r="D146" s="125"/>
      <c r="E146">
        <f t="shared" si="6"/>
        <v>146</v>
      </c>
      <c r="F146" s="421">
        <v>335</v>
      </c>
      <c r="G146" s="436">
        <v>20404</v>
      </c>
      <c r="H146" s="422" t="s">
        <v>45</v>
      </c>
      <c r="I146" s="423" t="s">
        <v>196</v>
      </c>
      <c r="K146" s="508">
        <f t="shared" si="5"/>
        <v>0</v>
      </c>
      <c r="L146" s="421">
        <v>335</v>
      </c>
      <c r="M146" s="451">
        <v>20404</v>
      </c>
      <c r="N146" s="422" t="s">
        <v>45</v>
      </c>
      <c r="O146" s="432" t="s">
        <v>196</v>
      </c>
    </row>
    <row r="147" spans="1:15" x14ac:dyDescent="0.3">
      <c r="A147" s="436">
        <v>20405</v>
      </c>
      <c r="B147" s="116" t="s">
        <v>34</v>
      </c>
      <c r="C147" s="108" t="s">
        <v>606</v>
      </c>
      <c r="D147" s="125"/>
      <c r="E147">
        <f t="shared" si="6"/>
        <v>147</v>
      </c>
      <c r="F147" s="421">
        <v>1093</v>
      </c>
      <c r="G147" s="436">
        <v>20405</v>
      </c>
      <c r="H147" s="422" t="s">
        <v>34</v>
      </c>
      <c r="I147" s="423" t="s">
        <v>606</v>
      </c>
      <c r="K147" s="508">
        <f t="shared" si="5"/>
        <v>0</v>
      </c>
      <c r="L147" s="421">
        <v>1093</v>
      </c>
      <c r="M147" s="451">
        <v>20405</v>
      </c>
      <c r="N147" s="422" t="s">
        <v>34</v>
      </c>
      <c r="O147" s="432" t="s">
        <v>606</v>
      </c>
    </row>
    <row r="148" spans="1:15" x14ac:dyDescent="0.3">
      <c r="A148" s="436">
        <v>20406</v>
      </c>
      <c r="B148" s="116" t="s">
        <v>34</v>
      </c>
      <c r="C148" s="108" t="s">
        <v>278</v>
      </c>
      <c r="D148" s="125"/>
      <c r="E148">
        <f t="shared" si="6"/>
        <v>148</v>
      </c>
      <c r="F148" s="421">
        <v>555</v>
      </c>
      <c r="G148" s="436">
        <v>20406</v>
      </c>
      <c r="H148" s="422" t="s">
        <v>34</v>
      </c>
      <c r="I148" s="423" t="s">
        <v>278</v>
      </c>
      <c r="K148" s="508">
        <f t="shared" si="5"/>
        <v>0</v>
      </c>
      <c r="L148" s="421">
        <v>555</v>
      </c>
      <c r="M148" s="451">
        <v>20406</v>
      </c>
      <c r="N148" s="422" t="s">
        <v>34</v>
      </c>
      <c r="O148" s="432" t="s">
        <v>278</v>
      </c>
    </row>
    <row r="149" spans="1:15" x14ac:dyDescent="0.3">
      <c r="A149" s="436">
        <v>21014</v>
      </c>
      <c r="B149" s="116" t="s">
        <v>13</v>
      </c>
      <c r="C149" s="108" t="s">
        <v>330</v>
      </c>
      <c r="D149" s="125"/>
      <c r="E149">
        <f t="shared" si="6"/>
        <v>149</v>
      </c>
      <c r="F149" s="421">
        <v>632</v>
      </c>
      <c r="G149" s="436">
        <v>21014</v>
      </c>
      <c r="H149" s="422" t="s">
        <v>13</v>
      </c>
      <c r="I149" s="423" t="s">
        <v>330</v>
      </c>
      <c r="K149" s="508">
        <f t="shared" si="5"/>
        <v>0</v>
      </c>
      <c r="L149" s="421">
        <v>632</v>
      </c>
      <c r="M149" s="451">
        <v>21014</v>
      </c>
      <c r="N149" s="422" t="s">
        <v>13</v>
      </c>
      <c r="O149" s="432" t="s">
        <v>330</v>
      </c>
    </row>
    <row r="150" spans="1:15" x14ac:dyDescent="0.3">
      <c r="A150" s="436">
        <v>21036</v>
      </c>
      <c r="B150" s="116" t="s">
        <v>13</v>
      </c>
      <c r="C150" s="108" t="s">
        <v>172</v>
      </c>
      <c r="D150" s="125"/>
      <c r="E150">
        <f t="shared" si="6"/>
        <v>150</v>
      </c>
      <c r="F150" s="421">
        <v>285</v>
      </c>
      <c r="G150" s="436">
        <v>21036</v>
      </c>
      <c r="H150" s="422" t="s">
        <v>13</v>
      </c>
      <c r="I150" s="423" t="s">
        <v>172</v>
      </c>
      <c r="K150" s="508">
        <f t="shared" si="5"/>
        <v>0</v>
      </c>
      <c r="L150" s="421">
        <v>285</v>
      </c>
      <c r="M150" s="451">
        <v>21036</v>
      </c>
      <c r="N150" s="422" t="s">
        <v>13</v>
      </c>
      <c r="O150" s="432" t="s">
        <v>172</v>
      </c>
    </row>
    <row r="151" spans="1:15" x14ac:dyDescent="0.3">
      <c r="A151" s="436">
        <v>21206</v>
      </c>
      <c r="B151" s="116" t="s">
        <v>13</v>
      </c>
      <c r="C151" s="108" t="s">
        <v>316</v>
      </c>
      <c r="D151" s="125"/>
      <c r="E151">
        <f t="shared" si="6"/>
        <v>151</v>
      </c>
      <c r="F151" s="421">
        <v>613</v>
      </c>
      <c r="G151" s="436">
        <v>21206</v>
      </c>
      <c r="H151" s="422" t="s">
        <v>13</v>
      </c>
      <c r="I151" s="423" t="s">
        <v>316</v>
      </c>
      <c r="K151" s="508">
        <f t="shared" si="5"/>
        <v>0</v>
      </c>
      <c r="L151" s="421">
        <v>613</v>
      </c>
      <c r="M151" s="451">
        <v>21206</v>
      </c>
      <c r="N151" s="422" t="s">
        <v>13</v>
      </c>
      <c r="O151" s="432" t="s">
        <v>316</v>
      </c>
    </row>
    <row r="152" spans="1:15" x14ac:dyDescent="0.3">
      <c r="A152" s="436">
        <v>21214</v>
      </c>
      <c r="B152" s="116" t="s">
        <v>13</v>
      </c>
      <c r="C152" s="108" t="s">
        <v>312</v>
      </c>
      <c r="D152" s="125"/>
      <c r="E152">
        <f t="shared" si="6"/>
        <v>152</v>
      </c>
      <c r="F152" s="421">
        <v>608</v>
      </c>
      <c r="G152" s="436">
        <v>21214</v>
      </c>
      <c r="H152" s="422" t="s">
        <v>13</v>
      </c>
      <c r="I152" s="423" t="s">
        <v>312</v>
      </c>
      <c r="K152" s="508">
        <f t="shared" si="5"/>
        <v>0</v>
      </c>
      <c r="L152" s="421">
        <v>608</v>
      </c>
      <c r="M152" s="451">
        <v>21214</v>
      </c>
      <c r="N152" s="422" t="s">
        <v>13</v>
      </c>
      <c r="O152" s="432" t="s">
        <v>312</v>
      </c>
    </row>
    <row r="153" spans="1:15" x14ac:dyDescent="0.3">
      <c r="A153" s="436">
        <v>21226</v>
      </c>
      <c r="B153" s="116" t="s">
        <v>13</v>
      </c>
      <c r="C153" s="108" t="s">
        <v>14</v>
      </c>
      <c r="D153" s="125"/>
      <c r="E153">
        <f t="shared" si="6"/>
        <v>153</v>
      </c>
      <c r="F153" s="421">
        <v>10</v>
      </c>
      <c r="G153" s="436">
        <v>21226</v>
      </c>
      <c r="H153" s="422" t="s">
        <v>13</v>
      </c>
      <c r="I153" s="423" t="s">
        <v>14</v>
      </c>
      <c r="K153" s="508">
        <f t="shared" si="5"/>
        <v>0</v>
      </c>
      <c r="L153" s="421">
        <v>10</v>
      </c>
      <c r="M153" s="451">
        <v>21226</v>
      </c>
      <c r="N153" s="422" t="s">
        <v>13</v>
      </c>
      <c r="O153" s="432" t="s">
        <v>14</v>
      </c>
    </row>
    <row r="154" spans="1:15" x14ac:dyDescent="0.3">
      <c r="A154" s="436">
        <v>21232</v>
      </c>
      <c r="B154" s="116" t="s">
        <v>13</v>
      </c>
      <c r="C154" s="108" t="s">
        <v>614</v>
      </c>
      <c r="D154" s="125"/>
      <c r="E154">
        <f t="shared" si="6"/>
        <v>154</v>
      </c>
      <c r="F154" s="421">
        <v>1106</v>
      </c>
      <c r="G154" s="436">
        <v>21232</v>
      </c>
      <c r="H154" s="422" t="s">
        <v>13</v>
      </c>
      <c r="I154" s="423" t="s">
        <v>614</v>
      </c>
      <c r="K154" s="508">
        <f t="shared" si="5"/>
        <v>0</v>
      </c>
      <c r="L154" s="421">
        <v>1106</v>
      </c>
      <c r="M154" s="451">
        <v>21232</v>
      </c>
      <c r="N154" s="422" t="s">
        <v>13</v>
      </c>
      <c r="O154" s="432" t="s">
        <v>614</v>
      </c>
    </row>
    <row r="155" spans="1:15" x14ac:dyDescent="0.3">
      <c r="A155" s="436">
        <v>21234</v>
      </c>
      <c r="B155" s="116" t="s">
        <v>13</v>
      </c>
      <c r="C155" s="108" t="s">
        <v>48</v>
      </c>
      <c r="D155" s="125"/>
      <c r="E155">
        <f t="shared" si="6"/>
        <v>155</v>
      </c>
      <c r="F155" s="421">
        <v>74</v>
      </c>
      <c r="G155" s="436">
        <v>21234</v>
      </c>
      <c r="H155" s="422" t="s">
        <v>13</v>
      </c>
      <c r="I155" s="423" t="s">
        <v>48</v>
      </c>
      <c r="K155" s="508">
        <f t="shared" si="5"/>
        <v>0</v>
      </c>
      <c r="L155" s="421">
        <v>74</v>
      </c>
      <c r="M155" s="451">
        <v>21234</v>
      </c>
      <c r="N155" s="422" t="s">
        <v>13</v>
      </c>
      <c r="O155" s="432" t="s">
        <v>48</v>
      </c>
    </row>
    <row r="156" spans="1:15" x14ac:dyDescent="0.3">
      <c r="A156" s="436">
        <v>21237</v>
      </c>
      <c r="B156" s="116" t="s">
        <v>13</v>
      </c>
      <c r="C156" s="108" t="s">
        <v>550</v>
      </c>
      <c r="D156" s="125"/>
      <c r="E156">
        <f t="shared" si="6"/>
        <v>156</v>
      </c>
      <c r="F156" s="421">
        <v>988</v>
      </c>
      <c r="G156" s="436">
        <v>21237</v>
      </c>
      <c r="H156" s="422" t="s">
        <v>13</v>
      </c>
      <c r="I156" s="423" t="s">
        <v>550</v>
      </c>
      <c r="K156" s="508">
        <f t="shared" si="5"/>
        <v>0</v>
      </c>
      <c r="L156" s="421">
        <v>988</v>
      </c>
      <c r="M156" s="451">
        <v>21237</v>
      </c>
      <c r="N156" s="422" t="s">
        <v>13</v>
      </c>
      <c r="O156" s="432" t="s">
        <v>550</v>
      </c>
    </row>
    <row r="157" spans="1:15" x14ac:dyDescent="0.3">
      <c r="A157" s="436">
        <v>21300</v>
      </c>
      <c r="B157" s="116" t="s">
        <v>13</v>
      </c>
      <c r="C157" s="108" t="s">
        <v>384</v>
      </c>
      <c r="D157" s="125"/>
      <c r="E157">
        <f t="shared" si="6"/>
        <v>157</v>
      </c>
      <c r="F157" s="421">
        <v>680</v>
      </c>
      <c r="G157" s="436">
        <v>21300</v>
      </c>
      <c r="H157" s="422" t="s">
        <v>13</v>
      </c>
      <c r="I157" s="423" t="s">
        <v>384</v>
      </c>
      <c r="K157" s="508">
        <f t="shared" si="5"/>
        <v>0</v>
      </c>
      <c r="L157" s="421">
        <v>680</v>
      </c>
      <c r="M157" s="451">
        <v>21300</v>
      </c>
      <c r="N157" s="422" t="s">
        <v>13</v>
      </c>
      <c r="O157" s="432" t="s">
        <v>384</v>
      </c>
    </row>
    <row r="158" spans="1:15" x14ac:dyDescent="0.3">
      <c r="A158" s="436">
        <v>21301</v>
      </c>
      <c r="B158" s="116" t="s">
        <v>13</v>
      </c>
      <c r="C158" s="108" t="s">
        <v>412</v>
      </c>
      <c r="D158" s="125"/>
      <c r="E158">
        <f t="shared" si="6"/>
        <v>158</v>
      </c>
      <c r="F158" s="421">
        <v>714</v>
      </c>
      <c r="G158" s="436">
        <v>21301</v>
      </c>
      <c r="H158" s="422" t="s">
        <v>13</v>
      </c>
      <c r="I158" s="423" t="s">
        <v>412</v>
      </c>
      <c r="K158" s="508">
        <f t="shared" si="5"/>
        <v>0</v>
      </c>
      <c r="L158" s="421">
        <v>714</v>
      </c>
      <c r="M158" s="451">
        <v>21301</v>
      </c>
      <c r="N158" s="422" t="s">
        <v>13</v>
      </c>
      <c r="O158" s="432" t="s">
        <v>412</v>
      </c>
    </row>
    <row r="159" spans="1:15" x14ac:dyDescent="0.3">
      <c r="A159" s="436">
        <v>21302</v>
      </c>
      <c r="B159" s="116" t="s">
        <v>13</v>
      </c>
      <c r="C159" s="108" t="s">
        <v>82</v>
      </c>
      <c r="D159" s="125"/>
      <c r="E159">
        <f t="shared" si="6"/>
        <v>159</v>
      </c>
      <c r="F159" s="421">
        <v>122</v>
      </c>
      <c r="G159" s="436">
        <v>21302</v>
      </c>
      <c r="H159" s="422" t="s">
        <v>13</v>
      </c>
      <c r="I159" s="423" t="s">
        <v>82</v>
      </c>
      <c r="K159" s="508">
        <f t="shared" si="5"/>
        <v>0</v>
      </c>
      <c r="L159" s="421">
        <v>122</v>
      </c>
      <c r="M159" s="451">
        <v>21302</v>
      </c>
      <c r="N159" s="422" t="s">
        <v>13</v>
      </c>
      <c r="O159" s="432" t="s">
        <v>82</v>
      </c>
    </row>
    <row r="160" spans="1:15" x14ac:dyDescent="0.3">
      <c r="A160" s="436">
        <v>21303</v>
      </c>
      <c r="B160" s="116" t="s">
        <v>13</v>
      </c>
      <c r="C160" s="108" t="s">
        <v>602</v>
      </c>
      <c r="D160" s="125"/>
      <c r="E160">
        <f t="shared" si="6"/>
        <v>160</v>
      </c>
      <c r="F160" s="421">
        <v>1091</v>
      </c>
      <c r="G160" s="436">
        <v>21303</v>
      </c>
      <c r="H160" s="422" t="s">
        <v>13</v>
      </c>
      <c r="I160" s="423" t="s">
        <v>602</v>
      </c>
      <c r="K160" s="508">
        <f t="shared" si="5"/>
        <v>0</v>
      </c>
      <c r="L160" s="421">
        <v>1091</v>
      </c>
      <c r="M160" s="451">
        <v>21303</v>
      </c>
      <c r="N160" s="422" t="s">
        <v>13</v>
      </c>
      <c r="O160" s="432" t="s">
        <v>602</v>
      </c>
    </row>
    <row r="161" spans="1:15" x14ac:dyDescent="0.3">
      <c r="A161" s="436">
        <v>21401</v>
      </c>
      <c r="B161" s="116" t="s">
        <v>13</v>
      </c>
      <c r="C161" s="108" t="s">
        <v>80</v>
      </c>
      <c r="D161" s="125"/>
      <c r="E161">
        <f t="shared" si="6"/>
        <v>161</v>
      </c>
      <c r="F161" s="421">
        <v>119</v>
      </c>
      <c r="G161" s="436">
        <v>21401</v>
      </c>
      <c r="H161" s="422" t="s">
        <v>13</v>
      </c>
      <c r="I161" s="423" t="s">
        <v>80</v>
      </c>
      <c r="K161" s="508">
        <f t="shared" si="5"/>
        <v>0</v>
      </c>
      <c r="L161" s="421">
        <v>119</v>
      </c>
      <c r="M161" s="451">
        <v>21401</v>
      </c>
      <c r="N161" s="422" t="s">
        <v>13</v>
      </c>
      <c r="O161" s="432" t="s">
        <v>80</v>
      </c>
    </row>
    <row r="162" spans="1:15" x14ac:dyDescent="0.3">
      <c r="A162" s="436">
        <v>22008</v>
      </c>
      <c r="B162" s="116" t="s">
        <v>18</v>
      </c>
      <c r="C162" s="108" t="s">
        <v>514</v>
      </c>
      <c r="D162" s="125"/>
      <c r="E162">
        <f t="shared" si="6"/>
        <v>162</v>
      </c>
      <c r="F162" s="421">
        <v>928</v>
      </c>
      <c r="G162" s="436">
        <v>22008</v>
      </c>
      <c r="H162" s="422" t="s">
        <v>18</v>
      </c>
      <c r="I162" s="423" t="s">
        <v>514</v>
      </c>
      <c r="K162" s="508">
        <f t="shared" si="5"/>
        <v>0</v>
      </c>
      <c r="L162" s="421">
        <v>928</v>
      </c>
      <c r="M162" s="451">
        <v>22008</v>
      </c>
      <c r="N162" s="422" t="s">
        <v>18</v>
      </c>
      <c r="O162" s="432" t="s">
        <v>514</v>
      </c>
    </row>
    <row r="163" spans="1:15" x14ac:dyDescent="0.3">
      <c r="A163" s="436">
        <v>22009</v>
      </c>
      <c r="B163" s="116" t="s">
        <v>18</v>
      </c>
      <c r="C163" s="108" t="s">
        <v>448</v>
      </c>
      <c r="D163" s="125"/>
      <c r="E163">
        <f t="shared" si="6"/>
        <v>163</v>
      </c>
      <c r="F163" s="421">
        <v>798</v>
      </c>
      <c r="G163" s="436">
        <v>22009</v>
      </c>
      <c r="H163" s="422" t="s">
        <v>18</v>
      </c>
      <c r="I163" s="423" t="s">
        <v>448</v>
      </c>
      <c r="K163" s="508">
        <f t="shared" si="5"/>
        <v>0</v>
      </c>
      <c r="L163" s="421">
        <v>798</v>
      </c>
      <c r="M163" s="451">
        <v>22009</v>
      </c>
      <c r="N163" s="422" t="s">
        <v>18</v>
      </c>
      <c r="O163" s="432" t="s">
        <v>448</v>
      </c>
    </row>
    <row r="164" spans="1:15" x14ac:dyDescent="0.3">
      <c r="A164" s="436">
        <v>22017</v>
      </c>
      <c r="B164" s="116" t="s">
        <v>18</v>
      </c>
      <c r="C164" s="108" t="s">
        <v>16</v>
      </c>
      <c r="D164" s="125"/>
      <c r="E164">
        <f t="shared" si="6"/>
        <v>164</v>
      </c>
      <c r="F164" s="421">
        <v>17</v>
      </c>
      <c r="G164" s="436">
        <v>22017</v>
      </c>
      <c r="H164" s="422" t="s">
        <v>18</v>
      </c>
      <c r="I164" s="423" t="s">
        <v>16</v>
      </c>
      <c r="K164" s="508">
        <f t="shared" si="5"/>
        <v>0</v>
      </c>
      <c r="L164" s="421">
        <v>17</v>
      </c>
      <c r="M164" s="451">
        <v>22017</v>
      </c>
      <c r="N164" s="422" t="s">
        <v>18</v>
      </c>
      <c r="O164" s="432" t="s">
        <v>16</v>
      </c>
    </row>
    <row r="165" spans="1:15" x14ac:dyDescent="0.3">
      <c r="A165" s="436">
        <v>22073</v>
      </c>
      <c r="B165" s="116" t="s">
        <v>18</v>
      </c>
      <c r="C165" s="108" t="s">
        <v>120</v>
      </c>
      <c r="D165" s="125"/>
      <c r="E165">
        <f t="shared" si="6"/>
        <v>165</v>
      </c>
      <c r="F165" s="421">
        <v>211</v>
      </c>
      <c r="G165" s="436">
        <v>22073</v>
      </c>
      <c r="H165" s="422" t="s">
        <v>18</v>
      </c>
      <c r="I165" s="423" t="s">
        <v>120</v>
      </c>
      <c r="K165" s="508">
        <f t="shared" si="5"/>
        <v>0</v>
      </c>
      <c r="L165" s="421">
        <v>211</v>
      </c>
      <c r="M165" s="451">
        <v>22073</v>
      </c>
      <c r="N165" s="422" t="s">
        <v>18</v>
      </c>
      <c r="O165" s="432" t="s">
        <v>120</v>
      </c>
    </row>
    <row r="166" spans="1:15" x14ac:dyDescent="0.3">
      <c r="A166" s="436">
        <v>22105</v>
      </c>
      <c r="B166" s="116" t="s">
        <v>18</v>
      </c>
      <c r="C166" s="108" t="s">
        <v>374</v>
      </c>
      <c r="D166" s="125"/>
      <c r="E166">
        <f t="shared" si="6"/>
        <v>166</v>
      </c>
      <c r="F166" s="421">
        <v>664</v>
      </c>
      <c r="G166" s="436">
        <v>22105</v>
      </c>
      <c r="H166" s="422" t="s">
        <v>18</v>
      </c>
      <c r="I166" s="423" t="s">
        <v>374</v>
      </c>
      <c r="K166" s="508">
        <f t="shared" si="5"/>
        <v>0</v>
      </c>
      <c r="L166" s="421">
        <v>664</v>
      </c>
      <c r="M166" s="451">
        <v>22105</v>
      </c>
      <c r="N166" s="422" t="s">
        <v>18</v>
      </c>
      <c r="O166" s="432" t="s">
        <v>374</v>
      </c>
    </row>
    <row r="167" spans="1:15" x14ac:dyDescent="0.3">
      <c r="A167" s="436">
        <v>22200</v>
      </c>
      <c r="B167" s="116" t="s">
        <v>18</v>
      </c>
      <c r="C167" s="108" t="s">
        <v>608</v>
      </c>
      <c r="D167" s="125"/>
      <c r="E167">
        <f t="shared" si="6"/>
        <v>167</v>
      </c>
      <c r="F167" s="421">
        <v>1099</v>
      </c>
      <c r="G167" s="436">
        <v>22200</v>
      </c>
      <c r="H167" s="422" t="s">
        <v>18</v>
      </c>
      <c r="I167" s="423" t="s">
        <v>608</v>
      </c>
      <c r="K167" s="508">
        <f t="shared" si="5"/>
        <v>0</v>
      </c>
      <c r="L167" s="421">
        <v>1099</v>
      </c>
      <c r="M167" s="451">
        <v>22200</v>
      </c>
      <c r="N167" s="422" t="s">
        <v>18</v>
      </c>
      <c r="O167" s="432" t="s">
        <v>608</v>
      </c>
    </row>
    <row r="168" spans="1:15" x14ac:dyDescent="0.3">
      <c r="A168" s="436">
        <v>22204</v>
      </c>
      <c r="B168" s="116" t="s">
        <v>18</v>
      </c>
      <c r="C168" s="108" t="s">
        <v>214</v>
      </c>
      <c r="D168" s="125"/>
      <c r="E168">
        <f t="shared" si="6"/>
        <v>168</v>
      </c>
      <c r="F168" s="421">
        <v>369</v>
      </c>
      <c r="G168" s="436">
        <v>22204</v>
      </c>
      <c r="H168" s="422" t="s">
        <v>18</v>
      </c>
      <c r="I168" s="423" t="s">
        <v>214</v>
      </c>
      <c r="K168" s="508">
        <f t="shared" si="5"/>
        <v>0</v>
      </c>
      <c r="L168" s="421">
        <v>369</v>
      </c>
      <c r="M168" s="451">
        <v>22204</v>
      </c>
      <c r="N168" s="422" t="s">
        <v>18</v>
      </c>
      <c r="O168" s="432" t="s">
        <v>214</v>
      </c>
    </row>
    <row r="169" spans="1:15" x14ac:dyDescent="0.3">
      <c r="A169" s="436">
        <v>22207</v>
      </c>
      <c r="B169" s="116" t="s">
        <v>18</v>
      </c>
      <c r="C169" s="108" t="s">
        <v>130</v>
      </c>
      <c r="D169" s="125"/>
      <c r="E169">
        <f t="shared" si="6"/>
        <v>169</v>
      </c>
      <c r="F169" s="421">
        <v>223</v>
      </c>
      <c r="G169" s="436">
        <v>22207</v>
      </c>
      <c r="H169" s="422" t="s">
        <v>18</v>
      </c>
      <c r="I169" s="423" t="s">
        <v>130</v>
      </c>
      <c r="K169" s="508">
        <f t="shared" si="5"/>
        <v>0</v>
      </c>
      <c r="L169" s="421">
        <v>223</v>
      </c>
      <c r="M169" s="451">
        <v>22207</v>
      </c>
      <c r="N169" s="422" t="s">
        <v>18</v>
      </c>
      <c r="O169" s="432" t="s">
        <v>130</v>
      </c>
    </row>
    <row r="170" spans="1:15" x14ac:dyDescent="0.3">
      <c r="A170" s="436">
        <v>23042</v>
      </c>
      <c r="B170" s="116" t="s">
        <v>13</v>
      </c>
      <c r="C170" s="108" t="s">
        <v>510</v>
      </c>
      <c r="D170" s="125"/>
      <c r="E170">
        <f t="shared" si="6"/>
        <v>170</v>
      </c>
      <c r="F170" s="421">
        <v>911</v>
      </c>
      <c r="G170" s="436">
        <v>23042</v>
      </c>
      <c r="H170" s="422" t="s">
        <v>13</v>
      </c>
      <c r="I170" s="423" t="s">
        <v>510</v>
      </c>
      <c r="K170" s="508">
        <f t="shared" si="5"/>
        <v>0</v>
      </c>
      <c r="L170" s="421">
        <v>911</v>
      </c>
      <c r="M170" s="451">
        <v>23042</v>
      </c>
      <c r="N170" s="422" t="s">
        <v>13</v>
      </c>
      <c r="O170" s="432" t="s">
        <v>510</v>
      </c>
    </row>
    <row r="171" spans="1:15" x14ac:dyDescent="0.3">
      <c r="A171" s="436">
        <v>23054</v>
      </c>
      <c r="B171" s="116" t="s">
        <v>13</v>
      </c>
      <c r="C171" s="108" t="s">
        <v>206</v>
      </c>
      <c r="D171" s="125"/>
      <c r="E171">
        <f t="shared" si="6"/>
        <v>171</v>
      </c>
      <c r="F171" s="421">
        <v>356</v>
      </c>
      <c r="G171" s="436">
        <v>23054</v>
      </c>
      <c r="H171" s="422" t="s">
        <v>13</v>
      </c>
      <c r="I171" s="423" t="s">
        <v>206</v>
      </c>
      <c r="K171" s="508">
        <f t="shared" si="5"/>
        <v>0</v>
      </c>
      <c r="L171" s="421">
        <v>356</v>
      </c>
      <c r="M171" s="451">
        <v>23054</v>
      </c>
      <c r="N171" s="422" t="s">
        <v>13</v>
      </c>
      <c r="O171" s="432" t="s">
        <v>206</v>
      </c>
    </row>
    <row r="172" spans="1:15" x14ac:dyDescent="0.3">
      <c r="A172" s="436">
        <v>23309</v>
      </c>
      <c r="B172" s="116" t="s">
        <v>13</v>
      </c>
      <c r="C172" s="108" t="s">
        <v>490</v>
      </c>
      <c r="D172" s="125"/>
      <c r="E172">
        <f t="shared" si="6"/>
        <v>172</v>
      </c>
      <c r="F172" s="421">
        <v>863</v>
      </c>
      <c r="G172" s="436">
        <v>23309</v>
      </c>
      <c r="H172" s="422" t="s">
        <v>13</v>
      </c>
      <c r="I172" s="423" t="s">
        <v>490</v>
      </c>
      <c r="K172" s="508">
        <f t="shared" si="5"/>
        <v>0</v>
      </c>
      <c r="L172" s="421">
        <v>863</v>
      </c>
      <c r="M172" s="451">
        <v>23309</v>
      </c>
      <c r="N172" s="422" t="s">
        <v>13</v>
      </c>
      <c r="O172" s="432" t="s">
        <v>490</v>
      </c>
    </row>
    <row r="173" spans="1:15" x14ac:dyDescent="0.3">
      <c r="A173" s="436">
        <v>23311</v>
      </c>
      <c r="B173" s="116" t="s">
        <v>13</v>
      </c>
      <c r="C173" s="108" t="s">
        <v>288</v>
      </c>
      <c r="D173" s="125"/>
      <c r="E173">
        <f t="shared" si="6"/>
        <v>173</v>
      </c>
      <c r="F173" s="421">
        <v>567</v>
      </c>
      <c r="G173" s="436">
        <v>23311</v>
      </c>
      <c r="H173" s="422" t="s">
        <v>13</v>
      </c>
      <c r="I173" s="423" t="s">
        <v>288</v>
      </c>
      <c r="K173" s="508">
        <f t="shared" si="5"/>
        <v>0</v>
      </c>
      <c r="L173" s="421">
        <v>567</v>
      </c>
      <c r="M173" s="451">
        <v>23311</v>
      </c>
      <c r="N173" s="422" t="s">
        <v>13</v>
      </c>
      <c r="O173" s="432" t="s">
        <v>288</v>
      </c>
    </row>
    <row r="174" spans="1:15" x14ac:dyDescent="0.3">
      <c r="A174" s="436">
        <v>23402</v>
      </c>
      <c r="B174" s="116" t="s">
        <v>13</v>
      </c>
      <c r="C174" s="108" t="s">
        <v>416</v>
      </c>
      <c r="D174" s="125"/>
      <c r="E174">
        <f t="shared" si="6"/>
        <v>174</v>
      </c>
      <c r="F174" s="421">
        <v>747</v>
      </c>
      <c r="G174" s="436">
        <v>23402</v>
      </c>
      <c r="H174" s="422" t="s">
        <v>13</v>
      </c>
      <c r="I174" s="423" t="s">
        <v>416</v>
      </c>
      <c r="K174" s="508">
        <f t="shared" si="5"/>
        <v>0</v>
      </c>
      <c r="L174" s="421">
        <v>747</v>
      </c>
      <c r="M174" s="451">
        <v>23402</v>
      </c>
      <c r="N174" s="422" t="s">
        <v>13</v>
      </c>
      <c r="O174" s="432" t="s">
        <v>416</v>
      </c>
    </row>
    <row r="175" spans="1:15" x14ac:dyDescent="0.3">
      <c r="A175" s="436">
        <v>23403</v>
      </c>
      <c r="B175" s="116" t="s">
        <v>52</v>
      </c>
      <c r="C175" s="108" t="s">
        <v>350</v>
      </c>
      <c r="D175" s="125"/>
      <c r="E175">
        <f t="shared" si="6"/>
        <v>175</v>
      </c>
      <c r="F175" s="421">
        <v>650</v>
      </c>
      <c r="G175" s="436">
        <v>23403</v>
      </c>
      <c r="H175" s="422" t="s">
        <v>52</v>
      </c>
      <c r="I175" s="423" t="s">
        <v>350</v>
      </c>
      <c r="K175" s="508">
        <f t="shared" si="5"/>
        <v>0</v>
      </c>
      <c r="L175" s="421">
        <v>650</v>
      </c>
      <c r="M175" s="451">
        <v>23403</v>
      </c>
      <c r="N175" s="422" t="s">
        <v>52</v>
      </c>
      <c r="O175" s="432" t="s">
        <v>350</v>
      </c>
    </row>
    <row r="176" spans="1:15" x14ac:dyDescent="0.3">
      <c r="A176" s="436">
        <v>23404</v>
      </c>
      <c r="B176" s="116" t="s">
        <v>13</v>
      </c>
      <c r="C176" s="108" t="s">
        <v>222</v>
      </c>
      <c r="D176" s="125"/>
      <c r="E176">
        <f t="shared" si="6"/>
        <v>176</v>
      </c>
      <c r="F176" s="421">
        <v>382</v>
      </c>
      <c r="G176" s="436">
        <v>23404</v>
      </c>
      <c r="H176" s="422" t="s">
        <v>13</v>
      </c>
      <c r="I176" s="423" t="s">
        <v>222</v>
      </c>
      <c r="K176" s="508">
        <f t="shared" si="5"/>
        <v>0</v>
      </c>
      <c r="L176" s="421">
        <v>382</v>
      </c>
      <c r="M176" s="451">
        <v>23404</v>
      </c>
      <c r="N176" s="422" t="s">
        <v>13</v>
      </c>
      <c r="O176" s="432" t="s">
        <v>222</v>
      </c>
    </row>
    <row r="177" spans="1:15" x14ac:dyDescent="0.3">
      <c r="A177" s="436">
        <v>24014</v>
      </c>
      <c r="B177" s="116" t="s">
        <v>55</v>
      </c>
      <c r="C177" s="108" t="s">
        <v>334</v>
      </c>
      <c r="D177" s="125"/>
      <c r="E177">
        <f t="shared" si="6"/>
        <v>177</v>
      </c>
      <c r="F177" s="421">
        <v>637</v>
      </c>
      <c r="G177" s="436">
        <v>24014</v>
      </c>
      <c r="H177" s="422" t="s">
        <v>55</v>
      </c>
      <c r="I177" s="423" t="s">
        <v>334</v>
      </c>
      <c r="K177" s="508">
        <f t="shared" si="5"/>
        <v>0</v>
      </c>
      <c r="L177" s="421">
        <v>637</v>
      </c>
      <c r="M177" s="451">
        <v>24014</v>
      </c>
      <c r="N177" s="422" t="s">
        <v>55</v>
      </c>
      <c r="O177" s="432" t="s">
        <v>334</v>
      </c>
    </row>
    <row r="178" spans="1:15" x14ac:dyDescent="0.3">
      <c r="A178" s="436">
        <v>24019</v>
      </c>
      <c r="B178" s="116" t="s">
        <v>55</v>
      </c>
      <c r="C178" s="108" t="s">
        <v>382</v>
      </c>
      <c r="D178" s="125"/>
      <c r="E178">
        <f t="shared" si="6"/>
        <v>178</v>
      </c>
      <c r="F178" s="421">
        <v>679</v>
      </c>
      <c r="G178" s="436">
        <v>24019</v>
      </c>
      <c r="H178" s="422" t="s">
        <v>55</v>
      </c>
      <c r="I178" s="423" t="s">
        <v>382</v>
      </c>
      <c r="K178" s="508">
        <f t="shared" si="5"/>
        <v>0</v>
      </c>
      <c r="L178" s="421">
        <v>679</v>
      </c>
      <c r="M178" s="451">
        <v>24019</v>
      </c>
      <c r="N178" s="422" t="s">
        <v>55</v>
      </c>
      <c r="O178" s="432" t="s">
        <v>382</v>
      </c>
    </row>
    <row r="179" spans="1:15" x14ac:dyDescent="0.3">
      <c r="A179" s="436">
        <v>24105</v>
      </c>
      <c r="B179" s="116" t="s">
        <v>55</v>
      </c>
      <c r="C179" s="108" t="s">
        <v>376</v>
      </c>
      <c r="D179" s="125"/>
      <c r="E179">
        <f t="shared" si="6"/>
        <v>179</v>
      </c>
      <c r="F179" s="421">
        <v>670</v>
      </c>
      <c r="G179" s="436">
        <v>24105</v>
      </c>
      <c r="H179" s="422" t="s">
        <v>55</v>
      </c>
      <c r="I179" s="423" t="s">
        <v>376</v>
      </c>
      <c r="K179" s="508">
        <f t="shared" si="5"/>
        <v>0</v>
      </c>
      <c r="L179" s="421">
        <v>670</v>
      </c>
      <c r="M179" s="451">
        <v>24105</v>
      </c>
      <c r="N179" s="422" t="s">
        <v>55</v>
      </c>
      <c r="O179" s="432" t="s">
        <v>376</v>
      </c>
    </row>
    <row r="180" spans="1:15" x14ac:dyDescent="0.3">
      <c r="A180" s="436">
        <v>24111</v>
      </c>
      <c r="B180" s="116" t="s">
        <v>55</v>
      </c>
      <c r="C180" s="108" t="s">
        <v>53</v>
      </c>
      <c r="D180" s="125"/>
      <c r="E180">
        <f t="shared" si="6"/>
        <v>180</v>
      </c>
      <c r="F180" s="421">
        <v>84</v>
      </c>
      <c r="G180" s="436">
        <v>24111</v>
      </c>
      <c r="H180" s="422" t="s">
        <v>55</v>
      </c>
      <c r="I180" s="423" t="s">
        <v>53</v>
      </c>
      <c r="K180" s="508">
        <f t="shared" si="5"/>
        <v>0</v>
      </c>
      <c r="L180" s="421">
        <v>84</v>
      </c>
      <c r="M180" s="451">
        <v>24111</v>
      </c>
      <c r="N180" s="422" t="s">
        <v>55</v>
      </c>
      <c r="O180" s="432" t="s">
        <v>53</v>
      </c>
    </row>
    <row r="181" spans="1:15" x14ac:dyDescent="0.3">
      <c r="A181" s="436">
        <v>24122</v>
      </c>
      <c r="B181" s="116" t="s">
        <v>55</v>
      </c>
      <c r="C181" s="108" t="s">
        <v>408</v>
      </c>
      <c r="D181" s="125"/>
      <c r="E181">
        <f t="shared" si="6"/>
        <v>181</v>
      </c>
      <c r="F181" s="421">
        <v>710</v>
      </c>
      <c r="G181" s="436">
        <v>24122</v>
      </c>
      <c r="H181" s="422" t="s">
        <v>55</v>
      </c>
      <c r="I181" s="423" t="s">
        <v>408</v>
      </c>
      <c r="K181" s="508">
        <f t="shared" si="5"/>
        <v>0</v>
      </c>
      <c r="L181" s="421">
        <v>710</v>
      </c>
      <c r="M181" s="451">
        <v>24122</v>
      </c>
      <c r="N181" s="422" t="s">
        <v>55</v>
      </c>
      <c r="O181" s="432" t="s">
        <v>408</v>
      </c>
    </row>
    <row r="182" spans="1:15" x14ac:dyDescent="0.3">
      <c r="A182" s="436">
        <v>24350</v>
      </c>
      <c r="B182" s="116" t="s">
        <v>55</v>
      </c>
      <c r="C182" s="108" t="s">
        <v>304</v>
      </c>
      <c r="D182" s="125"/>
      <c r="E182">
        <f t="shared" si="6"/>
        <v>182</v>
      </c>
      <c r="F182" s="421">
        <v>588</v>
      </c>
      <c r="G182" s="436">
        <v>24350</v>
      </c>
      <c r="H182" s="422" t="s">
        <v>55</v>
      </c>
      <c r="I182" s="423" t="s">
        <v>304</v>
      </c>
      <c r="K182" s="508">
        <f t="shared" si="5"/>
        <v>0</v>
      </c>
      <c r="L182" s="421">
        <v>588</v>
      </c>
      <c r="M182" s="451">
        <v>24350</v>
      </c>
      <c r="N182" s="422" t="s">
        <v>55</v>
      </c>
      <c r="O182" s="432" t="s">
        <v>304</v>
      </c>
    </row>
    <row r="183" spans="1:15" x14ac:dyDescent="0.3">
      <c r="A183" s="436">
        <v>24404</v>
      </c>
      <c r="B183" s="116" t="s">
        <v>55</v>
      </c>
      <c r="C183" s="108" t="s">
        <v>552</v>
      </c>
      <c r="D183" s="125"/>
      <c r="E183">
        <f t="shared" si="6"/>
        <v>183</v>
      </c>
      <c r="F183" s="421">
        <v>989</v>
      </c>
      <c r="G183" s="436">
        <v>24404</v>
      </c>
      <c r="H183" s="422" t="s">
        <v>55</v>
      </c>
      <c r="I183" s="423" t="s">
        <v>552</v>
      </c>
      <c r="K183" s="508">
        <f t="shared" si="5"/>
        <v>0</v>
      </c>
      <c r="L183" s="421">
        <v>989</v>
      </c>
      <c r="M183" s="451">
        <v>24404</v>
      </c>
      <c r="N183" s="422" t="s">
        <v>55</v>
      </c>
      <c r="O183" s="432" t="s">
        <v>552</v>
      </c>
    </row>
    <row r="184" spans="1:15" x14ac:dyDescent="0.3">
      <c r="A184" s="436">
        <v>24410</v>
      </c>
      <c r="B184" s="116" t="s">
        <v>55</v>
      </c>
      <c r="C184" s="108" t="s">
        <v>396</v>
      </c>
      <c r="D184" s="125"/>
      <c r="E184">
        <f t="shared" si="6"/>
        <v>184</v>
      </c>
      <c r="F184" s="421">
        <v>687</v>
      </c>
      <c r="G184" s="436">
        <v>24410</v>
      </c>
      <c r="H184" s="422" t="s">
        <v>55</v>
      </c>
      <c r="I184" s="423" t="s">
        <v>396</v>
      </c>
      <c r="K184" s="508">
        <f t="shared" si="5"/>
        <v>0</v>
      </c>
      <c r="L184" s="421">
        <v>687</v>
      </c>
      <c r="M184" s="451">
        <v>24410</v>
      </c>
      <c r="N184" s="422" t="s">
        <v>55</v>
      </c>
      <c r="O184" s="432" t="s">
        <v>396</v>
      </c>
    </row>
    <row r="185" spans="1:15" x14ac:dyDescent="0.3">
      <c r="A185" s="436">
        <v>25101</v>
      </c>
      <c r="B185" s="116" t="s">
        <v>34</v>
      </c>
      <c r="C185" s="108" t="s">
        <v>370</v>
      </c>
      <c r="D185" s="125"/>
      <c r="E185">
        <f t="shared" si="6"/>
        <v>185</v>
      </c>
      <c r="F185" s="421">
        <v>661</v>
      </c>
      <c r="G185" s="436">
        <v>25101</v>
      </c>
      <c r="H185" s="422" t="s">
        <v>34</v>
      </c>
      <c r="I185" s="423" t="s">
        <v>370</v>
      </c>
      <c r="K185" s="508">
        <f t="shared" si="5"/>
        <v>0</v>
      </c>
      <c r="L185" s="421">
        <v>661</v>
      </c>
      <c r="M185" s="451">
        <v>25101</v>
      </c>
      <c r="N185" s="422" t="s">
        <v>34</v>
      </c>
      <c r="O185" s="432" t="s">
        <v>370</v>
      </c>
    </row>
    <row r="186" spans="1:15" x14ac:dyDescent="0.3">
      <c r="A186" s="436">
        <v>25116</v>
      </c>
      <c r="B186" s="116" t="s">
        <v>13</v>
      </c>
      <c r="C186" s="108" t="s">
        <v>446</v>
      </c>
      <c r="D186" s="125"/>
      <c r="E186">
        <f t="shared" si="6"/>
        <v>186</v>
      </c>
      <c r="F186" s="421">
        <v>797</v>
      </c>
      <c r="G186" s="436">
        <v>25116</v>
      </c>
      <c r="H186" s="422" t="s">
        <v>13</v>
      </c>
      <c r="I186" s="423" t="s">
        <v>446</v>
      </c>
      <c r="K186" s="508">
        <f t="shared" si="5"/>
        <v>0</v>
      </c>
      <c r="L186" s="421">
        <v>797</v>
      </c>
      <c r="M186" s="451">
        <v>25116</v>
      </c>
      <c r="N186" s="422" t="s">
        <v>13</v>
      </c>
      <c r="O186" s="432" t="s">
        <v>446</v>
      </c>
    </row>
    <row r="187" spans="1:15" x14ac:dyDescent="0.3">
      <c r="A187" s="436">
        <v>25118</v>
      </c>
      <c r="B187" s="116" t="s">
        <v>13</v>
      </c>
      <c r="C187" s="108" t="s">
        <v>504</v>
      </c>
      <c r="D187" s="125"/>
      <c r="E187">
        <f t="shared" si="6"/>
        <v>187</v>
      </c>
      <c r="F187" s="421">
        <v>908</v>
      </c>
      <c r="G187" s="436">
        <v>25118</v>
      </c>
      <c r="H187" s="422" t="s">
        <v>13</v>
      </c>
      <c r="I187" s="423" t="s">
        <v>504</v>
      </c>
      <c r="K187" s="508">
        <f t="shared" si="5"/>
        <v>0</v>
      </c>
      <c r="L187" s="421">
        <v>908</v>
      </c>
      <c r="M187" s="451">
        <v>25118</v>
      </c>
      <c r="N187" s="422" t="s">
        <v>13</v>
      </c>
      <c r="O187" s="432" t="s">
        <v>504</v>
      </c>
    </row>
    <row r="188" spans="1:15" x14ac:dyDescent="0.3">
      <c r="A188" s="436">
        <v>25155</v>
      </c>
      <c r="B188" s="116" t="s">
        <v>34</v>
      </c>
      <c r="C188" s="108" t="s">
        <v>332</v>
      </c>
      <c r="D188" s="125"/>
      <c r="E188">
        <f t="shared" si="6"/>
        <v>188</v>
      </c>
      <c r="F188" s="421">
        <v>634</v>
      </c>
      <c r="G188" s="436">
        <v>25155</v>
      </c>
      <c r="H188" s="422" t="s">
        <v>34</v>
      </c>
      <c r="I188" s="423" t="s">
        <v>332</v>
      </c>
      <c r="K188" s="508">
        <f t="shared" si="5"/>
        <v>0</v>
      </c>
      <c r="L188" s="421">
        <v>634</v>
      </c>
      <c r="M188" s="451">
        <v>25155</v>
      </c>
      <c r="N188" s="422" t="s">
        <v>34</v>
      </c>
      <c r="O188" s="432" t="s">
        <v>332</v>
      </c>
    </row>
    <row r="189" spans="1:15" x14ac:dyDescent="0.3">
      <c r="A189" s="436">
        <v>25160</v>
      </c>
      <c r="B189" s="116" t="s">
        <v>13</v>
      </c>
      <c r="C189" s="108" t="s">
        <v>610</v>
      </c>
      <c r="D189" s="125"/>
      <c r="E189">
        <f t="shared" si="6"/>
        <v>189</v>
      </c>
      <c r="F189" s="421">
        <v>1102</v>
      </c>
      <c r="G189" s="436">
        <v>25160</v>
      </c>
      <c r="H189" s="422" t="s">
        <v>13</v>
      </c>
      <c r="I189" s="423" t="s">
        <v>610</v>
      </c>
      <c r="K189" s="508">
        <f t="shared" si="5"/>
        <v>0</v>
      </c>
      <c r="L189" s="421">
        <v>1102</v>
      </c>
      <c r="M189" s="451">
        <v>25160</v>
      </c>
      <c r="N189" s="422" t="s">
        <v>13</v>
      </c>
      <c r="O189" s="432" t="s">
        <v>610</v>
      </c>
    </row>
    <row r="190" spans="1:15" x14ac:dyDescent="0.3">
      <c r="A190" s="436">
        <v>25200</v>
      </c>
      <c r="B190" s="116" t="s">
        <v>13</v>
      </c>
      <c r="C190" s="108" t="s">
        <v>352</v>
      </c>
      <c r="D190" s="125"/>
      <c r="E190">
        <f t="shared" si="6"/>
        <v>190</v>
      </c>
      <c r="F190" s="421">
        <v>641</v>
      </c>
      <c r="G190" s="436">
        <v>25200</v>
      </c>
      <c r="H190" s="422" t="s">
        <v>13</v>
      </c>
      <c r="I190" s="423" t="s">
        <v>352</v>
      </c>
      <c r="K190" s="508">
        <f t="shared" si="5"/>
        <v>0</v>
      </c>
      <c r="L190" s="421">
        <v>641</v>
      </c>
      <c r="M190" s="451">
        <v>25200</v>
      </c>
      <c r="N190" s="422" t="s">
        <v>13</v>
      </c>
      <c r="O190" s="432" t="s">
        <v>352</v>
      </c>
    </row>
    <row r="191" spans="1:15" x14ac:dyDescent="0.3">
      <c r="A191" s="436">
        <v>26056</v>
      </c>
      <c r="B191" s="116" t="s">
        <v>18</v>
      </c>
      <c r="C191" s="108" t="s">
        <v>336</v>
      </c>
      <c r="D191" s="125"/>
      <c r="E191">
        <f t="shared" si="6"/>
        <v>191</v>
      </c>
      <c r="F191" s="421">
        <v>639</v>
      </c>
      <c r="G191" s="436">
        <v>26056</v>
      </c>
      <c r="H191" s="422" t="s">
        <v>18</v>
      </c>
      <c r="I191" s="423" t="s">
        <v>336</v>
      </c>
      <c r="K191" s="508">
        <f t="shared" si="5"/>
        <v>0</v>
      </c>
      <c r="L191" s="421">
        <v>639</v>
      </c>
      <c r="M191" s="451">
        <v>26056</v>
      </c>
      <c r="N191" s="422" t="s">
        <v>18</v>
      </c>
      <c r="O191" s="432" t="s">
        <v>336</v>
      </c>
    </row>
    <row r="192" spans="1:15" x14ac:dyDescent="0.3">
      <c r="A192" s="436">
        <v>26059</v>
      </c>
      <c r="B192" s="116" t="s">
        <v>18</v>
      </c>
      <c r="C192" s="108" t="s">
        <v>124</v>
      </c>
      <c r="D192" s="125"/>
      <c r="E192">
        <f t="shared" si="6"/>
        <v>192</v>
      </c>
      <c r="F192" s="421">
        <v>215</v>
      </c>
      <c r="G192" s="436">
        <v>26059</v>
      </c>
      <c r="H192" s="422" t="s">
        <v>18</v>
      </c>
      <c r="I192" s="423" t="s">
        <v>124</v>
      </c>
      <c r="K192" s="508">
        <f t="shared" si="5"/>
        <v>0</v>
      </c>
      <c r="L192" s="421">
        <v>215</v>
      </c>
      <c r="M192" s="451">
        <v>26059</v>
      </c>
      <c r="N192" s="422" t="s">
        <v>18</v>
      </c>
      <c r="O192" s="432" t="s">
        <v>124</v>
      </c>
    </row>
    <row r="193" spans="1:15" x14ac:dyDescent="0.3">
      <c r="A193" s="436">
        <v>26070</v>
      </c>
      <c r="B193" s="116" t="s">
        <v>18</v>
      </c>
      <c r="C193" s="108" t="s">
        <v>484</v>
      </c>
      <c r="D193" s="125"/>
      <c r="E193">
        <f t="shared" si="6"/>
        <v>193</v>
      </c>
      <c r="F193" s="421">
        <v>851</v>
      </c>
      <c r="G193" s="436">
        <v>26070</v>
      </c>
      <c r="H193" s="422" t="s">
        <v>18</v>
      </c>
      <c r="I193" s="423" t="s">
        <v>484</v>
      </c>
      <c r="K193" s="508">
        <f t="shared" si="5"/>
        <v>0</v>
      </c>
      <c r="L193" s="421">
        <v>851</v>
      </c>
      <c r="M193" s="451">
        <v>26070</v>
      </c>
      <c r="N193" s="422" t="s">
        <v>18</v>
      </c>
      <c r="O193" s="432" t="s">
        <v>484</v>
      </c>
    </row>
    <row r="194" spans="1:15" x14ac:dyDescent="0.3">
      <c r="A194" s="436">
        <v>27001</v>
      </c>
      <c r="B194" s="116" t="s">
        <v>29</v>
      </c>
      <c r="C194" s="108" t="s">
        <v>524</v>
      </c>
      <c r="D194" s="125"/>
      <c r="E194">
        <f t="shared" si="6"/>
        <v>194</v>
      </c>
      <c r="F194" s="421">
        <v>943</v>
      </c>
      <c r="G194" s="436">
        <v>27001</v>
      </c>
      <c r="H194" s="422" t="s">
        <v>29</v>
      </c>
      <c r="I194" s="423" t="s">
        <v>524</v>
      </c>
      <c r="K194" s="508">
        <f t="shared" si="5"/>
        <v>0</v>
      </c>
      <c r="L194" s="421">
        <v>943</v>
      </c>
      <c r="M194" s="451">
        <v>27001</v>
      </c>
      <c r="N194" s="422" t="s">
        <v>29</v>
      </c>
      <c r="O194" s="432" t="s">
        <v>524</v>
      </c>
    </row>
    <row r="195" spans="1:15" x14ac:dyDescent="0.3">
      <c r="A195" s="436">
        <v>27003</v>
      </c>
      <c r="B195" s="116" t="s">
        <v>29</v>
      </c>
      <c r="C195" s="108" t="s">
        <v>432</v>
      </c>
      <c r="D195" s="125"/>
      <c r="E195">
        <f t="shared" si="6"/>
        <v>195</v>
      </c>
      <c r="F195" s="421">
        <v>784</v>
      </c>
      <c r="G195" s="436">
        <v>27003</v>
      </c>
      <c r="H195" s="422" t="s">
        <v>29</v>
      </c>
      <c r="I195" s="423" t="s">
        <v>432</v>
      </c>
      <c r="K195" s="508">
        <f t="shared" si="5"/>
        <v>0</v>
      </c>
      <c r="L195" s="421">
        <v>784</v>
      </c>
      <c r="M195" s="451">
        <v>27003</v>
      </c>
      <c r="N195" s="422" t="s">
        <v>29</v>
      </c>
      <c r="O195" s="432" t="s">
        <v>432</v>
      </c>
    </row>
    <row r="196" spans="1:15" x14ac:dyDescent="0.3">
      <c r="A196" s="436">
        <v>27010</v>
      </c>
      <c r="B196" s="116" t="s">
        <v>29</v>
      </c>
      <c r="C196" s="108" t="s">
        <v>538</v>
      </c>
      <c r="D196" s="125"/>
      <c r="E196">
        <f t="shared" si="6"/>
        <v>196</v>
      </c>
      <c r="F196" s="421">
        <v>966</v>
      </c>
      <c r="G196" s="436">
        <v>27010</v>
      </c>
      <c r="H196" s="422" t="s">
        <v>29</v>
      </c>
      <c r="I196" s="423" t="s">
        <v>538</v>
      </c>
      <c r="K196" s="508">
        <f t="shared" si="5"/>
        <v>0</v>
      </c>
      <c r="L196" s="421">
        <v>966</v>
      </c>
      <c r="M196" s="451">
        <v>27010</v>
      </c>
      <c r="N196" s="422" t="s">
        <v>29</v>
      </c>
      <c r="O196" s="432" t="s">
        <v>538</v>
      </c>
    </row>
    <row r="197" spans="1:15" x14ac:dyDescent="0.3">
      <c r="A197" s="436">
        <v>27019</v>
      </c>
      <c r="B197" s="116" t="s">
        <v>29</v>
      </c>
      <c r="C197" s="108" t="s">
        <v>66</v>
      </c>
      <c r="D197" s="125"/>
      <c r="E197">
        <f t="shared" si="6"/>
        <v>197</v>
      </c>
      <c r="F197" s="421">
        <v>99</v>
      </c>
      <c r="G197" s="436">
        <v>27019</v>
      </c>
      <c r="H197" s="422" t="s">
        <v>29</v>
      </c>
      <c r="I197" s="423" t="s">
        <v>66</v>
      </c>
      <c r="K197" s="508">
        <f t="shared" si="5"/>
        <v>0</v>
      </c>
      <c r="L197" s="421">
        <v>99</v>
      </c>
      <c r="M197" s="451">
        <v>27019</v>
      </c>
      <c r="N197" s="422" t="s">
        <v>29</v>
      </c>
      <c r="O197" s="432" t="s">
        <v>66</v>
      </c>
    </row>
    <row r="198" spans="1:15" x14ac:dyDescent="0.3">
      <c r="A198" s="436">
        <v>27083</v>
      </c>
      <c r="B198" s="116" t="s">
        <v>29</v>
      </c>
      <c r="C198" s="108" t="s">
        <v>568</v>
      </c>
      <c r="D198" s="125"/>
      <c r="E198">
        <f t="shared" si="6"/>
        <v>198</v>
      </c>
      <c r="F198" s="421">
        <v>1020</v>
      </c>
      <c r="G198" s="436">
        <v>27083</v>
      </c>
      <c r="H198" s="422" t="s">
        <v>29</v>
      </c>
      <c r="I198" s="423" t="s">
        <v>568</v>
      </c>
      <c r="K198" s="508">
        <f t="shared" si="5"/>
        <v>0</v>
      </c>
      <c r="L198" s="421">
        <v>1020</v>
      </c>
      <c r="M198" s="451">
        <v>27083</v>
      </c>
      <c r="N198" s="422" t="s">
        <v>29</v>
      </c>
      <c r="O198" s="432" t="s">
        <v>568</v>
      </c>
    </row>
    <row r="199" spans="1:15" x14ac:dyDescent="0.3">
      <c r="A199" s="436">
        <v>27320</v>
      </c>
      <c r="B199" s="116" t="s">
        <v>29</v>
      </c>
      <c r="C199" s="108" t="s">
        <v>534</v>
      </c>
      <c r="D199" s="125"/>
      <c r="E199">
        <f t="shared" si="6"/>
        <v>199</v>
      </c>
      <c r="F199" s="421">
        <v>955</v>
      </c>
      <c r="G199" s="436">
        <v>27320</v>
      </c>
      <c r="H199" s="422" t="s">
        <v>29</v>
      </c>
      <c r="I199" s="423" t="s">
        <v>1106</v>
      </c>
      <c r="K199" s="508">
        <f t="shared" ref="K199:K262" si="7">+L199-F199</f>
        <v>0</v>
      </c>
      <c r="L199" s="421">
        <v>955</v>
      </c>
      <c r="M199" s="451">
        <v>27320</v>
      </c>
      <c r="N199" s="422" t="s">
        <v>29</v>
      </c>
      <c r="O199" s="432" t="s">
        <v>534</v>
      </c>
    </row>
    <row r="200" spans="1:15" x14ac:dyDescent="0.3">
      <c r="A200" s="436">
        <v>27343</v>
      </c>
      <c r="B200" s="116" t="s">
        <v>29</v>
      </c>
      <c r="C200" s="108" t="s">
        <v>136</v>
      </c>
      <c r="D200" s="125"/>
      <c r="E200">
        <f t="shared" ref="E200:E263" si="8">+E199+1</f>
        <v>200</v>
      </c>
      <c r="F200" s="421">
        <v>231</v>
      </c>
      <c r="G200" s="436">
        <v>27343</v>
      </c>
      <c r="H200" s="422" t="s">
        <v>29</v>
      </c>
      <c r="I200" s="423" t="s">
        <v>136</v>
      </c>
      <c r="K200" s="508">
        <f t="shared" si="7"/>
        <v>0</v>
      </c>
      <c r="L200" s="421">
        <v>231</v>
      </c>
      <c r="M200" s="451">
        <v>27343</v>
      </c>
      <c r="N200" s="422" t="s">
        <v>29</v>
      </c>
      <c r="O200" s="432" t="s">
        <v>136</v>
      </c>
    </row>
    <row r="201" spans="1:15" x14ac:dyDescent="0.3">
      <c r="A201" s="436">
        <v>27344</v>
      </c>
      <c r="B201" s="116" t="s">
        <v>29</v>
      </c>
      <c r="C201" s="108" t="s">
        <v>398</v>
      </c>
      <c r="D201" s="125"/>
      <c r="E201">
        <f t="shared" si="8"/>
        <v>201</v>
      </c>
      <c r="F201" s="421">
        <v>691</v>
      </c>
      <c r="G201" s="436">
        <v>27344</v>
      </c>
      <c r="H201" s="422" t="s">
        <v>29</v>
      </c>
      <c r="I201" s="423" t="s">
        <v>398</v>
      </c>
      <c r="K201" s="508">
        <f t="shared" si="7"/>
        <v>0</v>
      </c>
      <c r="L201" s="421">
        <v>691</v>
      </c>
      <c r="M201" s="451">
        <v>27344</v>
      </c>
      <c r="N201" s="422" t="s">
        <v>29</v>
      </c>
      <c r="O201" s="432" t="s">
        <v>398</v>
      </c>
    </row>
    <row r="202" spans="1:15" x14ac:dyDescent="0.3">
      <c r="A202" s="436">
        <v>27400</v>
      </c>
      <c r="B202" s="116" t="s">
        <v>29</v>
      </c>
      <c r="C202" s="108" t="s">
        <v>94</v>
      </c>
      <c r="D202" s="125"/>
      <c r="E202">
        <f t="shared" si="8"/>
        <v>202</v>
      </c>
      <c r="F202" s="421">
        <v>161</v>
      </c>
      <c r="G202" s="436">
        <v>27400</v>
      </c>
      <c r="H202" s="422" t="s">
        <v>29</v>
      </c>
      <c r="I202" s="423" t="s">
        <v>94</v>
      </c>
      <c r="K202" s="508">
        <f t="shared" si="7"/>
        <v>0</v>
      </c>
      <c r="L202" s="421">
        <v>161</v>
      </c>
      <c r="M202" s="451">
        <v>27400</v>
      </c>
      <c r="N202" s="422" t="s">
        <v>29</v>
      </c>
      <c r="O202" s="432" t="s">
        <v>94</v>
      </c>
    </row>
    <row r="203" spans="1:15" x14ac:dyDescent="0.3">
      <c r="A203" s="436">
        <v>27401</v>
      </c>
      <c r="B203" s="116" t="s">
        <v>29</v>
      </c>
      <c r="C203" s="108" t="s">
        <v>414</v>
      </c>
      <c r="D203" s="125"/>
      <c r="E203">
        <f t="shared" si="8"/>
        <v>203</v>
      </c>
      <c r="F203" s="421">
        <v>718</v>
      </c>
      <c r="G203" s="436">
        <v>27401</v>
      </c>
      <c r="H203" s="422" t="s">
        <v>29</v>
      </c>
      <c r="I203" s="423" t="s">
        <v>414</v>
      </c>
      <c r="K203" s="508">
        <f t="shared" si="7"/>
        <v>0</v>
      </c>
      <c r="L203" s="421">
        <v>718</v>
      </c>
      <c r="M203" s="451">
        <v>27401</v>
      </c>
      <c r="N203" s="422" t="s">
        <v>29</v>
      </c>
      <c r="O203" s="432" t="s">
        <v>414</v>
      </c>
    </row>
    <row r="204" spans="1:15" x14ac:dyDescent="0.3">
      <c r="A204" s="436">
        <v>27402</v>
      </c>
      <c r="B204" s="116" t="s">
        <v>29</v>
      </c>
      <c r="C204" s="108" t="s">
        <v>188</v>
      </c>
      <c r="D204" s="125"/>
      <c r="E204">
        <f t="shared" si="8"/>
        <v>204</v>
      </c>
      <c r="F204" s="421">
        <v>319</v>
      </c>
      <c r="G204" s="436">
        <v>27402</v>
      </c>
      <c r="H204" s="422" t="s">
        <v>29</v>
      </c>
      <c r="I204" s="423" t="s">
        <v>188</v>
      </c>
      <c r="K204" s="508">
        <f t="shared" si="7"/>
        <v>0</v>
      </c>
      <c r="L204" s="421">
        <v>319</v>
      </c>
      <c r="M204" s="451">
        <v>27402</v>
      </c>
      <c r="N204" s="422" t="s">
        <v>29</v>
      </c>
      <c r="O204" s="432" t="s">
        <v>188</v>
      </c>
    </row>
    <row r="205" spans="1:15" x14ac:dyDescent="0.3">
      <c r="A205" s="436">
        <v>27403</v>
      </c>
      <c r="B205" s="116" t="s">
        <v>29</v>
      </c>
      <c r="C205" s="108" t="s">
        <v>41</v>
      </c>
      <c r="D205" s="125"/>
      <c r="E205">
        <f t="shared" si="8"/>
        <v>205</v>
      </c>
      <c r="F205" s="421">
        <v>66</v>
      </c>
      <c r="G205" s="436">
        <v>27403</v>
      </c>
      <c r="H205" s="422" t="s">
        <v>29</v>
      </c>
      <c r="I205" s="423" t="s">
        <v>41</v>
      </c>
      <c r="K205" s="508">
        <f t="shared" si="7"/>
        <v>0</v>
      </c>
      <c r="L205" s="421">
        <v>66</v>
      </c>
      <c r="M205" s="451">
        <v>27403</v>
      </c>
      <c r="N205" s="422" t="s">
        <v>29</v>
      </c>
      <c r="O205" s="432" t="s">
        <v>41</v>
      </c>
    </row>
    <row r="206" spans="1:15" x14ac:dyDescent="0.3">
      <c r="A206" s="436">
        <v>27404</v>
      </c>
      <c r="B206" s="116" t="s">
        <v>29</v>
      </c>
      <c r="C206" s="108" t="s">
        <v>148</v>
      </c>
      <c r="D206" s="125"/>
      <c r="E206">
        <f t="shared" si="8"/>
        <v>206</v>
      </c>
      <c r="F206" s="421">
        <v>251</v>
      </c>
      <c r="G206" s="436">
        <v>27404</v>
      </c>
      <c r="H206" s="422" t="s">
        <v>29</v>
      </c>
      <c r="I206" s="423" t="s">
        <v>148</v>
      </c>
      <c r="K206" s="508">
        <f t="shared" si="7"/>
        <v>0</v>
      </c>
      <c r="L206" s="421">
        <v>251</v>
      </c>
      <c r="M206" s="451">
        <v>27404</v>
      </c>
      <c r="N206" s="422" t="s">
        <v>29</v>
      </c>
      <c r="O206" s="432" t="s">
        <v>148</v>
      </c>
    </row>
    <row r="207" spans="1:15" x14ac:dyDescent="0.3">
      <c r="A207" s="436">
        <v>27416</v>
      </c>
      <c r="B207" s="116" t="s">
        <v>29</v>
      </c>
      <c r="C207" s="108" t="s">
        <v>604</v>
      </c>
      <c r="D207" s="125"/>
      <c r="E207">
        <f t="shared" si="8"/>
        <v>207</v>
      </c>
      <c r="F207" s="421">
        <v>1092</v>
      </c>
      <c r="G207" s="436">
        <v>27416</v>
      </c>
      <c r="H207" s="422" t="s">
        <v>29</v>
      </c>
      <c r="I207" s="423" t="s">
        <v>604</v>
      </c>
      <c r="K207" s="508">
        <f t="shared" si="7"/>
        <v>0</v>
      </c>
      <c r="L207" s="421">
        <v>1092</v>
      </c>
      <c r="M207" s="451">
        <v>27416</v>
      </c>
      <c r="N207" s="422" t="s">
        <v>29</v>
      </c>
      <c r="O207" s="432" t="s">
        <v>604</v>
      </c>
    </row>
    <row r="208" spans="1:15" x14ac:dyDescent="0.3">
      <c r="A208" s="436">
        <v>27417</v>
      </c>
      <c r="B208" s="116" t="s">
        <v>29</v>
      </c>
      <c r="C208" s="108" t="s">
        <v>184</v>
      </c>
      <c r="D208" s="125"/>
      <c r="E208">
        <f t="shared" si="8"/>
        <v>208</v>
      </c>
      <c r="F208" s="421">
        <v>303</v>
      </c>
      <c r="G208" s="436">
        <v>27417</v>
      </c>
      <c r="H208" s="422" t="s">
        <v>29</v>
      </c>
      <c r="I208" s="423" t="s">
        <v>184</v>
      </c>
      <c r="K208" s="508">
        <f t="shared" si="7"/>
        <v>0</v>
      </c>
      <c r="L208" s="421">
        <v>303</v>
      </c>
      <c r="M208" s="451">
        <v>27417</v>
      </c>
      <c r="N208" s="422" t="s">
        <v>29</v>
      </c>
      <c r="O208" s="432" t="s">
        <v>184</v>
      </c>
    </row>
    <row r="209" spans="1:15" x14ac:dyDescent="0.3">
      <c r="A209" s="439">
        <v>27901</v>
      </c>
      <c r="B209" s="250" t="s">
        <v>1039</v>
      </c>
      <c r="C209" s="234" t="s">
        <v>1135</v>
      </c>
      <c r="D209" s="125"/>
      <c r="E209">
        <f t="shared" si="8"/>
        <v>209</v>
      </c>
      <c r="F209" s="424">
        <v>4174</v>
      </c>
      <c r="G209" s="439">
        <v>27901</v>
      </c>
      <c r="H209" s="430" t="s">
        <v>1039</v>
      </c>
      <c r="I209" s="431" t="s">
        <v>1150</v>
      </c>
      <c r="K209" s="508">
        <f t="shared" si="7"/>
        <v>0</v>
      </c>
      <c r="L209" s="424">
        <v>4174</v>
      </c>
      <c r="M209" s="451">
        <v>27901</v>
      </c>
      <c r="N209" s="425" t="s">
        <v>1039</v>
      </c>
      <c r="O209" s="500" t="s">
        <v>1135</v>
      </c>
    </row>
    <row r="210" spans="1:15" x14ac:dyDescent="0.3">
      <c r="A210" s="436">
        <v>27904</v>
      </c>
      <c r="B210" s="250" t="s">
        <v>1039</v>
      </c>
      <c r="C210" s="251" t="s">
        <v>1031</v>
      </c>
      <c r="D210" s="125"/>
      <c r="E210">
        <f t="shared" si="8"/>
        <v>210</v>
      </c>
      <c r="F210" s="421">
        <v>2631</v>
      </c>
      <c r="G210" s="436">
        <v>27904</v>
      </c>
      <c r="H210" s="425" t="s">
        <v>1039</v>
      </c>
      <c r="I210" s="426" t="s">
        <v>1085</v>
      </c>
      <c r="K210" s="508">
        <f t="shared" si="7"/>
        <v>0</v>
      </c>
      <c r="L210" s="421">
        <v>2631</v>
      </c>
      <c r="M210" s="451">
        <v>27904</v>
      </c>
      <c r="N210" s="425" t="s">
        <v>1039</v>
      </c>
      <c r="O210" s="450" t="s">
        <v>1031</v>
      </c>
    </row>
    <row r="211" spans="1:15" x14ac:dyDescent="0.3">
      <c r="A211" s="436">
        <v>28010</v>
      </c>
      <c r="B211" s="116" t="s">
        <v>21</v>
      </c>
      <c r="C211" s="108" t="s">
        <v>488</v>
      </c>
      <c r="D211" s="125"/>
      <c r="E211">
        <f t="shared" si="8"/>
        <v>211</v>
      </c>
      <c r="F211" s="421">
        <v>860</v>
      </c>
      <c r="G211" s="436">
        <v>28010</v>
      </c>
      <c r="H211" s="422" t="s">
        <v>21</v>
      </c>
      <c r="I211" s="423" t="s">
        <v>488</v>
      </c>
      <c r="K211" s="508">
        <f t="shared" si="7"/>
        <v>0</v>
      </c>
      <c r="L211" s="421">
        <v>860</v>
      </c>
      <c r="M211" s="451">
        <v>28010</v>
      </c>
      <c r="N211" s="422" t="s">
        <v>21</v>
      </c>
      <c r="O211" s="432" t="s">
        <v>488</v>
      </c>
    </row>
    <row r="212" spans="1:15" x14ac:dyDescent="0.3">
      <c r="A212" s="436">
        <v>28137</v>
      </c>
      <c r="B212" s="116" t="s">
        <v>21</v>
      </c>
      <c r="C212" s="108" t="s">
        <v>388</v>
      </c>
      <c r="D212" s="125"/>
      <c r="E212">
        <f t="shared" si="8"/>
        <v>212</v>
      </c>
      <c r="F212" s="421">
        <v>682</v>
      </c>
      <c r="G212" s="436">
        <v>28137</v>
      </c>
      <c r="H212" s="422" t="s">
        <v>21</v>
      </c>
      <c r="I212" s="423" t="s">
        <v>388</v>
      </c>
      <c r="K212" s="508">
        <f t="shared" si="7"/>
        <v>0</v>
      </c>
      <c r="L212" s="421">
        <v>682</v>
      </c>
      <c r="M212" s="451">
        <v>28137</v>
      </c>
      <c r="N212" s="422" t="s">
        <v>21</v>
      </c>
      <c r="O212" s="432" t="s">
        <v>388</v>
      </c>
    </row>
    <row r="213" spans="1:15" x14ac:dyDescent="0.3">
      <c r="A213" s="436">
        <v>28144</v>
      </c>
      <c r="B213" s="116" t="s">
        <v>21</v>
      </c>
      <c r="C213" s="108" t="s">
        <v>276</v>
      </c>
      <c r="D213" s="125"/>
      <c r="E213">
        <f t="shared" si="8"/>
        <v>213</v>
      </c>
      <c r="F213" s="421">
        <v>552</v>
      </c>
      <c r="G213" s="436">
        <v>28144</v>
      </c>
      <c r="H213" s="422" t="s">
        <v>21</v>
      </c>
      <c r="I213" s="423" t="s">
        <v>276</v>
      </c>
      <c r="K213" s="508">
        <f t="shared" si="7"/>
        <v>0</v>
      </c>
      <c r="L213" s="421">
        <v>552</v>
      </c>
      <c r="M213" s="451">
        <v>28144</v>
      </c>
      <c r="N213" s="422" t="s">
        <v>21</v>
      </c>
      <c r="O213" s="432" t="s">
        <v>276</v>
      </c>
    </row>
    <row r="214" spans="1:15" x14ac:dyDescent="0.3">
      <c r="A214" s="436">
        <v>28149</v>
      </c>
      <c r="B214" s="116" t="s">
        <v>21</v>
      </c>
      <c r="C214" s="108" t="s">
        <v>474</v>
      </c>
      <c r="D214" s="125"/>
      <c r="E214">
        <f t="shared" si="8"/>
        <v>214</v>
      </c>
      <c r="F214" s="421">
        <v>833</v>
      </c>
      <c r="G214" s="436">
        <v>28149</v>
      </c>
      <c r="H214" s="422" t="s">
        <v>21</v>
      </c>
      <c r="I214" s="423" t="s">
        <v>474</v>
      </c>
      <c r="K214" s="508">
        <f t="shared" si="7"/>
        <v>0</v>
      </c>
      <c r="L214" s="421">
        <v>833</v>
      </c>
      <c r="M214" s="451">
        <v>28149</v>
      </c>
      <c r="N214" s="422" t="s">
        <v>21</v>
      </c>
      <c r="O214" s="432" t="s">
        <v>474</v>
      </c>
    </row>
    <row r="215" spans="1:15" x14ac:dyDescent="0.3">
      <c r="A215" s="436">
        <v>29011</v>
      </c>
      <c r="B215" s="116" t="s">
        <v>21</v>
      </c>
      <c r="C215" s="108" t="s">
        <v>108</v>
      </c>
      <c r="D215" s="125"/>
      <c r="E215">
        <f t="shared" si="8"/>
        <v>215</v>
      </c>
      <c r="F215" s="421">
        <v>181</v>
      </c>
      <c r="G215" s="436">
        <v>29011</v>
      </c>
      <c r="H215" s="422" t="s">
        <v>21</v>
      </c>
      <c r="I215" s="423" t="s">
        <v>108</v>
      </c>
      <c r="K215" s="508">
        <f t="shared" si="7"/>
        <v>0</v>
      </c>
      <c r="L215" s="421">
        <v>181</v>
      </c>
      <c r="M215" s="451">
        <v>29011</v>
      </c>
      <c r="N215" s="422" t="s">
        <v>21</v>
      </c>
      <c r="O215" s="432" t="s">
        <v>108</v>
      </c>
    </row>
    <row r="216" spans="1:15" x14ac:dyDescent="0.3">
      <c r="A216" s="436">
        <v>29100</v>
      </c>
      <c r="B216" s="116" t="s">
        <v>21</v>
      </c>
      <c r="C216" s="108" t="s">
        <v>60</v>
      </c>
      <c r="D216" s="125"/>
      <c r="E216">
        <f t="shared" si="8"/>
        <v>216</v>
      </c>
      <c r="F216" s="421">
        <v>94</v>
      </c>
      <c r="G216" s="436">
        <v>29100</v>
      </c>
      <c r="H216" s="422" t="s">
        <v>21</v>
      </c>
      <c r="I216" s="423" t="s">
        <v>60</v>
      </c>
      <c r="K216" s="508">
        <f t="shared" si="7"/>
        <v>0</v>
      </c>
      <c r="L216" s="421">
        <v>94</v>
      </c>
      <c r="M216" s="451">
        <v>29100</v>
      </c>
      <c r="N216" s="422" t="s">
        <v>21</v>
      </c>
      <c r="O216" s="432" t="s">
        <v>60</v>
      </c>
    </row>
    <row r="217" spans="1:15" x14ac:dyDescent="0.3">
      <c r="A217" s="436">
        <v>29101</v>
      </c>
      <c r="B217" s="116" t="s">
        <v>21</v>
      </c>
      <c r="C217" s="108" t="s">
        <v>480</v>
      </c>
      <c r="D217" s="125"/>
      <c r="E217">
        <f t="shared" si="8"/>
        <v>217</v>
      </c>
      <c r="F217" s="421">
        <v>848</v>
      </c>
      <c r="G217" s="436">
        <v>29101</v>
      </c>
      <c r="H217" s="422" t="s">
        <v>21</v>
      </c>
      <c r="I217" s="423" t="s">
        <v>480</v>
      </c>
      <c r="K217" s="508">
        <f t="shared" si="7"/>
        <v>0</v>
      </c>
      <c r="L217" s="421">
        <v>848</v>
      </c>
      <c r="M217" s="451">
        <v>29101</v>
      </c>
      <c r="N217" s="422" t="s">
        <v>21</v>
      </c>
      <c r="O217" s="432" t="s">
        <v>480</v>
      </c>
    </row>
    <row r="218" spans="1:15" x14ac:dyDescent="0.3">
      <c r="A218" s="436">
        <v>29103</v>
      </c>
      <c r="B218" s="116" t="s">
        <v>21</v>
      </c>
      <c r="C218" s="108" t="s">
        <v>19</v>
      </c>
      <c r="D218" s="125"/>
      <c r="E218">
        <f t="shared" si="8"/>
        <v>218</v>
      </c>
      <c r="F218" s="421">
        <v>20</v>
      </c>
      <c r="G218" s="436">
        <v>29103</v>
      </c>
      <c r="H218" s="422" t="s">
        <v>21</v>
      </c>
      <c r="I218" s="423" t="s">
        <v>19</v>
      </c>
      <c r="K218" s="508">
        <f t="shared" si="7"/>
        <v>0</v>
      </c>
      <c r="L218" s="421">
        <v>20</v>
      </c>
      <c r="M218" s="451">
        <v>29103</v>
      </c>
      <c r="N218" s="422" t="s">
        <v>21</v>
      </c>
      <c r="O218" s="432" t="s">
        <v>19</v>
      </c>
    </row>
    <row r="219" spans="1:15" x14ac:dyDescent="0.3">
      <c r="A219" s="436">
        <v>29311</v>
      </c>
      <c r="B219" s="116" t="s">
        <v>21</v>
      </c>
      <c r="C219" s="108" t="s">
        <v>254</v>
      </c>
      <c r="D219" s="125"/>
      <c r="E219">
        <f t="shared" si="8"/>
        <v>219</v>
      </c>
      <c r="F219" s="421">
        <v>508</v>
      </c>
      <c r="G219" s="436">
        <v>29311</v>
      </c>
      <c r="H219" s="422" t="s">
        <v>21</v>
      </c>
      <c r="I219" s="423" t="s">
        <v>254</v>
      </c>
      <c r="K219" s="508">
        <f t="shared" si="7"/>
        <v>0</v>
      </c>
      <c r="L219" s="421">
        <v>508</v>
      </c>
      <c r="M219" s="451">
        <v>29311</v>
      </c>
      <c r="N219" s="422" t="s">
        <v>21</v>
      </c>
      <c r="O219" s="432" t="s">
        <v>254</v>
      </c>
    </row>
    <row r="220" spans="1:15" x14ac:dyDescent="0.3">
      <c r="A220" s="436">
        <v>29317</v>
      </c>
      <c r="B220" s="116" t="s">
        <v>21</v>
      </c>
      <c r="C220" s="108" t="s">
        <v>110</v>
      </c>
      <c r="D220" s="125"/>
      <c r="E220">
        <f t="shared" si="8"/>
        <v>220</v>
      </c>
      <c r="F220" s="421">
        <v>189</v>
      </c>
      <c r="G220" s="436">
        <v>29317</v>
      </c>
      <c r="H220" s="422" t="s">
        <v>21</v>
      </c>
      <c r="I220" s="423" t="s">
        <v>110</v>
      </c>
      <c r="K220" s="508">
        <f t="shared" si="7"/>
        <v>0</v>
      </c>
      <c r="L220" s="421">
        <v>189</v>
      </c>
      <c r="M220" s="451">
        <v>29317</v>
      </c>
      <c r="N220" s="422" t="s">
        <v>21</v>
      </c>
      <c r="O220" s="432" t="s">
        <v>110</v>
      </c>
    </row>
    <row r="221" spans="1:15" x14ac:dyDescent="0.3">
      <c r="A221" s="436">
        <v>29320</v>
      </c>
      <c r="B221" s="116" t="s">
        <v>21</v>
      </c>
      <c r="C221" s="108" t="s">
        <v>324</v>
      </c>
      <c r="D221" s="125"/>
      <c r="E221">
        <f t="shared" si="8"/>
        <v>221</v>
      </c>
      <c r="F221" s="421">
        <v>618</v>
      </c>
      <c r="G221" s="436">
        <v>29320</v>
      </c>
      <c r="H221" s="422" t="s">
        <v>21</v>
      </c>
      <c r="I221" s="423" t="s">
        <v>324</v>
      </c>
      <c r="K221" s="508">
        <f t="shared" si="7"/>
        <v>0</v>
      </c>
      <c r="L221" s="421">
        <v>618</v>
      </c>
      <c r="M221" s="451">
        <v>29320</v>
      </c>
      <c r="N221" s="422" t="s">
        <v>21</v>
      </c>
      <c r="O221" s="432" t="s">
        <v>324</v>
      </c>
    </row>
    <row r="222" spans="1:15" x14ac:dyDescent="0.3">
      <c r="A222" s="436">
        <v>29801</v>
      </c>
      <c r="B222" s="116" t="s">
        <v>21</v>
      </c>
      <c r="C222" s="525" t="s">
        <v>362</v>
      </c>
      <c r="D222" s="125"/>
      <c r="E222">
        <f t="shared" si="8"/>
        <v>222</v>
      </c>
      <c r="F222" s="421">
        <v>267</v>
      </c>
      <c r="G222" s="436">
        <v>29801</v>
      </c>
      <c r="H222" s="422" t="s">
        <v>21</v>
      </c>
      <c r="I222" s="520" t="s">
        <v>362</v>
      </c>
      <c r="K222" s="508">
        <f t="shared" si="7"/>
        <v>0</v>
      </c>
      <c r="L222" s="421">
        <v>267</v>
      </c>
      <c r="M222" s="451">
        <v>29801</v>
      </c>
      <c r="N222" s="422" t="s">
        <v>21</v>
      </c>
      <c r="O222" s="526" t="s">
        <v>362</v>
      </c>
    </row>
    <row r="223" spans="1:15" x14ac:dyDescent="0.3">
      <c r="A223" s="436">
        <v>30002</v>
      </c>
      <c r="B223" s="116" t="s">
        <v>34</v>
      </c>
      <c r="C223" s="108" t="s">
        <v>494</v>
      </c>
      <c r="D223" s="125"/>
      <c r="E223">
        <f t="shared" si="8"/>
        <v>223</v>
      </c>
      <c r="F223" s="421">
        <v>877</v>
      </c>
      <c r="G223" s="436">
        <v>30002</v>
      </c>
      <c r="H223" s="422" t="s">
        <v>34</v>
      </c>
      <c r="I223" s="423" t="s">
        <v>494</v>
      </c>
      <c r="K223" s="508">
        <f t="shared" si="7"/>
        <v>0</v>
      </c>
      <c r="L223" s="421">
        <v>877</v>
      </c>
      <c r="M223" s="451">
        <v>30002</v>
      </c>
      <c r="N223" s="422" t="s">
        <v>34</v>
      </c>
      <c r="O223" s="432" t="s">
        <v>494</v>
      </c>
    </row>
    <row r="224" spans="1:15" x14ac:dyDescent="0.3">
      <c r="A224" s="436">
        <v>30029</v>
      </c>
      <c r="B224" s="116" t="s">
        <v>34</v>
      </c>
      <c r="C224" s="108" t="s">
        <v>322</v>
      </c>
      <c r="D224" s="125"/>
      <c r="E224">
        <f t="shared" si="8"/>
        <v>224</v>
      </c>
      <c r="F224" s="421">
        <v>616</v>
      </c>
      <c r="G224" s="436">
        <v>30029</v>
      </c>
      <c r="H224" s="422" t="s">
        <v>34</v>
      </c>
      <c r="I224" s="423" t="s">
        <v>322</v>
      </c>
      <c r="K224" s="508">
        <f t="shared" si="7"/>
        <v>0</v>
      </c>
      <c r="L224" s="421">
        <v>616</v>
      </c>
      <c r="M224" s="451">
        <v>30029</v>
      </c>
      <c r="N224" s="422" t="s">
        <v>34</v>
      </c>
      <c r="O224" s="432" t="s">
        <v>322</v>
      </c>
    </row>
    <row r="225" spans="1:15" x14ac:dyDescent="0.3">
      <c r="A225" s="436">
        <v>30031</v>
      </c>
      <c r="B225" s="116" t="s">
        <v>34</v>
      </c>
      <c r="C225" s="108" t="s">
        <v>306</v>
      </c>
      <c r="D225" s="125"/>
      <c r="E225">
        <f t="shared" si="8"/>
        <v>225</v>
      </c>
      <c r="F225" s="421">
        <v>595</v>
      </c>
      <c r="G225" s="436">
        <v>30031</v>
      </c>
      <c r="H225" s="422" t="s">
        <v>34</v>
      </c>
      <c r="I225" s="423" t="s">
        <v>306</v>
      </c>
      <c r="K225" s="508">
        <f t="shared" si="7"/>
        <v>0</v>
      </c>
      <c r="L225" s="421">
        <v>595</v>
      </c>
      <c r="M225" s="451">
        <v>30031</v>
      </c>
      <c r="N225" s="422" t="s">
        <v>34</v>
      </c>
      <c r="O225" s="432" t="s">
        <v>306</v>
      </c>
    </row>
    <row r="226" spans="1:15" x14ac:dyDescent="0.3">
      <c r="A226" s="436">
        <v>30303</v>
      </c>
      <c r="B226" s="116" t="s">
        <v>34</v>
      </c>
      <c r="C226" s="108" t="s">
        <v>528</v>
      </c>
      <c r="D226" s="125"/>
      <c r="E226">
        <f t="shared" si="8"/>
        <v>226</v>
      </c>
      <c r="F226" s="421">
        <v>949</v>
      </c>
      <c r="G226" s="436">
        <v>30303</v>
      </c>
      <c r="H226" s="422" t="s">
        <v>34</v>
      </c>
      <c r="I226" s="423" t="s">
        <v>528</v>
      </c>
      <c r="K226" s="508">
        <f t="shared" si="7"/>
        <v>0</v>
      </c>
      <c r="L226" s="421">
        <v>949</v>
      </c>
      <c r="M226" s="451">
        <v>30303</v>
      </c>
      <c r="N226" s="422" t="s">
        <v>34</v>
      </c>
      <c r="O226" s="432" t="s">
        <v>528</v>
      </c>
    </row>
    <row r="227" spans="1:15" x14ac:dyDescent="0.3">
      <c r="A227" s="436">
        <v>31002</v>
      </c>
      <c r="B227" s="116" t="s">
        <v>21</v>
      </c>
      <c r="C227" s="108" t="s">
        <v>174</v>
      </c>
      <c r="D227" s="125"/>
      <c r="E227">
        <f t="shared" si="8"/>
        <v>227</v>
      </c>
      <c r="F227" s="421">
        <v>290</v>
      </c>
      <c r="G227" s="436">
        <v>31002</v>
      </c>
      <c r="H227" s="422" t="s">
        <v>21</v>
      </c>
      <c r="I227" s="423" t="s">
        <v>174</v>
      </c>
      <c r="K227" s="508">
        <f t="shared" si="7"/>
        <v>0</v>
      </c>
      <c r="L227" s="421">
        <v>290</v>
      </c>
      <c r="M227" s="451">
        <v>31002</v>
      </c>
      <c r="N227" s="422" t="s">
        <v>21</v>
      </c>
      <c r="O227" s="432" t="s">
        <v>174</v>
      </c>
    </row>
    <row r="228" spans="1:15" x14ac:dyDescent="0.3">
      <c r="A228" s="436">
        <v>31004</v>
      </c>
      <c r="B228" s="116" t="s">
        <v>21</v>
      </c>
      <c r="C228" s="108" t="s">
        <v>260</v>
      </c>
      <c r="D228" s="125"/>
      <c r="E228">
        <f t="shared" si="8"/>
        <v>228</v>
      </c>
      <c r="F228" s="421">
        <v>517</v>
      </c>
      <c r="G228" s="436">
        <v>31004</v>
      </c>
      <c r="H228" s="422" t="s">
        <v>21</v>
      </c>
      <c r="I228" s="423" t="s">
        <v>260</v>
      </c>
      <c r="K228" s="508">
        <f t="shared" si="7"/>
        <v>0</v>
      </c>
      <c r="L228" s="421">
        <v>517</v>
      </c>
      <c r="M228" s="451">
        <v>31004</v>
      </c>
      <c r="N228" s="422" t="s">
        <v>21</v>
      </c>
      <c r="O228" s="432" t="s">
        <v>260</v>
      </c>
    </row>
    <row r="229" spans="1:15" x14ac:dyDescent="0.3">
      <c r="A229" s="436">
        <v>31006</v>
      </c>
      <c r="B229" s="116" t="s">
        <v>21</v>
      </c>
      <c r="C229" s="108" t="s">
        <v>326</v>
      </c>
      <c r="D229" s="125"/>
      <c r="E229">
        <f t="shared" si="8"/>
        <v>229</v>
      </c>
      <c r="F229" s="421">
        <v>623</v>
      </c>
      <c r="G229" s="436">
        <v>31006</v>
      </c>
      <c r="H229" s="422" t="s">
        <v>21</v>
      </c>
      <c r="I229" s="423" t="s">
        <v>326</v>
      </c>
      <c r="K229" s="508">
        <f t="shared" si="7"/>
        <v>0</v>
      </c>
      <c r="L229" s="421">
        <v>623</v>
      </c>
      <c r="M229" s="451">
        <v>31006</v>
      </c>
      <c r="N229" s="422" t="s">
        <v>21</v>
      </c>
      <c r="O229" s="432" t="s">
        <v>326</v>
      </c>
    </row>
    <row r="230" spans="1:15" x14ac:dyDescent="0.3">
      <c r="A230" s="436">
        <v>31015</v>
      </c>
      <c r="B230" s="116" t="s">
        <v>21</v>
      </c>
      <c r="C230" s="108" t="s">
        <v>150</v>
      </c>
      <c r="D230" s="125"/>
      <c r="E230">
        <f t="shared" si="8"/>
        <v>230</v>
      </c>
      <c r="F230" s="421">
        <v>258</v>
      </c>
      <c r="G230" s="436">
        <v>31015</v>
      </c>
      <c r="H230" s="422" t="s">
        <v>21</v>
      </c>
      <c r="I230" s="423" t="s">
        <v>150</v>
      </c>
      <c r="K230" s="508">
        <f t="shared" si="7"/>
        <v>0</v>
      </c>
      <c r="L230" s="421">
        <v>258</v>
      </c>
      <c r="M230" s="451">
        <v>31015</v>
      </c>
      <c r="N230" s="422" t="s">
        <v>21</v>
      </c>
      <c r="O230" s="432" t="s">
        <v>150</v>
      </c>
    </row>
    <row r="231" spans="1:15" x14ac:dyDescent="0.3">
      <c r="A231" s="436">
        <v>31016</v>
      </c>
      <c r="B231" s="116" t="s">
        <v>21</v>
      </c>
      <c r="C231" s="108" t="s">
        <v>22</v>
      </c>
      <c r="D231" s="125"/>
      <c r="E231">
        <f t="shared" si="8"/>
        <v>231</v>
      </c>
      <c r="F231" s="421">
        <v>26</v>
      </c>
      <c r="G231" s="436">
        <v>31016</v>
      </c>
      <c r="H231" s="422" t="s">
        <v>21</v>
      </c>
      <c r="I231" s="423" t="s">
        <v>22</v>
      </c>
      <c r="K231" s="508">
        <f t="shared" si="7"/>
        <v>0</v>
      </c>
      <c r="L231" s="421">
        <v>26</v>
      </c>
      <c r="M231" s="451">
        <v>31016</v>
      </c>
      <c r="N231" s="422" t="s">
        <v>21</v>
      </c>
      <c r="O231" s="432" t="s">
        <v>22</v>
      </c>
    </row>
    <row r="232" spans="1:15" x14ac:dyDescent="0.3">
      <c r="A232" s="436">
        <v>31025</v>
      </c>
      <c r="B232" s="116" t="s">
        <v>21</v>
      </c>
      <c r="C232" s="108" t="s">
        <v>292</v>
      </c>
      <c r="D232" s="125"/>
      <c r="E232">
        <f t="shared" si="8"/>
        <v>232</v>
      </c>
      <c r="F232" s="421">
        <v>570</v>
      </c>
      <c r="G232" s="436">
        <v>31025</v>
      </c>
      <c r="H232" s="422" t="s">
        <v>21</v>
      </c>
      <c r="I232" s="423" t="s">
        <v>292</v>
      </c>
      <c r="K232" s="508">
        <f t="shared" si="7"/>
        <v>0</v>
      </c>
      <c r="L232" s="421">
        <v>570</v>
      </c>
      <c r="M232" s="451">
        <v>31025</v>
      </c>
      <c r="N232" s="422" t="s">
        <v>21</v>
      </c>
      <c r="O232" s="432" t="s">
        <v>292</v>
      </c>
    </row>
    <row r="233" spans="1:15" x14ac:dyDescent="0.3">
      <c r="A233" s="436">
        <v>31063</v>
      </c>
      <c r="B233" s="116" t="s">
        <v>21</v>
      </c>
      <c r="C233" s="108" t="s">
        <v>228</v>
      </c>
      <c r="D233" s="125"/>
      <c r="E233">
        <f t="shared" si="8"/>
        <v>233</v>
      </c>
      <c r="F233" s="421">
        <v>397</v>
      </c>
      <c r="G233" s="436">
        <v>31063</v>
      </c>
      <c r="H233" s="422" t="s">
        <v>21</v>
      </c>
      <c r="I233" s="423" t="s">
        <v>228</v>
      </c>
      <c r="K233" s="508">
        <f t="shared" si="7"/>
        <v>0</v>
      </c>
      <c r="L233" s="421">
        <v>397</v>
      </c>
      <c r="M233" s="451">
        <v>31063</v>
      </c>
      <c r="N233" s="422" t="s">
        <v>21</v>
      </c>
      <c r="O233" s="432" t="s">
        <v>228</v>
      </c>
    </row>
    <row r="234" spans="1:15" x14ac:dyDescent="0.3">
      <c r="A234" s="436">
        <v>31103</v>
      </c>
      <c r="B234" s="116" t="s">
        <v>21</v>
      </c>
      <c r="C234" s="108" t="s">
        <v>308</v>
      </c>
      <c r="D234" s="125"/>
      <c r="E234">
        <f t="shared" si="8"/>
        <v>234</v>
      </c>
      <c r="F234" s="421">
        <v>604</v>
      </c>
      <c r="G234" s="436">
        <v>31103</v>
      </c>
      <c r="H234" s="422" t="s">
        <v>21</v>
      </c>
      <c r="I234" s="423" t="s">
        <v>308</v>
      </c>
      <c r="K234" s="508">
        <f t="shared" si="7"/>
        <v>0</v>
      </c>
      <c r="L234" s="421">
        <v>604</v>
      </c>
      <c r="M234" s="451">
        <v>31103</v>
      </c>
      <c r="N234" s="422" t="s">
        <v>21</v>
      </c>
      <c r="O234" s="432" t="s">
        <v>308</v>
      </c>
    </row>
    <row r="235" spans="1:15" x14ac:dyDescent="0.3">
      <c r="A235" s="436">
        <v>31201</v>
      </c>
      <c r="B235" s="116" t="s">
        <v>21</v>
      </c>
      <c r="C235" s="108" t="s">
        <v>498</v>
      </c>
      <c r="D235" s="125"/>
      <c r="E235">
        <f t="shared" si="8"/>
        <v>235</v>
      </c>
      <c r="F235" s="421">
        <v>898</v>
      </c>
      <c r="G235" s="436">
        <v>31201</v>
      </c>
      <c r="H235" s="422" t="s">
        <v>21</v>
      </c>
      <c r="I235" s="423" t="s">
        <v>498</v>
      </c>
      <c r="K235" s="508">
        <f t="shared" si="7"/>
        <v>0</v>
      </c>
      <c r="L235" s="421">
        <v>898</v>
      </c>
      <c r="M235" s="451">
        <v>31201</v>
      </c>
      <c r="N235" s="422" t="s">
        <v>21</v>
      </c>
      <c r="O235" s="432" t="s">
        <v>498</v>
      </c>
    </row>
    <row r="236" spans="1:15" x14ac:dyDescent="0.3">
      <c r="A236" s="436">
        <v>31306</v>
      </c>
      <c r="B236" s="116" t="s">
        <v>21</v>
      </c>
      <c r="C236" s="108" t="s">
        <v>264</v>
      </c>
      <c r="D236" s="125"/>
      <c r="E236">
        <f t="shared" si="8"/>
        <v>236</v>
      </c>
      <c r="F236" s="421">
        <v>521</v>
      </c>
      <c r="G236" s="436">
        <v>31306</v>
      </c>
      <c r="H236" s="422" t="s">
        <v>21</v>
      </c>
      <c r="I236" s="423" t="s">
        <v>264</v>
      </c>
      <c r="K236" s="508">
        <f t="shared" si="7"/>
        <v>0</v>
      </c>
      <c r="L236" s="421">
        <v>521</v>
      </c>
      <c r="M236" s="451">
        <v>31306</v>
      </c>
      <c r="N236" s="422" t="s">
        <v>21</v>
      </c>
      <c r="O236" s="432" t="s">
        <v>264</v>
      </c>
    </row>
    <row r="237" spans="1:15" x14ac:dyDescent="0.3">
      <c r="A237" s="436">
        <v>31311</v>
      </c>
      <c r="B237" s="116" t="s">
        <v>21</v>
      </c>
      <c r="C237" s="108" t="s">
        <v>530</v>
      </c>
      <c r="D237" s="125"/>
      <c r="E237">
        <f t="shared" si="8"/>
        <v>237</v>
      </c>
      <c r="F237" s="421">
        <v>950</v>
      </c>
      <c r="G237" s="436">
        <v>31311</v>
      </c>
      <c r="H237" s="422" t="s">
        <v>21</v>
      </c>
      <c r="I237" s="423" t="s">
        <v>530</v>
      </c>
      <c r="K237" s="508">
        <f t="shared" si="7"/>
        <v>0</v>
      </c>
      <c r="L237" s="421">
        <v>950</v>
      </c>
      <c r="M237" s="451">
        <v>31311</v>
      </c>
      <c r="N237" s="422" t="s">
        <v>21</v>
      </c>
      <c r="O237" s="432" t="s">
        <v>530</v>
      </c>
    </row>
    <row r="238" spans="1:15" x14ac:dyDescent="0.3">
      <c r="A238" s="436">
        <v>31330</v>
      </c>
      <c r="B238" s="116" t="s">
        <v>21</v>
      </c>
      <c r="C238" s="108" t="s">
        <v>128</v>
      </c>
      <c r="D238" s="125"/>
      <c r="E238">
        <f t="shared" si="8"/>
        <v>238</v>
      </c>
      <c r="F238" s="421">
        <v>219</v>
      </c>
      <c r="G238" s="436">
        <v>31330</v>
      </c>
      <c r="H238" s="422" t="s">
        <v>21</v>
      </c>
      <c r="I238" s="423" t="s">
        <v>128</v>
      </c>
      <c r="K238" s="508">
        <f t="shared" si="7"/>
        <v>0</v>
      </c>
      <c r="L238" s="421">
        <v>219</v>
      </c>
      <c r="M238" s="451">
        <v>31330</v>
      </c>
      <c r="N238" s="422" t="s">
        <v>21</v>
      </c>
      <c r="O238" s="432" t="s">
        <v>128</v>
      </c>
    </row>
    <row r="239" spans="1:15" x14ac:dyDescent="0.3">
      <c r="A239" s="436">
        <v>31332</v>
      </c>
      <c r="B239" s="116" t="s">
        <v>21</v>
      </c>
      <c r="C239" s="108" t="s">
        <v>204</v>
      </c>
      <c r="D239" s="125"/>
      <c r="E239">
        <f t="shared" si="8"/>
        <v>239</v>
      </c>
      <c r="F239" s="421">
        <v>344</v>
      </c>
      <c r="G239" s="436">
        <v>31332</v>
      </c>
      <c r="H239" s="422" t="s">
        <v>21</v>
      </c>
      <c r="I239" s="423" t="s">
        <v>204</v>
      </c>
      <c r="K239" s="508">
        <f t="shared" si="7"/>
        <v>0</v>
      </c>
      <c r="L239" s="421">
        <v>344</v>
      </c>
      <c r="M239" s="451">
        <v>31332</v>
      </c>
      <c r="N239" s="422" t="s">
        <v>21</v>
      </c>
      <c r="O239" s="432" t="s">
        <v>204</v>
      </c>
    </row>
    <row r="240" spans="1:15" x14ac:dyDescent="0.3">
      <c r="A240" s="436">
        <v>31401</v>
      </c>
      <c r="B240" s="116" t="s">
        <v>21</v>
      </c>
      <c r="C240" s="108" t="s">
        <v>516</v>
      </c>
      <c r="D240" s="125"/>
      <c r="E240">
        <f t="shared" si="8"/>
        <v>240</v>
      </c>
      <c r="F240" s="421">
        <v>931</v>
      </c>
      <c r="G240" s="436">
        <v>31401</v>
      </c>
      <c r="H240" s="422" t="s">
        <v>21</v>
      </c>
      <c r="I240" s="423" t="s">
        <v>516</v>
      </c>
      <c r="K240" s="508">
        <f t="shared" si="7"/>
        <v>0</v>
      </c>
      <c r="L240" s="421">
        <v>931</v>
      </c>
      <c r="M240" s="451">
        <v>31401</v>
      </c>
      <c r="N240" s="422" t="s">
        <v>21</v>
      </c>
      <c r="O240" s="432" t="s">
        <v>516</v>
      </c>
    </row>
    <row r="241" spans="1:15" x14ac:dyDescent="0.3">
      <c r="A241" s="436">
        <v>31801</v>
      </c>
      <c r="B241" s="250" t="s">
        <v>1039</v>
      </c>
      <c r="C241" s="349" t="s">
        <v>1036</v>
      </c>
      <c r="D241" s="125"/>
      <c r="E241">
        <f t="shared" si="8"/>
        <v>241</v>
      </c>
      <c r="F241" s="421">
        <v>1597</v>
      </c>
      <c r="G241" s="436">
        <v>31801</v>
      </c>
      <c r="H241" s="425" t="s">
        <v>1039</v>
      </c>
      <c r="I241" s="433" t="s">
        <v>1036</v>
      </c>
      <c r="K241" s="508">
        <f t="shared" si="7"/>
        <v>0</v>
      </c>
      <c r="L241" s="421">
        <v>1597</v>
      </c>
      <c r="M241" s="451">
        <v>31801</v>
      </c>
      <c r="N241" s="425" t="s">
        <v>1039</v>
      </c>
      <c r="O241" s="501" t="s">
        <v>1036</v>
      </c>
    </row>
    <row r="242" spans="1:15" x14ac:dyDescent="0.3">
      <c r="A242" s="436">
        <v>32081</v>
      </c>
      <c r="B242" s="116" t="s">
        <v>18</v>
      </c>
      <c r="C242" s="108" t="s">
        <v>512</v>
      </c>
      <c r="D242" s="125"/>
      <c r="E242">
        <f t="shared" si="8"/>
        <v>242</v>
      </c>
      <c r="F242" s="421">
        <v>926</v>
      </c>
      <c r="G242" s="436">
        <v>32081</v>
      </c>
      <c r="H242" s="422" t="s">
        <v>18</v>
      </c>
      <c r="I242" s="423" t="s">
        <v>512</v>
      </c>
      <c r="K242" s="508">
        <f t="shared" si="7"/>
        <v>0</v>
      </c>
      <c r="L242" s="421">
        <v>926</v>
      </c>
      <c r="M242" s="451">
        <v>32081</v>
      </c>
      <c r="N242" s="422" t="s">
        <v>18</v>
      </c>
      <c r="O242" s="432" t="s">
        <v>512</v>
      </c>
    </row>
    <row r="243" spans="1:15" x14ac:dyDescent="0.3">
      <c r="A243" s="436">
        <v>32123</v>
      </c>
      <c r="B243" s="116" t="s">
        <v>18</v>
      </c>
      <c r="C243" s="108" t="s">
        <v>390</v>
      </c>
      <c r="D243" s="125"/>
      <c r="E243">
        <f t="shared" si="8"/>
        <v>243</v>
      </c>
      <c r="F243" s="421">
        <v>684</v>
      </c>
      <c r="G243" s="436">
        <v>32123</v>
      </c>
      <c r="H243" s="422" t="s">
        <v>18</v>
      </c>
      <c r="I243" s="423" t="s">
        <v>390</v>
      </c>
      <c r="K243" s="508">
        <f t="shared" si="7"/>
        <v>0</v>
      </c>
      <c r="L243" s="421">
        <v>684</v>
      </c>
      <c r="M243" s="451">
        <v>32123</v>
      </c>
      <c r="N243" s="422" t="s">
        <v>18</v>
      </c>
      <c r="O243" s="432" t="s">
        <v>390</v>
      </c>
    </row>
    <row r="244" spans="1:15" x14ac:dyDescent="0.3">
      <c r="A244" s="436">
        <v>32312</v>
      </c>
      <c r="B244" s="116" t="s">
        <v>18</v>
      </c>
      <c r="C244" s="108" t="s">
        <v>208</v>
      </c>
      <c r="D244" s="125"/>
      <c r="E244">
        <f t="shared" si="8"/>
        <v>244</v>
      </c>
      <c r="F244" s="421">
        <v>363</v>
      </c>
      <c r="G244" s="436">
        <v>32312</v>
      </c>
      <c r="H244" s="422" t="s">
        <v>18</v>
      </c>
      <c r="I244" s="423" t="s">
        <v>208</v>
      </c>
      <c r="K244" s="508">
        <f t="shared" si="7"/>
        <v>0</v>
      </c>
      <c r="L244" s="421">
        <v>363</v>
      </c>
      <c r="M244" s="451">
        <v>32312</v>
      </c>
      <c r="N244" s="422" t="s">
        <v>18</v>
      </c>
      <c r="O244" s="432" t="s">
        <v>208</v>
      </c>
    </row>
    <row r="245" spans="1:15" x14ac:dyDescent="0.3">
      <c r="A245" s="436">
        <v>32325</v>
      </c>
      <c r="B245" s="116" t="s">
        <v>18</v>
      </c>
      <c r="C245" s="108" t="s">
        <v>338</v>
      </c>
      <c r="D245" s="125"/>
      <c r="E245">
        <f t="shared" si="8"/>
        <v>245</v>
      </c>
      <c r="F245" s="421">
        <v>640</v>
      </c>
      <c r="G245" s="436">
        <v>32325</v>
      </c>
      <c r="H245" s="422" t="s">
        <v>18</v>
      </c>
      <c r="I245" s="423" t="s">
        <v>338</v>
      </c>
      <c r="K245" s="508">
        <f t="shared" si="7"/>
        <v>0</v>
      </c>
      <c r="L245" s="421">
        <v>640</v>
      </c>
      <c r="M245" s="451">
        <v>32325</v>
      </c>
      <c r="N245" s="422" t="s">
        <v>18</v>
      </c>
      <c r="O245" s="432" t="s">
        <v>338</v>
      </c>
    </row>
    <row r="246" spans="1:15" x14ac:dyDescent="0.3">
      <c r="A246" s="436">
        <v>32326</v>
      </c>
      <c r="B246" s="116" t="s">
        <v>18</v>
      </c>
      <c r="C246" s="108" t="s">
        <v>298</v>
      </c>
      <c r="D246" s="125"/>
      <c r="E246">
        <f t="shared" si="8"/>
        <v>246</v>
      </c>
      <c r="F246" s="421">
        <v>582</v>
      </c>
      <c r="G246" s="436">
        <v>32326</v>
      </c>
      <c r="H246" s="422" t="s">
        <v>18</v>
      </c>
      <c r="I246" s="423" t="s">
        <v>298</v>
      </c>
      <c r="K246" s="508">
        <f t="shared" si="7"/>
        <v>0</v>
      </c>
      <c r="L246" s="421">
        <v>582</v>
      </c>
      <c r="M246" s="451">
        <v>32326</v>
      </c>
      <c r="N246" s="422" t="s">
        <v>18</v>
      </c>
      <c r="O246" s="432" t="s">
        <v>298</v>
      </c>
    </row>
    <row r="247" spans="1:15" x14ac:dyDescent="0.3">
      <c r="A247" s="436">
        <v>32354</v>
      </c>
      <c r="B247" s="116" t="s">
        <v>18</v>
      </c>
      <c r="C247" s="108" t="s">
        <v>296</v>
      </c>
      <c r="D247" s="125"/>
      <c r="E247">
        <f t="shared" si="8"/>
        <v>247</v>
      </c>
      <c r="F247" s="421">
        <v>580</v>
      </c>
      <c r="G247" s="436">
        <v>32354</v>
      </c>
      <c r="H247" s="422" t="s">
        <v>18</v>
      </c>
      <c r="I247" s="423" t="s">
        <v>296</v>
      </c>
      <c r="K247" s="508">
        <f t="shared" si="7"/>
        <v>0</v>
      </c>
      <c r="L247" s="421">
        <v>580</v>
      </c>
      <c r="M247" s="451">
        <v>32354</v>
      </c>
      <c r="N247" s="422" t="s">
        <v>18</v>
      </c>
      <c r="O247" s="432" t="s">
        <v>296</v>
      </c>
    </row>
    <row r="248" spans="1:15" x14ac:dyDescent="0.3">
      <c r="A248" s="436">
        <v>32356</v>
      </c>
      <c r="B248" s="116" t="s">
        <v>18</v>
      </c>
      <c r="C248" s="108" t="s">
        <v>78</v>
      </c>
      <c r="D248" s="125"/>
      <c r="E248">
        <f t="shared" si="8"/>
        <v>248</v>
      </c>
      <c r="F248" s="421">
        <v>115</v>
      </c>
      <c r="G248" s="436">
        <v>32356</v>
      </c>
      <c r="H248" s="422" t="s">
        <v>18</v>
      </c>
      <c r="I248" s="423" t="s">
        <v>78</v>
      </c>
      <c r="K248" s="508">
        <f t="shared" si="7"/>
        <v>0</v>
      </c>
      <c r="L248" s="421">
        <v>115</v>
      </c>
      <c r="M248" s="451">
        <v>32356</v>
      </c>
      <c r="N248" s="422" t="s">
        <v>18</v>
      </c>
      <c r="O248" s="432" t="s">
        <v>78</v>
      </c>
    </row>
    <row r="249" spans="1:15" x14ac:dyDescent="0.3">
      <c r="A249" s="436">
        <v>32358</v>
      </c>
      <c r="B249" s="116" t="s">
        <v>18</v>
      </c>
      <c r="C249" s="108" t="s">
        <v>190</v>
      </c>
      <c r="D249" s="125"/>
      <c r="E249">
        <f t="shared" si="8"/>
        <v>249</v>
      </c>
      <c r="F249" s="421">
        <v>320</v>
      </c>
      <c r="G249" s="436">
        <v>32358</v>
      </c>
      <c r="H249" s="422" t="s">
        <v>18</v>
      </c>
      <c r="I249" s="423" t="s">
        <v>190</v>
      </c>
      <c r="K249" s="508">
        <f t="shared" si="7"/>
        <v>0</v>
      </c>
      <c r="L249" s="421">
        <v>320</v>
      </c>
      <c r="M249" s="451">
        <v>32358</v>
      </c>
      <c r="N249" s="422" t="s">
        <v>18</v>
      </c>
      <c r="O249" s="432" t="s">
        <v>190</v>
      </c>
    </row>
    <row r="250" spans="1:15" x14ac:dyDescent="0.3">
      <c r="A250" s="436">
        <v>32360</v>
      </c>
      <c r="B250" s="116" t="s">
        <v>18</v>
      </c>
      <c r="C250" s="108" t="s">
        <v>84</v>
      </c>
      <c r="D250" s="125"/>
      <c r="E250">
        <f t="shared" si="8"/>
        <v>250</v>
      </c>
      <c r="F250" s="421">
        <v>133</v>
      </c>
      <c r="G250" s="436">
        <v>32360</v>
      </c>
      <c r="H250" s="422" t="s">
        <v>18</v>
      </c>
      <c r="I250" s="423" t="s">
        <v>84</v>
      </c>
      <c r="K250" s="508">
        <f t="shared" si="7"/>
        <v>0</v>
      </c>
      <c r="L250" s="421">
        <v>133</v>
      </c>
      <c r="M250" s="451">
        <v>32360</v>
      </c>
      <c r="N250" s="422" t="s">
        <v>18</v>
      </c>
      <c r="O250" s="432" t="s">
        <v>84</v>
      </c>
    </row>
    <row r="251" spans="1:15" x14ac:dyDescent="0.3">
      <c r="A251" s="436">
        <v>32361</v>
      </c>
      <c r="B251" s="116" t="s">
        <v>18</v>
      </c>
      <c r="C251" s="108" t="s">
        <v>142</v>
      </c>
      <c r="D251" s="125"/>
      <c r="E251">
        <f t="shared" si="8"/>
        <v>251</v>
      </c>
      <c r="F251" s="421">
        <v>243</v>
      </c>
      <c r="G251" s="436">
        <v>32361</v>
      </c>
      <c r="H251" s="422" t="s">
        <v>18</v>
      </c>
      <c r="I251" s="423" t="s">
        <v>142</v>
      </c>
      <c r="K251" s="508">
        <f t="shared" si="7"/>
        <v>0</v>
      </c>
      <c r="L251" s="421">
        <v>243</v>
      </c>
      <c r="M251" s="451">
        <v>32361</v>
      </c>
      <c r="N251" s="422" t="s">
        <v>18</v>
      </c>
      <c r="O251" s="432" t="s">
        <v>142</v>
      </c>
    </row>
    <row r="252" spans="1:15" x14ac:dyDescent="0.3">
      <c r="A252" s="436">
        <v>32362</v>
      </c>
      <c r="B252" s="116" t="s">
        <v>18</v>
      </c>
      <c r="C252" s="108" t="s">
        <v>268</v>
      </c>
      <c r="D252" s="125"/>
      <c r="E252">
        <f t="shared" si="8"/>
        <v>252</v>
      </c>
      <c r="F252" s="421">
        <v>536</v>
      </c>
      <c r="G252" s="436">
        <v>32362</v>
      </c>
      <c r="H252" s="422" t="s">
        <v>18</v>
      </c>
      <c r="I252" s="423" t="s">
        <v>268</v>
      </c>
      <c r="K252" s="508">
        <f t="shared" si="7"/>
        <v>0</v>
      </c>
      <c r="L252" s="421">
        <v>536</v>
      </c>
      <c r="M252" s="451">
        <v>32362</v>
      </c>
      <c r="N252" s="422" t="s">
        <v>18</v>
      </c>
      <c r="O252" s="432" t="s">
        <v>268</v>
      </c>
    </row>
    <row r="253" spans="1:15" x14ac:dyDescent="0.3">
      <c r="A253" s="436">
        <v>32363</v>
      </c>
      <c r="B253" s="116" t="s">
        <v>18</v>
      </c>
      <c r="C253" s="108" t="s">
        <v>600</v>
      </c>
      <c r="D253" s="125"/>
      <c r="E253">
        <f t="shared" si="8"/>
        <v>253</v>
      </c>
      <c r="F253" s="421">
        <v>1077</v>
      </c>
      <c r="G253" s="436">
        <v>32363</v>
      </c>
      <c r="H253" s="422" t="s">
        <v>18</v>
      </c>
      <c r="I253" s="423" t="s">
        <v>600</v>
      </c>
      <c r="K253" s="508">
        <f t="shared" si="7"/>
        <v>0</v>
      </c>
      <c r="L253" s="421">
        <v>1077</v>
      </c>
      <c r="M253" s="451">
        <v>32363</v>
      </c>
      <c r="N253" s="422" t="s">
        <v>18</v>
      </c>
      <c r="O253" s="432" t="s">
        <v>600</v>
      </c>
    </row>
    <row r="254" spans="1:15" x14ac:dyDescent="0.3">
      <c r="A254" s="436">
        <v>32414</v>
      </c>
      <c r="B254" s="116" t="s">
        <v>18</v>
      </c>
      <c r="C254" s="108" t="s">
        <v>134</v>
      </c>
      <c r="D254" s="125"/>
      <c r="E254">
        <f t="shared" si="8"/>
        <v>254</v>
      </c>
      <c r="F254" s="421">
        <v>227</v>
      </c>
      <c r="G254" s="436">
        <v>32414</v>
      </c>
      <c r="H254" s="422" t="s">
        <v>18</v>
      </c>
      <c r="I254" s="423" t="s">
        <v>134</v>
      </c>
      <c r="K254" s="508">
        <f t="shared" si="7"/>
        <v>0</v>
      </c>
      <c r="L254" s="421">
        <v>227</v>
      </c>
      <c r="M254" s="451">
        <v>32414</v>
      </c>
      <c r="N254" s="422" t="s">
        <v>18</v>
      </c>
      <c r="O254" s="432" t="s">
        <v>134</v>
      </c>
    </row>
    <row r="255" spans="1:15" x14ac:dyDescent="0.3">
      <c r="A255" s="436">
        <v>32416</v>
      </c>
      <c r="B255" s="116" t="s">
        <v>18</v>
      </c>
      <c r="C255" s="108" t="s">
        <v>460</v>
      </c>
      <c r="D255" s="125"/>
      <c r="E255">
        <f t="shared" si="8"/>
        <v>255</v>
      </c>
      <c r="F255" s="421">
        <v>815</v>
      </c>
      <c r="G255" s="436">
        <v>32416</v>
      </c>
      <c r="H255" s="422" t="s">
        <v>18</v>
      </c>
      <c r="I255" s="423" t="s">
        <v>460</v>
      </c>
      <c r="K255" s="508">
        <f t="shared" si="7"/>
        <v>0</v>
      </c>
      <c r="L255" s="421">
        <v>815</v>
      </c>
      <c r="M255" s="451">
        <v>32416</v>
      </c>
      <c r="N255" s="422" t="s">
        <v>18</v>
      </c>
      <c r="O255" s="432" t="s">
        <v>460</v>
      </c>
    </row>
    <row r="256" spans="1:15" x14ac:dyDescent="0.3">
      <c r="A256" s="436">
        <v>32801</v>
      </c>
      <c r="B256" s="116" t="s">
        <v>18</v>
      </c>
      <c r="C256" s="249" t="s">
        <v>356</v>
      </c>
      <c r="D256" s="125"/>
      <c r="E256">
        <f t="shared" si="8"/>
        <v>256</v>
      </c>
      <c r="F256" s="421">
        <v>259</v>
      </c>
      <c r="G256" s="436">
        <v>32801</v>
      </c>
      <c r="H256" s="422" t="s">
        <v>18</v>
      </c>
      <c r="I256" s="423" t="s">
        <v>356</v>
      </c>
      <c r="K256" s="508">
        <f t="shared" si="7"/>
        <v>0</v>
      </c>
      <c r="L256" s="421">
        <v>259</v>
      </c>
      <c r="M256" s="451">
        <v>32801</v>
      </c>
      <c r="N256" s="422" t="s">
        <v>18</v>
      </c>
      <c r="O256" s="495" t="s">
        <v>356</v>
      </c>
    </row>
    <row r="257" spans="1:15" x14ac:dyDescent="0.3">
      <c r="A257" s="436">
        <v>32901</v>
      </c>
      <c r="B257" s="250" t="s">
        <v>1039</v>
      </c>
      <c r="C257" s="510" t="s">
        <v>1034</v>
      </c>
      <c r="D257" s="125"/>
      <c r="E257">
        <f t="shared" si="8"/>
        <v>257</v>
      </c>
      <c r="F257" s="421">
        <v>2632</v>
      </c>
      <c r="G257" s="436">
        <v>32901</v>
      </c>
      <c r="H257" s="425" t="s">
        <v>1039</v>
      </c>
      <c r="I257" s="427" t="s">
        <v>1034</v>
      </c>
      <c r="K257" s="508">
        <f t="shared" si="7"/>
        <v>0</v>
      </c>
      <c r="L257" s="421">
        <v>2632</v>
      </c>
      <c r="M257" s="451">
        <v>32901</v>
      </c>
      <c r="N257" s="425" t="s">
        <v>1039</v>
      </c>
      <c r="O257" s="515" t="s">
        <v>1034</v>
      </c>
    </row>
    <row r="258" spans="1:15" x14ac:dyDescent="0.3">
      <c r="A258" s="436">
        <v>32903</v>
      </c>
      <c r="B258" s="250" t="s">
        <v>1039</v>
      </c>
      <c r="C258" s="509" t="s">
        <v>1170</v>
      </c>
      <c r="D258" s="125"/>
      <c r="E258">
        <f t="shared" si="8"/>
        <v>258</v>
      </c>
      <c r="F258" s="421">
        <v>4258</v>
      </c>
      <c r="G258" s="436">
        <v>32903</v>
      </c>
      <c r="H258" s="422" t="s">
        <v>1039</v>
      </c>
      <c r="I258" s="429" t="s">
        <v>1170</v>
      </c>
      <c r="K258" s="508">
        <f t="shared" si="7"/>
        <v>0</v>
      </c>
      <c r="L258" s="421">
        <v>4258</v>
      </c>
      <c r="M258" s="502">
        <v>32903</v>
      </c>
      <c r="N258" s="425" t="s">
        <v>1039</v>
      </c>
      <c r="O258" s="514" t="s">
        <v>1170</v>
      </c>
    </row>
    <row r="259" spans="1:15" x14ac:dyDescent="0.3">
      <c r="A259" s="436">
        <v>32907</v>
      </c>
      <c r="B259" s="250" t="s">
        <v>1039</v>
      </c>
      <c r="C259" s="252" t="s">
        <v>1037</v>
      </c>
      <c r="D259" s="125"/>
      <c r="E259">
        <f t="shared" si="8"/>
        <v>259</v>
      </c>
      <c r="F259" s="424">
        <v>2635</v>
      </c>
      <c r="G259" s="436">
        <v>32907</v>
      </c>
      <c r="H259" s="425" t="s">
        <v>1039</v>
      </c>
      <c r="I259" s="432" t="s">
        <v>1037</v>
      </c>
      <c r="K259" s="508">
        <f t="shared" si="7"/>
        <v>0</v>
      </c>
      <c r="L259" s="424">
        <v>2635</v>
      </c>
      <c r="M259" s="451">
        <v>32907</v>
      </c>
      <c r="N259" s="425" t="s">
        <v>1039</v>
      </c>
      <c r="O259" s="503" t="s">
        <v>1037</v>
      </c>
    </row>
    <row r="260" spans="1:15" x14ac:dyDescent="0.3">
      <c r="A260" s="436">
        <v>33030</v>
      </c>
      <c r="B260" s="116" t="s">
        <v>18</v>
      </c>
      <c r="C260" s="108" t="s">
        <v>386</v>
      </c>
      <c r="D260" s="125"/>
      <c r="E260">
        <f t="shared" si="8"/>
        <v>260</v>
      </c>
      <c r="F260" s="421">
        <v>681</v>
      </c>
      <c r="G260" s="436">
        <v>33030</v>
      </c>
      <c r="H260" s="422" t="s">
        <v>18</v>
      </c>
      <c r="I260" s="423" t="s">
        <v>386</v>
      </c>
      <c r="K260" s="508">
        <f t="shared" si="7"/>
        <v>0</v>
      </c>
      <c r="L260" s="421">
        <v>681</v>
      </c>
      <c r="M260" s="451">
        <v>33030</v>
      </c>
      <c r="N260" s="422" t="s">
        <v>18</v>
      </c>
      <c r="O260" s="432" t="s">
        <v>386</v>
      </c>
    </row>
    <row r="261" spans="1:15" x14ac:dyDescent="0.3">
      <c r="A261" s="436">
        <v>33036</v>
      </c>
      <c r="B261" s="116" t="s">
        <v>18</v>
      </c>
      <c r="C261" s="108" t="s">
        <v>86</v>
      </c>
      <c r="D261" s="125"/>
      <c r="E261">
        <f t="shared" si="8"/>
        <v>261</v>
      </c>
      <c r="F261" s="421">
        <v>135</v>
      </c>
      <c r="G261" s="436">
        <v>33036</v>
      </c>
      <c r="H261" s="422" t="s">
        <v>18</v>
      </c>
      <c r="I261" s="423" t="s">
        <v>86</v>
      </c>
      <c r="K261" s="508">
        <f t="shared" si="7"/>
        <v>0</v>
      </c>
      <c r="L261" s="421">
        <v>135</v>
      </c>
      <c r="M261" s="451">
        <v>33036</v>
      </c>
      <c r="N261" s="422" t="s">
        <v>18</v>
      </c>
      <c r="O261" s="432" t="s">
        <v>86</v>
      </c>
    </row>
    <row r="262" spans="1:15" x14ac:dyDescent="0.3">
      <c r="A262" s="436">
        <v>33049</v>
      </c>
      <c r="B262" s="116" t="s">
        <v>18</v>
      </c>
      <c r="C262" s="108" t="s">
        <v>594</v>
      </c>
      <c r="D262" s="125"/>
      <c r="E262">
        <f t="shared" si="8"/>
        <v>262</v>
      </c>
      <c r="F262" s="421">
        <v>1069</v>
      </c>
      <c r="G262" s="436">
        <v>33049</v>
      </c>
      <c r="H262" s="422" t="s">
        <v>18</v>
      </c>
      <c r="I262" s="423" t="s">
        <v>594</v>
      </c>
      <c r="K262" s="508">
        <f t="shared" si="7"/>
        <v>0</v>
      </c>
      <c r="L262" s="421">
        <v>1069</v>
      </c>
      <c r="M262" s="451">
        <v>33049</v>
      </c>
      <c r="N262" s="422" t="s">
        <v>18</v>
      </c>
      <c r="O262" s="432" t="s">
        <v>594</v>
      </c>
    </row>
    <row r="263" spans="1:15" x14ac:dyDescent="0.3">
      <c r="A263" s="436">
        <v>33070</v>
      </c>
      <c r="B263" s="116" t="s">
        <v>18</v>
      </c>
      <c r="C263" s="108" t="s">
        <v>570</v>
      </c>
      <c r="D263" s="125"/>
      <c r="E263">
        <f t="shared" si="8"/>
        <v>263</v>
      </c>
      <c r="F263" s="421">
        <v>1026</v>
      </c>
      <c r="G263" s="436">
        <v>33070</v>
      </c>
      <c r="H263" s="422" t="s">
        <v>18</v>
      </c>
      <c r="I263" s="423" t="s">
        <v>570</v>
      </c>
      <c r="K263" s="508">
        <f t="shared" ref="K263:K326" si="9">+L263-F263</f>
        <v>0</v>
      </c>
      <c r="L263" s="421">
        <v>1026</v>
      </c>
      <c r="M263" s="451">
        <v>33070</v>
      </c>
      <c r="N263" s="422" t="s">
        <v>18</v>
      </c>
      <c r="O263" s="432" t="s">
        <v>570</v>
      </c>
    </row>
    <row r="264" spans="1:15" x14ac:dyDescent="0.3">
      <c r="A264" s="436">
        <v>33115</v>
      </c>
      <c r="B264" s="116" t="s">
        <v>18</v>
      </c>
      <c r="C264" s="108" t="s">
        <v>106</v>
      </c>
      <c r="D264" s="125"/>
      <c r="E264">
        <f t="shared" ref="E264:E327" si="10">+E263+1</f>
        <v>264</v>
      </c>
      <c r="F264" s="421">
        <v>175</v>
      </c>
      <c r="G264" s="436">
        <v>33115</v>
      </c>
      <c r="H264" s="422" t="s">
        <v>18</v>
      </c>
      <c r="I264" s="423" t="s">
        <v>106</v>
      </c>
      <c r="K264" s="508">
        <f t="shared" si="9"/>
        <v>0</v>
      </c>
      <c r="L264" s="421">
        <v>175</v>
      </c>
      <c r="M264" s="451">
        <v>33115</v>
      </c>
      <c r="N264" s="422" t="s">
        <v>18</v>
      </c>
      <c r="O264" s="432" t="s">
        <v>106</v>
      </c>
    </row>
    <row r="265" spans="1:15" x14ac:dyDescent="0.3">
      <c r="A265" s="436">
        <v>33183</v>
      </c>
      <c r="B265" s="116" t="s">
        <v>18</v>
      </c>
      <c r="C265" s="108" t="s">
        <v>274</v>
      </c>
      <c r="D265" s="125"/>
      <c r="E265">
        <f t="shared" si="10"/>
        <v>265</v>
      </c>
      <c r="F265" s="421">
        <v>551</v>
      </c>
      <c r="G265" s="436">
        <v>33183</v>
      </c>
      <c r="H265" s="422" t="s">
        <v>18</v>
      </c>
      <c r="I265" s="423" t="s">
        <v>274</v>
      </c>
      <c r="K265" s="508">
        <f t="shared" si="9"/>
        <v>0</v>
      </c>
      <c r="L265" s="421">
        <v>551</v>
      </c>
      <c r="M265" s="451">
        <v>33183</v>
      </c>
      <c r="N265" s="422" t="s">
        <v>18</v>
      </c>
      <c r="O265" s="432" t="s">
        <v>274</v>
      </c>
    </row>
    <row r="266" spans="1:15" x14ac:dyDescent="0.3">
      <c r="A266" s="436">
        <v>33202</v>
      </c>
      <c r="B266" s="116" t="s">
        <v>18</v>
      </c>
      <c r="C266" s="108" t="s">
        <v>532</v>
      </c>
      <c r="D266" s="125"/>
      <c r="E266">
        <f t="shared" si="10"/>
        <v>266</v>
      </c>
      <c r="F266" s="421">
        <v>953</v>
      </c>
      <c r="G266" s="436">
        <v>33202</v>
      </c>
      <c r="H266" s="422" t="s">
        <v>18</v>
      </c>
      <c r="I266" s="423" t="s">
        <v>532</v>
      </c>
      <c r="K266" s="508">
        <f t="shared" si="9"/>
        <v>0</v>
      </c>
      <c r="L266" s="421">
        <v>953</v>
      </c>
      <c r="M266" s="451">
        <v>33202</v>
      </c>
      <c r="N266" s="422" t="s">
        <v>18</v>
      </c>
      <c r="O266" s="432" t="s">
        <v>532</v>
      </c>
    </row>
    <row r="267" spans="1:15" x14ac:dyDescent="0.3">
      <c r="A267" s="436">
        <v>33205</v>
      </c>
      <c r="B267" s="116" t="s">
        <v>18</v>
      </c>
      <c r="C267" s="108" t="s">
        <v>178</v>
      </c>
      <c r="D267" s="125"/>
      <c r="E267">
        <f t="shared" si="10"/>
        <v>267</v>
      </c>
      <c r="F267" s="421">
        <v>292</v>
      </c>
      <c r="G267" s="436">
        <v>33205</v>
      </c>
      <c r="H267" s="422" t="s">
        <v>18</v>
      </c>
      <c r="I267" s="423" t="s">
        <v>178</v>
      </c>
      <c r="K267" s="508">
        <f t="shared" si="9"/>
        <v>0</v>
      </c>
      <c r="L267" s="421">
        <v>292</v>
      </c>
      <c r="M267" s="451">
        <v>33205</v>
      </c>
      <c r="N267" s="422" t="s">
        <v>18</v>
      </c>
      <c r="O267" s="432" t="s">
        <v>178</v>
      </c>
    </row>
    <row r="268" spans="1:15" x14ac:dyDescent="0.3">
      <c r="A268" s="436">
        <v>33206</v>
      </c>
      <c r="B268" s="116" t="s">
        <v>18</v>
      </c>
      <c r="C268" s="108" t="s">
        <v>102</v>
      </c>
      <c r="D268" s="125"/>
      <c r="E268">
        <f t="shared" si="10"/>
        <v>268</v>
      </c>
      <c r="F268" s="421">
        <v>172</v>
      </c>
      <c r="G268" s="436">
        <v>33206</v>
      </c>
      <c r="H268" s="422" t="s">
        <v>18</v>
      </c>
      <c r="I268" s="423" t="s">
        <v>102</v>
      </c>
      <c r="K268" s="508">
        <f t="shared" si="9"/>
        <v>0</v>
      </c>
      <c r="L268" s="421">
        <v>172</v>
      </c>
      <c r="M268" s="451">
        <v>33206</v>
      </c>
      <c r="N268" s="422" t="s">
        <v>18</v>
      </c>
      <c r="O268" s="432" t="s">
        <v>102</v>
      </c>
    </row>
    <row r="269" spans="1:15" x14ac:dyDescent="0.3">
      <c r="A269" s="436">
        <v>33207</v>
      </c>
      <c r="B269" s="116" t="s">
        <v>18</v>
      </c>
      <c r="C269" s="108" t="s">
        <v>290</v>
      </c>
      <c r="D269" s="125"/>
      <c r="E269">
        <f t="shared" si="10"/>
        <v>269</v>
      </c>
      <c r="F269" s="421">
        <v>568</v>
      </c>
      <c r="G269" s="436">
        <v>33207</v>
      </c>
      <c r="H269" s="422" t="s">
        <v>18</v>
      </c>
      <c r="I269" s="423" t="s">
        <v>290</v>
      </c>
      <c r="K269" s="508">
        <f t="shared" si="9"/>
        <v>0</v>
      </c>
      <c r="L269" s="421">
        <v>568</v>
      </c>
      <c r="M269" s="451">
        <v>33207</v>
      </c>
      <c r="N269" s="422" t="s">
        <v>18</v>
      </c>
      <c r="O269" s="432" t="s">
        <v>290</v>
      </c>
    </row>
    <row r="270" spans="1:15" x14ac:dyDescent="0.3">
      <c r="A270" s="436">
        <v>33211</v>
      </c>
      <c r="B270" s="116" t="s">
        <v>18</v>
      </c>
      <c r="C270" s="108" t="s">
        <v>358</v>
      </c>
      <c r="D270" s="125"/>
      <c r="E270">
        <f t="shared" si="10"/>
        <v>270</v>
      </c>
      <c r="F270" s="421">
        <v>652</v>
      </c>
      <c r="G270" s="436">
        <v>33211</v>
      </c>
      <c r="H270" s="422" t="s">
        <v>18</v>
      </c>
      <c r="I270" s="423" t="s">
        <v>358</v>
      </c>
      <c r="K270" s="508">
        <f t="shared" si="9"/>
        <v>0</v>
      </c>
      <c r="L270" s="421">
        <v>652</v>
      </c>
      <c r="M270" s="451">
        <v>33211</v>
      </c>
      <c r="N270" s="422" t="s">
        <v>18</v>
      </c>
      <c r="O270" s="432" t="s">
        <v>358</v>
      </c>
    </row>
    <row r="271" spans="1:15" x14ac:dyDescent="0.3">
      <c r="A271" s="436">
        <v>33212</v>
      </c>
      <c r="B271" s="116" t="s">
        <v>18</v>
      </c>
      <c r="C271" s="108" t="s">
        <v>244</v>
      </c>
      <c r="D271" s="125"/>
      <c r="E271">
        <f t="shared" si="10"/>
        <v>271</v>
      </c>
      <c r="F271" s="421">
        <v>437</v>
      </c>
      <c r="G271" s="436">
        <v>33212</v>
      </c>
      <c r="H271" s="422" t="s">
        <v>18</v>
      </c>
      <c r="I271" s="423" t="s">
        <v>244</v>
      </c>
      <c r="K271" s="508">
        <f t="shared" si="9"/>
        <v>0</v>
      </c>
      <c r="L271" s="421">
        <v>437</v>
      </c>
      <c r="M271" s="451">
        <v>33212</v>
      </c>
      <c r="N271" s="422" t="s">
        <v>18</v>
      </c>
      <c r="O271" s="432" t="s">
        <v>244</v>
      </c>
    </row>
    <row r="272" spans="1:15" x14ac:dyDescent="0.3">
      <c r="A272" s="436">
        <v>34002</v>
      </c>
      <c r="B272" s="116" t="s">
        <v>13</v>
      </c>
      <c r="C272" s="108" t="s">
        <v>624</v>
      </c>
      <c r="D272" s="125"/>
      <c r="E272">
        <f t="shared" si="10"/>
        <v>272</v>
      </c>
      <c r="F272" s="421">
        <v>1134</v>
      </c>
      <c r="G272" s="436">
        <v>34002</v>
      </c>
      <c r="H272" s="422" t="s">
        <v>13</v>
      </c>
      <c r="I272" s="423" t="s">
        <v>624</v>
      </c>
      <c r="K272" s="508">
        <f t="shared" si="9"/>
        <v>0</v>
      </c>
      <c r="L272" s="421">
        <v>1134</v>
      </c>
      <c r="M272" s="451">
        <v>34002</v>
      </c>
      <c r="N272" s="422" t="s">
        <v>13</v>
      </c>
      <c r="O272" s="432" t="s">
        <v>624</v>
      </c>
    </row>
    <row r="273" spans="1:15" x14ac:dyDescent="0.3">
      <c r="A273" s="436">
        <v>34003</v>
      </c>
      <c r="B273" s="116" t="s">
        <v>13</v>
      </c>
      <c r="C273" s="108" t="s">
        <v>354</v>
      </c>
      <c r="D273" s="125"/>
      <c r="E273">
        <f t="shared" si="10"/>
        <v>273</v>
      </c>
      <c r="F273" s="421">
        <v>651</v>
      </c>
      <c r="G273" s="436">
        <v>34003</v>
      </c>
      <c r="H273" s="422" t="s">
        <v>13</v>
      </c>
      <c r="I273" s="423" t="s">
        <v>354</v>
      </c>
      <c r="K273" s="508">
        <f t="shared" si="9"/>
        <v>0</v>
      </c>
      <c r="L273" s="421">
        <v>651</v>
      </c>
      <c r="M273" s="451">
        <v>34003</v>
      </c>
      <c r="N273" s="422" t="s">
        <v>13</v>
      </c>
      <c r="O273" s="432" t="s">
        <v>354</v>
      </c>
    </row>
    <row r="274" spans="1:15" x14ac:dyDescent="0.3">
      <c r="A274" s="436">
        <v>34033</v>
      </c>
      <c r="B274" s="116" t="s">
        <v>13</v>
      </c>
      <c r="C274" s="108" t="s">
        <v>564</v>
      </c>
      <c r="D274" s="125"/>
      <c r="E274">
        <f t="shared" si="10"/>
        <v>274</v>
      </c>
      <c r="F274" s="421">
        <v>1003</v>
      </c>
      <c r="G274" s="436">
        <v>34033</v>
      </c>
      <c r="H274" s="422" t="s">
        <v>13</v>
      </c>
      <c r="I274" s="423" t="s">
        <v>564</v>
      </c>
      <c r="K274" s="508">
        <f t="shared" si="9"/>
        <v>0</v>
      </c>
      <c r="L274" s="421">
        <v>1003</v>
      </c>
      <c r="M274" s="451">
        <v>34033</v>
      </c>
      <c r="N274" s="422" t="s">
        <v>13</v>
      </c>
      <c r="O274" s="432" t="s">
        <v>564</v>
      </c>
    </row>
    <row r="275" spans="1:15" x14ac:dyDescent="0.3">
      <c r="A275" s="436">
        <v>34111</v>
      </c>
      <c r="B275" s="116" t="s">
        <v>13</v>
      </c>
      <c r="C275" s="108" t="s">
        <v>378</v>
      </c>
      <c r="D275" s="125"/>
      <c r="E275">
        <f t="shared" si="10"/>
        <v>275</v>
      </c>
      <c r="F275" s="421">
        <v>673</v>
      </c>
      <c r="G275" s="436">
        <v>34111</v>
      </c>
      <c r="H275" s="422" t="s">
        <v>13</v>
      </c>
      <c r="I275" s="423" t="s">
        <v>378</v>
      </c>
      <c r="K275" s="508">
        <f t="shared" si="9"/>
        <v>0</v>
      </c>
      <c r="L275" s="421">
        <v>673</v>
      </c>
      <c r="M275" s="451">
        <v>34111</v>
      </c>
      <c r="N275" s="422" t="s">
        <v>13</v>
      </c>
      <c r="O275" s="432" t="s">
        <v>378</v>
      </c>
    </row>
    <row r="276" spans="1:15" x14ac:dyDescent="0.3">
      <c r="A276" s="436">
        <v>34307</v>
      </c>
      <c r="B276" s="116" t="s">
        <v>13</v>
      </c>
      <c r="C276" s="108" t="s">
        <v>444</v>
      </c>
      <c r="D276" s="125"/>
      <c r="E276">
        <f t="shared" si="10"/>
        <v>276</v>
      </c>
      <c r="F276" s="421">
        <v>793</v>
      </c>
      <c r="G276" s="436">
        <v>34307</v>
      </c>
      <c r="H276" s="422" t="s">
        <v>13</v>
      </c>
      <c r="I276" s="423" t="s">
        <v>444</v>
      </c>
      <c r="K276" s="508">
        <f t="shared" si="9"/>
        <v>0</v>
      </c>
      <c r="L276" s="421">
        <v>793</v>
      </c>
      <c r="M276" s="451">
        <v>34307</v>
      </c>
      <c r="N276" s="422" t="s">
        <v>13</v>
      </c>
      <c r="O276" s="432" t="s">
        <v>444</v>
      </c>
    </row>
    <row r="277" spans="1:15" x14ac:dyDescent="0.3">
      <c r="A277" s="436">
        <v>34324</v>
      </c>
      <c r="B277" s="116" t="s">
        <v>13</v>
      </c>
      <c r="C277" s="108" t="s">
        <v>212</v>
      </c>
      <c r="D277" s="125"/>
      <c r="E277">
        <f t="shared" si="10"/>
        <v>277</v>
      </c>
      <c r="F277" s="421">
        <v>368</v>
      </c>
      <c r="G277" s="436">
        <v>34324</v>
      </c>
      <c r="H277" s="422" t="s">
        <v>13</v>
      </c>
      <c r="I277" s="423" t="s">
        <v>212</v>
      </c>
      <c r="K277" s="508">
        <f t="shared" si="9"/>
        <v>0</v>
      </c>
      <c r="L277" s="421">
        <v>368</v>
      </c>
      <c r="M277" s="451">
        <v>34324</v>
      </c>
      <c r="N277" s="422" t="s">
        <v>13</v>
      </c>
      <c r="O277" s="432" t="s">
        <v>212</v>
      </c>
    </row>
    <row r="278" spans="1:15" x14ac:dyDescent="0.3">
      <c r="A278" s="436">
        <v>34401</v>
      </c>
      <c r="B278" s="116" t="s">
        <v>13</v>
      </c>
      <c r="C278" s="108" t="s">
        <v>464</v>
      </c>
      <c r="D278" s="125"/>
      <c r="E278">
        <f t="shared" si="10"/>
        <v>278</v>
      </c>
      <c r="F278" s="421">
        <v>817</v>
      </c>
      <c r="G278" s="436">
        <v>34401</v>
      </c>
      <c r="H278" s="422" t="s">
        <v>13</v>
      </c>
      <c r="I278" s="423" t="s">
        <v>464</v>
      </c>
      <c r="K278" s="508">
        <f t="shared" si="9"/>
        <v>0</v>
      </c>
      <c r="L278" s="421">
        <v>817</v>
      </c>
      <c r="M278" s="451">
        <v>34401</v>
      </c>
      <c r="N278" s="422" t="s">
        <v>13</v>
      </c>
      <c r="O278" s="432" t="s">
        <v>464</v>
      </c>
    </row>
    <row r="279" spans="1:15" x14ac:dyDescent="0.3">
      <c r="A279" s="436">
        <v>34402</v>
      </c>
      <c r="B279" s="116" t="s">
        <v>13</v>
      </c>
      <c r="C279" s="108" t="s">
        <v>546</v>
      </c>
      <c r="D279" s="125"/>
      <c r="E279">
        <f t="shared" si="10"/>
        <v>279</v>
      </c>
      <c r="F279" s="421">
        <v>972</v>
      </c>
      <c r="G279" s="436">
        <v>34402</v>
      </c>
      <c r="H279" s="422" t="s">
        <v>13</v>
      </c>
      <c r="I279" s="423" t="s">
        <v>546</v>
      </c>
      <c r="K279" s="508">
        <f t="shared" si="9"/>
        <v>0</v>
      </c>
      <c r="L279" s="421">
        <v>972</v>
      </c>
      <c r="M279" s="451">
        <v>34402</v>
      </c>
      <c r="N279" s="422" t="s">
        <v>13</v>
      </c>
      <c r="O279" s="432" t="s">
        <v>546</v>
      </c>
    </row>
    <row r="280" spans="1:15" x14ac:dyDescent="0.3">
      <c r="A280" s="436">
        <v>34801</v>
      </c>
      <c r="B280" s="116">
        <v>113</v>
      </c>
      <c r="C280" s="249" t="s">
        <v>156</v>
      </c>
      <c r="D280" s="125"/>
      <c r="E280">
        <f t="shared" si="10"/>
        <v>280</v>
      </c>
      <c r="F280" s="421">
        <v>262</v>
      </c>
      <c r="G280" s="436">
        <v>34801</v>
      </c>
      <c r="H280" s="422">
        <v>113</v>
      </c>
      <c r="I280" s="423" t="s">
        <v>156</v>
      </c>
      <c r="K280" s="508">
        <f t="shared" si="9"/>
        <v>0</v>
      </c>
      <c r="L280" s="421">
        <v>262</v>
      </c>
      <c r="M280" s="451">
        <v>34801</v>
      </c>
      <c r="N280" s="422">
        <v>113</v>
      </c>
      <c r="O280" s="495" t="s">
        <v>156</v>
      </c>
    </row>
    <row r="281" spans="1:15" x14ac:dyDescent="0.3">
      <c r="A281" s="436">
        <v>35200</v>
      </c>
      <c r="B281" s="116" t="s">
        <v>34</v>
      </c>
      <c r="C281" s="108" t="s">
        <v>576</v>
      </c>
      <c r="D281" s="125"/>
      <c r="E281">
        <f t="shared" si="10"/>
        <v>281</v>
      </c>
      <c r="F281" s="421">
        <v>1043</v>
      </c>
      <c r="G281" s="436">
        <v>35200</v>
      </c>
      <c r="H281" s="422" t="s">
        <v>34</v>
      </c>
      <c r="I281" s="423" t="s">
        <v>576</v>
      </c>
      <c r="K281" s="508">
        <f t="shared" si="9"/>
        <v>0</v>
      </c>
      <c r="L281" s="421">
        <v>1043</v>
      </c>
      <c r="M281" s="451">
        <v>35200</v>
      </c>
      <c r="N281" s="422" t="s">
        <v>34</v>
      </c>
      <c r="O281" s="432" t="s">
        <v>576</v>
      </c>
    </row>
    <row r="282" spans="1:15" x14ac:dyDescent="0.3">
      <c r="A282" s="436">
        <v>36101</v>
      </c>
      <c r="B282" s="116" t="s">
        <v>26</v>
      </c>
      <c r="C282" s="108" t="s">
        <v>138</v>
      </c>
      <c r="D282" s="125"/>
      <c r="E282">
        <f t="shared" si="10"/>
        <v>282</v>
      </c>
      <c r="F282" s="421">
        <v>232</v>
      </c>
      <c r="G282" s="436">
        <v>36101</v>
      </c>
      <c r="H282" s="422" t="s">
        <v>26</v>
      </c>
      <c r="I282" s="423" t="s">
        <v>138</v>
      </c>
      <c r="K282" s="508">
        <f t="shared" si="9"/>
        <v>0</v>
      </c>
      <c r="L282" s="421">
        <v>232</v>
      </c>
      <c r="M282" s="451">
        <v>36101</v>
      </c>
      <c r="N282" s="422" t="s">
        <v>26</v>
      </c>
      <c r="O282" s="432" t="s">
        <v>138</v>
      </c>
    </row>
    <row r="283" spans="1:15" x14ac:dyDescent="0.3">
      <c r="A283" s="436">
        <v>36140</v>
      </c>
      <c r="B283" s="116" t="s">
        <v>26</v>
      </c>
      <c r="C283" s="108" t="s">
        <v>582</v>
      </c>
      <c r="D283" s="125"/>
      <c r="E283">
        <f t="shared" si="10"/>
        <v>283</v>
      </c>
      <c r="F283" s="421">
        <v>1056</v>
      </c>
      <c r="G283" s="436">
        <v>36140</v>
      </c>
      <c r="H283" s="422" t="s">
        <v>26</v>
      </c>
      <c r="I283" s="423" t="s">
        <v>582</v>
      </c>
      <c r="K283" s="508">
        <f t="shared" si="9"/>
        <v>0</v>
      </c>
      <c r="L283" s="421">
        <v>1056</v>
      </c>
      <c r="M283" s="451">
        <v>36140</v>
      </c>
      <c r="N283" s="422" t="s">
        <v>26</v>
      </c>
      <c r="O283" s="432" t="s">
        <v>582</v>
      </c>
    </row>
    <row r="284" spans="1:15" x14ac:dyDescent="0.3">
      <c r="A284" s="436">
        <v>36250</v>
      </c>
      <c r="B284" s="116" t="s">
        <v>26</v>
      </c>
      <c r="C284" s="108" t="s">
        <v>98</v>
      </c>
      <c r="D284" s="125"/>
      <c r="E284">
        <f t="shared" si="10"/>
        <v>284</v>
      </c>
      <c r="F284" s="421">
        <v>167</v>
      </c>
      <c r="G284" s="436">
        <v>36250</v>
      </c>
      <c r="H284" s="422" t="s">
        <v>26</v>
      </c>
      <c r="I284" s="423" t="s">
        <v>98</v>
      </c>
      <c r="K284" s="508">
        <f t="shared" si="9"/>
        <v>0</v>
      </c>
      <c r="L284" s="421">
        <v>167</v>
      </c>
      <c r="M284" s="451">
        <v>36250</v>
      </c>
      <c r="N284" s="422" t="s">
        <v>26</v>
      </c>
      <c r="O284" s="432" t="s">
        <v>98</v>
      </c>
    </row>
    <row r="285" spans="1:15" x14ac:dyDescent="0.3">
      <c r="A285" s="436">
        <v>36300</v>
      </c>
      <c r="B285" s="116" t="s">
        <v>26</v>
      </c>
      <c r="C285" s="108" t="s">
        <v>556</v>
      </c>
      <c r="D285" s="125"/>
      <c r="E285">
        <f t="shared" si="10"/>
        <v>285</v>
      </c>
      <c r="F285" s="421">
        <v>993</v>
      </c>
      <c r="G285" s="436">
        <v>36300</v>
      </c>
      <c r="H285" s="422" t="s">
        <v>26</v>
      </c>
      <c r="I285" s="423" t="s">
        <v>556</v>
      </c>
      <c r="K285" s="508">
        <f t="shared" si="9"/>
        <v>0</v>
      </c>
      <c r="L285" s="421">
        <v>993</v>
      </c>
      <c r="M285" s="451">
        <v>36300</v>
      </c>
      <c r="N285" s="422" t="s">
        <v>26</v>
      </c>
      <c r="O285" s="432" t="s">
        <v>556</v>
      </c>
    </row>
    <row r="286" spans="1:15" x14ac:dyDescent="0.3">
      <c r="A286" s="436">
        <v>36400</v>
      </c>
      <c r="B286" s="116" t="s">
        <v>26</v>
      </c>
      <c r="C286" s="108" t="s">
        <v>104</v>
      </c>
      <c r="D286" s="125"/>
      <c r="E286">
        <f t="shared" si="10"/>
        <v>286</v>
      </c>
      <c r="F286" s="421">
        <v>173</v>
      </c>
      <c r="G286" s="436">
        <v>36400</v>
      </c>
      <c r="H286" s="422" t="s">
        <v>26</v>
      </c>
      <c r="I286" s="423" t="s">
        <v>104</v>
      </c>
      <c r="K286" s="508">
        <f t="shared" si="9"/>
        <v>0</v>
      </c>
      <c r="L286" s="421">
        <v>173</v>
      </c>
      <c r="M286" s="451">
        <v>36400</v>
      </c>
      <c r="N286" s="422" t="s">
        <v>26</v>
      </c>
      <c r="O286" s="432" t="s">
        <v>104</v>
      </c>
    </row>
    <row r="287" spans="1:15" x14ac:dyDescent="0.3">
      <c r="A287" s="436">
        <v>36401</v>
      </c>
      <c r="B287" s="116" t="s">
        <v>26</v>
      </c>
      <c r="C287" s="108" t="s">
        <v>580</v>
      </c>
      <c r="D287" s="125"/>
      <c r="E287">
        <f t="shared" si="10"/>
        <v>287</v>
      </c>
      <c r="F287" s="421">
        <v>1046</v>
      </c>
      <c r="G287" s="436">
        <v>36401</v>
      </c>
      <c r="H287" s="422" t="s">
        <v>26</v>
      </c>
      <c r="I287" s="423" t="s">
        <v>580</v>
      </c>
      <c r="K287" s="508">
        <f t="shared" si="9"/>
        <v>0</v>
      </c>
      <c r="L287" s="421">
        <v>1046</v>
      </c>
      <c r="M287" s="451">
        <v>36401</v>
      </c>
      <c r="N287" s="422" t="s">
        <v>26</v>
      </c>
      <c r="O287" s="432" t="s">
        <v>580</v>
      </c>
    </row>
    <row r="288" spans="1:15" x14ac:dyDescent="0.3">
      <c r="A288" s="436">
        <v>36402</v>
      </c>
      <c r="B288" s="116" t="s">
        <v>26</v>
      </c>
      <c r="C288" s="108" t="s">
        <v>424</v>
      </c>
      <c r="D288" s="125"/>
      <c r="E288">
        <f t="shared" si="10"/>
        <v>288</v>
      </c>
      <c r="F288" s="421">
        <v>761</v>
      </c>
      <c r="G288" s="436">
        <v>36402</v>
      </c>
      <c r="H288" s="422" t="s">
        <v>26</v>
      </c>
      <c r="I288" s="423" t="s">
        <v>424</v>
      </c>
      <c r="K288" s="508">
        <f t="shared" si="9"/>
        <v>0</v>
      </c>
      <c r="L288" s="421">
        <v>761</v>
      </c>
      <c r="M288" s="451">
        <v>36402</v>
      </c>
      <c r="N288" s="422" t="s">
        <v>26</v>
      </c>
      <c r="O288" s="432" t="s">
        <v>424</v>
      </c>
    </row>
    <row r="289" spans="1:15" x14ac:dyDescent="0.3">
      <c r="A289" s="436">
        <v>37501</v>
      </c>
      <c r="B289" s="116" t="s">
        <v>21</v>
      </c>
      <c r="C289" s="108" t="s">
        <v>37</v>
      </c>
      <c r="D289" s="125"/>
      <c r="E289">
        <f t="shared" si="10"/>
        <v>289</v>
      </c>
      <c r="F289" s="421">
        <v>54</v>
      </c>
      <c r="G289" s="436">
        <v>37501</v>
      </c>
      <c r="H289" s="422" t="s">
        <v>21</v>
      </c>
      <c r="I289" s="423" t="s">
        <v>37</v>
      </c>
      <c r="K289" s="508">
        <f t="shared" si="9"/>
        <v>0</v>
      </c>
      <c r="L289" s="421">
        <v>54</v>
      </c>
      <c r="M289" s="451">
        <v>37501</v>
      </c>
      <c r="N289" s="422" t="s">
        <v>21</v>
      </c>
      <c r="O289" s="432" t="s">
        <v>37</v>
      </c>
    </row>
    <row r="290" spans="1:15" x14ac:dyDescent="0.3">
      <c r="A290" s="436">
        <v>37502</v>
      </c>
      <c r="B290" s="116" t="s">
        <v>21</v>
      </c>
      <c r="C290" s="108" t="s">
        <v>182</v>
      </c>
      <c r="D290" s="125"/>
      <c r="E290">
        <f t="shared" si="10"/>
        <v>290</v>
      </c>
      <c r="F290" s="421">
        <v>297</v>
      </c>
      <c r="G290" s="436">
        <v>37502</v>
      </c>
      <c r="H290" s="422" t="s">
        <v>21</v>
      </c>
      <c r="I290" s="423" t="s">
        <v>182</v>
      </c>
      <c r="K290" s="508">
        <f t="shared" si="9"/>
        <v>0</v>
      </c>
      <c r="L290" s="421">
        <v>297</v>
      </c>
      <c r="M290" s="451">
        <v>37502</v>
      </c>
      <c r="N290" s="422" t="s">
        <v>21</v>
      </c>
      <c r="O290" s="432" t="s">
        <v>182</v>
      </c>
    </row>
    <row r="291" spans="1:15" x14ac:dyDescent="0.3">
      <c r="A291" s="436">
        <v>37503</v>
      </c>
      <c r="B291" s="116" t="s">
        <v>21</v>
      </c>
      <c r="C291" s="108" t="s">
        <v>46</v>
      </c>
      <c r="D291" s="125"/>
      <c r="E291">
        <f t="shared" si="10"/>
        <v>291</v>
      </c>
      <c r="F291" s="421">
        <v>72</v>
      </c>
      <c r="G291" s="436">
        <v>37503</v>
      </c>
      <c r="H291" s="422" t="s">
        <v>21</v>
      </c>
      <c r="I291" s="423" t="s">
        <v>46</v>
      </c>
      <c r="K291" s="508">
        <f t="shared" si="9"/>
        <v>0</v>
      </c>
      <c r="L291" s="421">
        <v>72</v>
      </c>
      <c r="M291" s="451">
        <v>37503</v>
      </c>
      <c r="N291" s="422" t="s">
        <v>21</v>
      </c>
      <c r="O291" s="432" t="s">
        <v>46</v>
      </c>
    </row>
    <row r="292" spans="1:15" x14ac:dyDescent="0.3">
      <c r="A292" s="436">
        <v>37504</v>
      </c>
      <c r="B292" s="116" t="s">
        <v>21</v>
      </c>
      <c r="C292" s="108" t="s">
        <v>280</v>
      </c>
      <c r="D292" s="125"/>
      <c r="E292">
        <f t="shared" si="10"/>
        <v>292</v>
      </c>
      <c r="F292" s="421">
        <v>557</v>
      </c>
      <c r="G292" s="436">
        <v>37504</v>
      </c>
      <c r="H292" s="422" t="s">
        <v>21</v>
      </c>
      <c r="I292" s="423" t="s">
        <v>280</v>
      </c>
      <c r="K292" s="508">
        <f t="shared" si="9"/>
        <v>0</v>
      </c>
      <c r="L292" s="421">
        <v>557</v>
      </c>
      <c r="M292" s="451">
        <v>37504</v>
      </c>
      <c r="N292" s="422" t="s">
        <v>21</v>
      </c>
      <c r="O292" s="432" t="s">
        <v>280</v>
      </c>
    </row>
    <row r="293" spans="1:15" x14ac:dyDescent="0.3">
      <c r="A293" s="436">
        <v>37505</v>
      </c>
      <c r="B293" s="116" t="s">
        <v>21</v>
      </c>
      <c r="C293" s="108" t="s">
        <v>302</v>
      </c>
      <c r="D293" s="125"/>
      <c r="E293">
        <f t="shared" si="10"/>
        <v>293</v>
      </c>
      <c r="F293" s="421">
        <v>586</v>
      </c>
      <c r="G293" s="436">
        <v>37505</v>
      </c>
      <c r="H293" s="422" t="s">
        <v>21</v>
      </c>
      <c r="I293" s="423" t="s">
        <v>302</v>
      </c>
      <c r="K293" s="508">
        <f t="shared" si="9"/>
        <v>0</v>
      </c>
      <c r="L293" s="421">
        <v>586</v>
      </c>
      <c r="M293" s="451">
        <v>37505</v>
      </c>
      <c r="N293" s="422" t="s">
        <v>21</v>
      </c>
      <c r="O293" s="432" t="s">
        <v>302</v>
      </c>
    </row>
    <row r="294" spans="1:15" x14ac:dyDescent="0.3">
      <c r="A294" s="436">
        <v>37506</v>
      </c>
      <c r="B294" s="116" t="s">
        <v>21</v>
      </c>
      <c r="C294" s="108" t="s">
        <v>340</v>
      </c>
      <c r="D294" s="125"/>
      <c r="E294">
        <f t="shared" si="10"/>
        <v>294</v>
      </c>
      <c r="F294" s="421">
        <v>643</v>
      </c>
      <c r="G294" s="436">
        <v>37506</v>
      </c>
      <c r="H294" s="422" t="s">
        <v>21</v>
      </c>
      <c r="I294" s="423" t="s">
        <v>340</v>
      </c>
      <c r="K294" s="508">
        <f t="shared" si="9"/>
        <v>0</v>
      </c>
      <c r="L294" s="421">
        <v>643</v>
      </c>
      <c r="M294" s="451">
        <v>37506</v>
      </c>
      <c r="N294" s="422" t="s">
        <v>21</v>
      </c>
      <c r="O294" s="432" t="s">
        <v>340</v>
      </c>
    </row>
    <row r="295" spans="1:15" x14ac:dyDescent="0.3">
      <c r="A295" s="436">
        <v>37507</v>
      </c>
      <c r="B295" s="116" t="s">
        <v>21</v>
      </c>
      <c r="C295" s="108" t="s">
        <v>320</v>
      </c>
      <c r="D295" s="125"/>
      <c r="E295">
        <f t="shared" si="10"/>
        <v>295</v>
      </c>
      <c r="F295" s="421">
        <v>615</v>
      </c>
      <c r="G295" s="436">
        <v>37507</v>
      </c>
      <c r="H295" s="422" t="s">
        <v>21</v>
      </c>
      <c r="I295" s="423" t="s">
        <v>320</v>
      </c>
      <c r="K295" s="508">
        <f t="shared" si="9"/>
        <v>0</v>
      </c>
      <c r="L295" s="421">
        <v>615</v>
      </c>
      <c r="M295" s="451">
        <v>37507</v>
      </c>
      <c r="N295" s="422" t="s">
        <v>21</v>
      </c>
      <c r="O295" s="432" t="s">
        <v>320</v>
      </c>
    </row>
    <row r="296" spans="1:15" x14ac:dyDescent="0.3">
      <c r="A296" s="437">
        <v>37902</v>
      </c>
      <c r="B296" s="425" t="s">
        <v>1039</v>
      </c>
      <c r="C296" s="423" t="s">
        <v>1182</v>
      </c>
      <c r="D296" s="125"/>
      <c r="E296">
        <f t="shared" si="10"/>
        <v>296</v>
      </c>
      <c r="F296" s="438">
        <v>4276</v>
      </c>
      <c r="G296" s="437">
        <v>37902</v>
      </c>
      <c r="H296" s="425" t="s">
        <v>1039</v>
      </c>
      <c r="I296" s="423" t="s">
        <v>1182</v>
      </c>
      <c r="K296" s="508">
        <f t="shared" si="9"/>
        <v>0</v>
      </c>
      <c r="L296" s="499">
        <v>4276</v>
      </c>
      <c r="M296" s="451">
        <v>37902</v>
      </c>
      <c r="N296" s="425" t="s">
        <v>1039</v>
      </c>
      <c r="O296" s="447" t="s">
        <v>1182</v>
      </c>
    </row>
    <row r="297" spans="1:15" x14ac:dyDescent="0.3">
      <c r="A297" s="436">
        <v>38126</v>
      </c>
      <c r="B297" s="116" t="s">
        <v>18</v>
      </c>
      <c r="C297" s="108" t="s">
        <v>256</v>
      </c>
      <c r="D297" s="125"/>
      <c r="E297">
        <f t="shared" si="10"/>
        <v>297</v>
      </c>
      <c r="F297" s="421">
        <v>512</v>
      </c>
      <c r="G297" s="436">
        <v>38126</v>
      </c>
      <c r="H297" s="422" t="s">
        <v>18</v>
      </c>
      <c r="I297" s="423" t="s">
        <v>256</v>
      </c>
      <c r="K297" s="508">
        <f t="shared" si="9"/>
        <v>0</v>
      </c>
      <c r="L297" s="421">
        <v>512</v>
      </c>
      <c r="M297" s="451">
        <v>38126</v>
      </c>
      <c r="N297" s="422" t="s">
        <v>18</v>
      </c>
      <c r="O297" s="432" t="s">
        <v>256</v>
      </c>
    </row>
    <row r="298" spans="1:15" x14ac:dyDescent="0.3">
      <c r="A298" s="436">
        <v>38264</v>
      </c>
      <c r="B298" s="116" t="s">
        <v>18</v>
      </c>
      <c r="C298" s="108" t="s">
        <v>266</v>
      </c>
      <c r="D298" s="125"/>
      <c r="E298">
        <f t="shared" si="10"/>
        <v>298</v>
      </c>
      <c r="F298" s="421">
        <v>523</v>
      </c>
      <c r="G298" s="436">
        <v>38264</v>
      </c>
      <c r="H298" s="422" t="s">
        <v>18</v>
      </c>
      <c r="I298" s="423" t="s">
        <v>266</v>
      </c>
      <c r="K298" s="508">
        <f t="shared" si="9"/>
        <v>0</v>
      </c>
      <c r="L298" s="421">
        <v>523</v>
      </c>
      <c r="M298" s="451">
        <v>38264</v>
      </c>
      <c r="N298" s="422" t="s">
        <v>18</v>
      </c>
      <c r="O298" s="432" t="s">
        <v>266</v>
      </c>
    </row>
    <row r="299" spans="1:15" x14ac:dyDescent="0.3">
      <c r="A299" s="436">
        <v>38265</v>
      </c>
      <c r="B299" s="116" t="s">
        <v>18</v>
      </c>
      <c r="C299" s="108" t="s">
        <v>544</v>
      </c>
      <c r="D299" s="125"/>
      <c r="E299">
        <f t="shared" si="10"/>
        <v>299</v>
      </c>
      <c r="F299" s="421">
        <v>971</v>
      </c>
      <c r="G299" s="436">
        <v>38265</v>
      </c>
      <c r="H299" s="422" t="s">
        <v>18</v>
      </c>
      <c r="I299" s="423" t="s">
        <v>544</v>
      </c>
      <c r="K299" s="508">
        <f t="shared" si="9"/>
        <v>0</v>
      </c>
      <c r="L299" s="421">
        <v>971</v>
      </c>
      <c r="M299" s="451">
        <v>38265</v>
      </c>
      <c r="N299" s="422" t="s">
        <v>18</v>
      </c>
      <c r="O299" s="432" t="s">
        <v>544</v>
      </c>
    </row>
    <row r="300" spans="1:15" x14ac:dyDescent="0.3">
      <c r="A300" s="436">
        <v>38267</v>
      </c>
      <c r="B300" s="116" t="s">
        <v>18</v>
      </c>
      <c r="C300" s="108" t="s">
        <v>430</v>
      </c>
      <c r="D300" s="125"/>
      <c r="E300">
        <f t="shared" si="10"/>
        <v>300</v>
      </c>
      <c r="F300" s="421">
        <v>781</v>
      </c>
      <c r="G300" s="436">
        <v>38267</v>
      </c>
      <c r="H300" s="422" t="s">
        <v>18</v>
      </c>
      <c r="I300" s="423" t="s">
        <v>430</v>
      </c>
      <c r="K300" s="508">
        <f t="shared" si="9"/>
        <v>0</v>
      </c>
      <c r="L300" s="421">
        <v>781</v>
      </c>
      <c r="M300" s="451">
        <v>38267</v>
      </c>
      <c r="N300" s="422" t="s">
        <v>18</v>
      </c>
      <c r="O300" s="432" t="s">
        <v>430</v>
      </c>
    </row>
    <row r="301" spans="1:15" x14ac:dyDescent="0.3">
      <c r="A301" s="436">
        <v>38300</v>
      </c>
      <c r="B301" s="116" t="s">
        <v>18</v>
      </c>
      <c r="C301" s="108" t="s">
        <v>96</v>
      </c>
      <c r="D301" s="125"/>
      <c r="E301">
        <f t="shared" si="10"/>
        <v>301</v>
      </c>
      <c r="F301" s="421">
        <v>165</v>
      </c>
      <c r="G301" s="436">
        <v>38300</v>
      </c>
      <c r="H301" s="422" t="s">
        <v>18</v>
      </c>
      <c r="I301" s="423" t="s">
        <v>96</v>
      </c>
      <c r="K301" s="508">
        <f t="shared" si="9"/>
        <v>0</v>
      </c>
      <c r="L301" s="421">
        <v>165</v>
      </c>
      <c r="M301" s="451">
        <v>38300</v>
      </c>
      <c r="N301" s="422" t="s">
        <v>18</v>
      </c>
      <c r="O301" s="432" t="s">
        <v>96</v>
      </c>
    </row>
    <row r="302" spans="1:15" x14ac:dyDescent="0.3">
      <c r="A302" s="436">
        <v>38301</v>
      </c>
      <c r="B302" s="116" t="s">
        <v>18</v>
      </c>
      <c r="C302" s="108" t="s">
        <v>404</v>
      </c>
      <c r="D302" s="125"/>
      <c r="E302">
        <f t="shared" si="10"/>
        <v>302</v>
      </c>
      <c r="F302" s="421">
        <v>703</v>
      </c>
      <c r="G302" s="436">
        <v>38301</v>
      </c>
      <c r="H302" s="422" t="s">
        <v>18</v>
      </c>
      <c r="I302" s="423" t="s">
        <v>404</v>
      </c>
      <c r="K302" s="508">
        <f t="shared" si="9"/>
        <v>0</v>
      </c>
      <c r="L302" s="421">
        <v>703</v>
      </c>
      <c r="M302" s="451">
        <v>38301</v>
      </c>
      <c r="N302" s="422" t="s">
        <v>18</v>
      </c>
      <c r="O302" s="432" t="s">
        <v>404</v>
      </c>
    </row>
    <row r="303" spans="1:15" x14ac:dyDescent="0.3">
      <c r="A303" s="436">
        <v>38302</v>
      </c>
      <c r="B303" s="116" t="s">
        <v>18</v>
      </c>
      <c r="C303" s="108" t="s">
        <v>192</v>
      </c>
      <c r="D303" s="125"/>
      <c r="E303">
        <f t="shared" si="10"/>
        <v>303</v>
      </c>
      <c r="F303" s="421">
        <v>328</v>
      </c>
      <c r="G303" s="436">
        <v>38302</v>
      </c>
      <c r="H303" s="422" t="s">
        <v>18</v>
      </c>
      <c r="I303" s="423" t="s">
        <v>192</v>
      </c>
      <c r="K303" s="508">
        <f t="shared" si="9"/>
        <v>0</v>
      </c>
      <c r="L303" s="421">
        <v>328</v>
      </c>
      <c r="M303" s="451">
        <v>38302</v>
      </c>
      <c r="N303" s="422" t="s">
        <v>18</v>
      </c>
      <c r="O303" s="432" t="s">
        <v>192</v>
      </c>
    </row>
    <row r="304" spans="1:15" x14ac:dyDescent="0.3">
      <c r="A304" s="436">
        <v>38304</v>
      </c>
      <c r="B304" s="116" t="s">
        <v>18</v>
      </c>
      <c r="C304" s="108" t="s">
        <v>526</v>
      </c>
      <c r="D304" s="125"/>
      <c r="E304">
        <f t="shared" si="10"/>
        <v>304</v>
      </c>
      <c r="F304" s="421">
        <v>945</v>
      </c>
      <c r="G304" s="436">
        <v>38304</v>
      </c>
      <c r="H304" s="422" t="s">
        <v>18</v>
      </c>
      <c r="I304" s="423" t="s">
        <v>526</v>
      </c>
      <c r="K304" s="508">
        <f t="shared" si="9"/>
        <v>0</v>
      </c>
      <c r="L304" s="421">
        <v>945</v>
      </c>
      <c r="M304" s="451">
        <v>38304</v>
      </c>
      <c r="N304" s="422" t="s">
        <v>18</v>
      </c>
      <c r="O304" s="432" t="s">
        <v>526</v>
      </c>
    </row>
    <row r="305" spans="1:15" x14ac:dyDescent="0.3">
      <c r="A305" s="436">
        <v>38306</v>
      </c>
      <c r="B305" s="116" t="s">
        <v>18</v>
      </c>
      <c r="C305" s="108" t="s">
        <v>100</v>
      </c>
      <c r="D305" s="125"/>
      <c r="E305">
        <f t="shared" si="10"/>
        <v>305</v>
      </c>
      <c r="F305" s="421">
        <v>168</v>
      </c>
      <c r="G305" s="436">
        <v>38306</v>
      </c>
      <c r="H305" s="422" t="s">
        <v>18</v>
      </c>
      <c r="I305" s="423" t="s">
        <v>100</v>
      </c>
      <c r="K305" s="508">
        <f t="shared" si="9"/>
        <v>0</v>
      </c>
      <c r="L305" s="421">
        <v>168</v>
      </c>
      <c r="M305" s="451">
        <v>38306</v>
      </c>
      <c r="N305" s="422" t="s">
        <v>18</v>
      </c>
      <c r="O305" s="432" t="s">
        <v>100</v>
      </c>
    </row>
    <row r="306" spans="1:15" x14ac:dyDescent="0.3">
      <c r="A306" s="436">
        <v>38308</v>
      </c>
      <c r="B306" s="116" t="s">
        <v>18</v>
      </c>
      <c r="C306" s="108" t="s">
        <v>164</v>
      </c>
      <c r="D306" s="125"/>
      <c r="E306">
        <f t="shared" si="10"/>
        <v>306</v>
      </c>
      <c r="F306" s="421">
        <v>274</v>
      </c>
      <c r="G306" s="436">
        <v>38308</v>
      </c>
      <c r="H306" s="422" t="s">
        <v>18</v>
      </c>
      <c r="I306" s="423" t="s">
        <v>164</v>
      </c>
      <c r="K306" s="508">
        <f t="shared" si="9"/>
        <v>0</v>
      </c>
      <c r="L306" s="421">
        <v>274</v>
      </c>
      <c r="M306" s="451">
        <v>38308</v>
      </c>
      <c r="N306" s="422" t="s">
        <v>18</v>
      </c>
      <c r="O306" s="432" t="s">
        <v>164</v>
      </c>
    </row>
    <row r="307" spans="1:15" x14ac:dyDescent="0.3">
      <c r="A307" s="436">
        <v>38320</v>
      </c>
      <c r="B307" s="116" t="s">
        <v>18</v>
      </c>
      <c r="C307" s="108" t="s">
        <v>468</v>
      </c>
      <c r="D307" s="125"/>
      <c r="E307">
        <f t="shared" si="10"/>
        <v>307</v>
      </c>
      <c r="F307" s="421">
        <v>820</v>
      </c>
      <c r="G307" s="436">
        <v>38320</v>
      </c>
      <c r="H307" s="422" t="s">
        <v>18</v>
      </c>
      <c r="I307" s="423" t="s">
        <v>468</v>
      </c>
      <c r="K307" s="508">
        <f t="shared" si="9"/>
        <v>0</v>
      </c>
      <c r="L307" s="421">
        <v>820</v>
      </c>
      <c r="M307" s="451">
        <v>38320</v>
      </c>
      <c r="N307" s="422" t="s">
        <v>18</v>
      </c>
      <c r="O307" s="432" t="s">
        <v>468</v>
      </c>
    </row>
    <row r="308" spans="1:15" x14ac:dyDescent="0.3">
      <c r="A308" s="436">
        <v>38322</v>
      </c>
      <c r="B308" s="116" t="s">
        <v>18</v>
      </c>
      <c r="C308" s="108" t="s">
        <v>472</v>
      </c>
      <c r="D308" s="125"/>
      <c r="E308">
        <f t="shared" si="10"/>
        <v>308</v>
      </c>
      <c r="F308" s="421">
        <v>929</v>
      </c>
      <c r="G308" s="436">
        <v>38322</v>
      </c>
      <c r="H308" s="422" t="s">
        <v>18</v>
      </c>
      <c r="I308" s="423" t="s">
        <v>472</v>
      </c>
      <c r="K308" s="508">
        <f t="shared" si="9"/>
        <v>0</v>
      </c>
      <c r="L308" s="421">
        <v>929</v>
      </c>
      <c r="M308" s="451">
        <v>38322</v>
      </c>
      <c r="N308" s="422" t="s">
        <v>18</v>
      </c>
      <c r="O308" s="432" t="s">
        <v>472</v>
      </c>
    </row>
    <row r="309" spans="1:15" x14ac:dyDescent="0.3">
      <c r="A309" s="436">
        <v>38324</v>
      </c>
      <c r="B309" s="116" t="s">
        <v>18</v>
      </c>
      <c r="C309" s="108" t="s">
        <v>366</v>
      </c>
      <c r="D309" s="125"/>
      <c r="E309">
        <f t="shared" si="10"/>
        <v>309</v>
      </c>
      <c r="F309" s="421">
        <v>658</v>
      </c>
      <c r="G309" s="436">
        <v>38324</v>
      </c>
      <c r="H309" s="422" t="s">
        <v>18</v>
      </c>
      <c r="I309" s="423" t="s">
        <v>366</v>
      </c>
      <c r="K309" s="508">
        <f t="shared" si="9"/>
        <v>0</v>
      </c>
      <c r="L309" s="421">
        <v>658</v>
      </c>
      <c r="M309" s="451">
        <v>38324</v>
      </c>
      <c r="N309" s="422" t="s">
        <v>18</v>
      </c>
      <c r="O309" s="432" t="s">
        <v>366</v>
      </c>
    </row>
    <row r="310" spans="1:15" x14ac:dyDescent="0.3">
      <c r="A310" s="437">
        <v>38901</v>
      </c>
      <c r="B310" s="425" t="s">
        <v>1039</v>
      </c>
      <c r="C310" s="423" t="s">
        <v>1184</v>
      </c>
      <c r="D310" s="125"/>
      <c r="E310">
        <f t="shared" si="10"/>
        <v>310</v>
      </c>
      <c r="F310" s="247">
        <v>4280</v>
      </c>
      <c r="G310" s="437">
        <v>38901</v>
      </c>
      <c r="H310" s="425" t="s">
        <v>1039</v>
      </c>
      <c r="I310" s="423" t="s">
        <v>1184</v>
      </c>
      <c r="K310" s="508">
        <f t="shared" si="9"/>
        <v>0</v>
      </c>
      <c r="L310" s="496">
        <v>4280</v>
      </c>
      <c r="M310" s="451">
        <v>38901</v>
      </c>
      <c r="N310" s="425" t="s">
        <v>1039</v>
      </c>
      <c r="O310" s="447" t="s">
        <v>1184</v>
      </c>
    </row>
    <row r="311" spans="1:15" x14ac:dyDescent="0.3">
      <c r="A311" s="436">
        <v>39002</v>
      </c>
      <c r="B311" s="116" t="s">
        <v>45</v>
      </c>
      <c r="C311" s="108" t="s">
        <v>566</v>
      </c>
      <c r="D311" s="125"/>
      <c r="E311">
        <f t="shared" si="10"/>
        <v>311</v>
      </c>
      <c r="F311" s="421">
        <v>1007</v>
      </c>
      <c r="G311" s="436">
        <v>39002</v>
      </c>
      <c r="H311" s="422" t="s">
        <v>45</v>
      </c>
      <c r="I311" s="423" t="s">
        <v>566</v>
      </c>
      <c r="K311" s="508">
        <f t="shared" si="9"/>
        <v>0</v>
      </c>
      <c r="L311" s="421">
        <v>1007</v>
      </c>
      <c r="M311" s="451">
        <v>39002</v>
      </c>
      <c r="N311" s="422" t="s">
        <v>45</v>
      </c>
      <c r="O311" s="432" t="s">
        <v>566</v>
      </c>
    </row>
    <row r="312" spans="1:15" x14ac:dyDescent="0.3">
      <c r="A312" s="436">
        <v>39003</v>
      </c>
      <c r="B312" s="116" t="s">
        <v>45</v>
      </c>
      <c r="C312" s="108" t="s">
        <v>328</v>
      </c>
      <c r="D312" s="125"/>
      <c r="E312">
        <f t="shared" si="10"/>
        <v>312</v>
      </c>
      <c r="F312" s="421">
        <v>630</v>
      </c>
      <c r="G312" s="436">
        <v>39003</v>
      </c>
      <c r="H312" s="422" t="s">
        <v>45</v>
      </c>
      <c r="I312" s="423" t="s">
        <v>328</v>
      </c>
      <c r="K312" s="508">
        <f t="shared" si="9"/>
        <v>0</v>
      </c>
      <c r="L312" s="421">
        <v>630</v>
      </c>
      <c r="M312" s="451">
        <v>39003</v>
      </c>
      <c r="N312" s="422" t="s">
        <v>45</v>
      </c>
      <c r="O312" s="432" t="s">
        <v>328</v>
      </c>
    </row>
    <row r="313" spans="1:15" x14ac:dyDescent="0.3">
      <c r="A313" s="436">
        <v>39007</v>
      </c>
      <c r="B313" s="116" t="s">
        <v>45</v>
      </c>
      <c r="C313" s="108" t="s">
        <v>622</v>
      </c>
      <c r="D313" s="125"/>
      <c r="E313">
        <f t="shared" si="10"/>
        <v>313</v>
      </c>
      <c r="F313" s="421">
        <v>1128</v>
      </c>
      <c r="G313" s="436">
        <v>39007</v>
      </c>
      <c r="H313" s="422" t="s">
        <v>45</v>
      </c>
      <c r="I313" s="423" t="s">
        <v>622</v>
      </c>
      <c r="K313" s="508">
        <f t="shared" si="9"/>
        <v>0</v>
      </c>
      <c r="L313" s="421">
        <v>1128</v>
      </c>
      <c r="M313" s="451">
        <v>39007</v>
      </c>
      <c r="N313" s="422" t="s">
        <v>45</v>
      </c>
      <c r="O313" s="432" t="s">
        <v>622</v>
      </c>
    </row>
    <row r="314" spans="1:15" x14ac:dyDescent="0.3">
      <c r="A314" s="436">
        <v>39090</v>
      </c>
      <c r="B314" s="116" t="s">
        <v>45</v>
      </c>
      <c r="C314" s="108" t="s">
        <v>140</v>
      </c>
      <c r="D314" s="125"/>
      <c r="E314">
        <f t="shared" si="10"/>
        <v>314</v>
      </c>
      <c r="F314" s="421">
        <v>621</v>
      </c>
      <c r="G314" s="436">
        <v>39090</v>
      </c>
      <c r="H314" s="422" t="s">
        <v>45</v>
      </c>
      <c r="I314" s="423" t="s">
        <v>140</v>
      </c>
      <c r="K314" s="508">
        <f t="shared" si="9"/>
        <v>0</v>
      </c>
      <c r="L314" s="421">
        <v>621</v>
      </c>
      <c r="M314" s="451">
        <v>39090</v>
      </c>
      <c r="N314" s="422" t="s">
        <v>45</v>
      </c>
      <c r="O314" s="432" t="s">
        <v>140</v>
      </c>
    </row>
    <row r="315" spans="1:15" x14ac:dyDescent="0.3">
      <c r="A315" s="436">
        <v>39119</v>
      </c>
      <c r="B315" s="116" t="s">
        <v>45</v>
      </c>
      <c r="C315" s="108" t="s">
        <v>482</v>
      </c>
      <c r="D315" s="125"/>
      <c r="E315">
        <f t="shared" si="10"/>
        <v>315</v>
      </c>
      <c r="F315" s="421">
        <v>850</v>
      </c>
      <c r="G315" s="436">
        <v>39119</v>
      </c>
      <c r="H315" s="422" t="s">
        <v>45</v>
      </c>
      <c r="I315" s="423" t="s">
        <v>482</v>
      </c>
      <c r="K315" s="508">
        <f t="shared" si="9"/>
        <v>0</v>
      </c>
      <c r="L315" s="421">
        <v>850</v>
      </c>
      <c r="M315" s="451">
        <v>39119</v>
      </c>
      <c r="N315" s="422" t="s">
        <v>45</v>
      </c>
      <c r="O315" s="432" t="s">
        <v>482</v>
      </c>
    </row>
    <row r="316" spans="1:15" x14ac:dyDescent="0.3">
      <c r="A316" s="436">
        <v>39120</v>
      </c>
      <c r="B316" s="116" t="s">
        <v>45</v>
      </c>
      <c r="C316" s="108" t="s">
        <v>282</v>
      </c>
      <c r="D316" s="125"/>
      <c r="E316">
        <f t="shared" si="10"/>
        <v>316</v>
      </c>
      <c r="F316" s="421">
        <v>560</v>
      </c>
      <c r="G316" s="436">
        <v>39120</v>
      </c>
      <c r="H316" s="422" t="s">
        <v>45</v>
      </c>
      <c r="I316" s="423" t="s">
        <v>282</v>
      </c>
      <c r="K316" s="508">
        <f t="shared" si="9"/>
        <v>0</v>
      </c>
      <c r="L316" s="421">
        <v>560</v>
      </c>
      <c r="M316" s="451">
        <v>39120</v>
      </c>
      <c r="N316" s="422" t="s">
        <v>45</v>
      </c>
      <c r="O316" s="432" t="s">
        <v>282</v>
      </c>
    </row>
    <row r="317" spans="1:15" x14ac:dyDescent="0.3">
      <c r="A317" s="436">
        <v>39200</v>
      </c>
      <c r="B317" s="116" t="s">
        <v>45</v>
      </c>
      <c r="C317" s="108" t="s">
        <v>200</v>
      </c>
      <c r="D317" s="125"/>
      <c r="E317">
        <f t="shared" si="10"/>
        <v>317</v>
      </c>
      <c r="F317" s="421">
        <v>341</v>
      </c>
      <c r="G317" s="436">
        <v>39200</v>
      </c>
      <c r="H317" s="422" t="s">
        <v>45</v>
      </c>
      <c r="I317" s="423" t="s">
        <v>200</v>
      </c>
      <c r="K317" s="508">
        <f t="shared" si="9"/>
        <v>0</v>
      </c>
      <c r="L317" s="421">
        <v>341</v>
      </c>
      <c r="M317" s="451">
        <v>39200</v>
      </c>
      <c r="N317" s="422" t="s">
        <v>45</v>
      </c>
      <c r="O317" s="432" t="s">
        <v>200</v>
      </c>
    </row>
    <row r="318" spans="1:15" x14ac:dyDescent="0.3">
      <c r="A318" s="436">
        <v>39201</v>
      </c>
      <c r="B318" s="116" t="s">
        <v>45</v>
      </c>
      <c r="C318" s="108" t="s">
        <v>536</v>
      </c>
      <c r="D318" s="125"/>
      <c r="E318">
        <f t="shared" si="10"/>
        <v>318</v>
      </c>
      <c r="F318" s="421">
        <v>958</v>
      </c>
      <c r="G318" s="436">
        <v>39201</v>
      </c>
      <c r="H318" s="422" t="s">
        <v>45</v>
      </c>
      <c r="I318" s="423" t="s">
        <v>536</v>
      </c>
      <c r="K318" s="508">
        <f t="shared" si="9"/>
        <v>0</v>
      </c>
      <c r="L318" s="421">
        <v>958</v>
      </c>
      <c r="M318" s="451">
        <v>39201</v>
      </c>
      <c r="N318" s="422" t="s">
        <v>45</v>
      </c>
      <c r="O318" s="432" t="s">
        <v>536</v>
      </c>
    </row>
    <row r="319" spans="1:15" x14ac:dyDescent="0.3">
      <c r="A319" s="436">
        <v>39202</v>
      </c>
      <c r="B319" s="116" t="s">
        <v>45</v>
      </c>
      <c r="C319" s="108" t="s">
        <v>554</v>
      </c>
      <c r="D319" s="125"/>
      <c r="E319">
        <f t="shared" si="10"/>
        <v>319</v>
      </c>
      <c r="F319" s="421">
        <v>992</v>
      </c>
      <c r="G319" s="436">
        <v>39202</v>
      </c>
      <c r="H319" s="422" t="s">
        <v>45</v>
      </c>
      <c r="I319" s="423" t="s">
        <v>554</v>
      </c>
      <c r="K319" s="508">
        <f t="shared" si="9"/>
        <v>0</v>
      </c>
      <c r="L319" s="421">
        <v>992</v>
      </c>
      <c r="M319" s="451">
        <v>39202</v>
      </c>
      <c r="N319" s="422" t="s">
        <v>45</v>
      </c>
      <c r="O319" s="432" t="s">
        <v>554</v>
      </c>
    </row>
    <row r="320" spans="1:15" x14ac:dyDescent="0.3">
      <c r="A320" s="436">
        <v>39203</v>
      </c>
      <c r="B320" s="116" t="s">
        <v>45</v>
      </c>
      <c r="C320" s="108" t="s">
        <v>216</v>
      </c>
      <c r="D320" s="125"/>
      <c r="E320">
        <f t="shared" si="10"/>
        <v>320</v>
      </c>
      <c r="F320" s="421">
        <v>376</v>
      </c>
      <c r="G320" s="436">
        <v>39203</v>
      </c>
      <c r="H320" s="422" t="s">
        <v>45</v>
      </c>
      <c r="I320" s="423" t="s">
        <v>216</v>
      </c>
      <c r="K320" s="508">
        <f t="shared" si="9"/>
        <v>0</v>
      </c>
      <c r="L320" s="421">
        <v>376</v>
      </c>
      <c r="M320" s="451">
        <v>39203</v>
      </c>
      <c r="N320" s="422" t="s">
        <v>45</v>
      </c>
      <c r="O320" s="432" t="s">
        <v>216</v>
      </c>
    </row>
    <row r="321" spans="1:15" x14ac:dyDescent="0.3">
      <c r="A321" s="436">
        <v>39204</v>
      </c>
      <c r="B321" s="116" t="s">
        <v>45</v>
      </c>
      <c r="C321" s="108" t="s">
        <v>202</v>
      </c>
      <c r="D321" s="125"/>
      <c r="E321">
        <f t="shared" si="10"/>
        <v>321</v>
      </c>
      <c r="F321" s="421">
        <v>342</v>
      </c>
      <c r="G321" s="436">
        <v>39204</v>
      </c>
      <c r="H321" s="422" t="s">
        <v>45</v>
      </c>
      <c r="I321" s="423" t="s">
        <v>202</v>
      </c>
      <c r="K321" s="508">
        <f t="shared" si="9"/>
        <v>0</v>
      </c>
      <c r="L321" s="421">
        <v>342</v>
      </c>
      <c r="M321" s="451">
        <v>39204</v>
      </c>
      <c r="N321" s="422" t="s">
        <v>45</v>
      </c>
      <c r="O321" s="432" t="s">
        <v>202</v>
      </c>
    </row>
    <row r="322" spans="1:15" x14ac:dyDescent="0.3">
      <c r="A322" s="436">
        <v>39205</v>
      </c>
      <c r="B322" s="116" t="s">
        <v>45</v>
      </c>
      <c r="C322" s="108" t="s">
        <v>626</v>
      </c>
      <c r="D322" s="125"/>
      <c r="E322">
        <f t="shared" si="10"/>
        <v>322</v>
      </c>
      <c r="F322" s="421">
        <v>1137</v>
      </c>
      <c r="G322" s="436">
        <v>39205</v>
      </c>
      <c r="H322" s="422" t="s">
        <v>45</v>
      </c>
      <c r="I322" s="423" t="s">
        <v>626</v>
      </c>
      <c r="K322" s="508">
        <f t="shared" si="9"/>
        <v>0</v>
      </c>
      <c r="L322" s="421">
        <v>1137</v>
      </c>
      <c r="M322" s="451">
        <v>39205</v>
      </c>
      <c r="N322" s="422" t="s">
        <v>45</v>
      </c>
      <c r="O322" s="432" t="s">
        <v>626</v>
      </c>
    </row>
    <row r="323" spans="1:15" x14ac:dyDescent="0.3">
      <c r="A323" s="436">
        <v>39207</v>
      </c>
      <c r="B323" s="116" t="s">
        <v>45</v>
      </c>
      <c r="C323" s="108" t="s">
        <v>584</v>
      </c>
      <c r="D323" s="125"/>
      <c r="E323">
        <f t="shared" si="10"/>
        <v>323</v>
      </c>
      <c r="F323" s="421">
        <v>1058</v>
      </c>
      <c r="G323" s="436">
        <v>39207</v>
      </c>
      <c r="H323" s="422" t="s">
        <v>45</v>
      </c>
      <c r="I323" s="423" t="s">
        <v>584</v>
      </c>
      <c r="K323" s="508">
        <f t="shared" si="9"/>
        <v>0</v>
      </c>
      <c r="L323" s="421">
        <v>1058</v>
      </c>
      <c r="M323" s="451">
        <v>39207</v>
      </c>
      <c r="N323" s="422" t="s">
        <v>45</v>
      </c>
      <c r="O323" s="432" t="s">
        <v>584</v>
      </c>
    </row>
    <row r="324" spans="1:15" x14ac:dyDescent="0.3">
      <c r="A324" s="436">
        <v>39208</v>
      </c>
      <c r="B324" s="116" t="s">
        <v>45</v>
      </c>
      <c r="C324" s="108" t="s">
        <v>598</v>
      </c>
      <c r="D324" s="125"/>
      <c r="E324">
        <f t="shared" si="10"/>
        <v>324</v>
      </c>
      <c r="F324" s="421">
        <v>1076</v>
      </c>
      <c r="G324" s="436">
        <v>39208</v>
      </c>
      <c r="H324" s="422" t="s">
        <v>45</v>
      </c>
      <c r="I324" s="423" t="s">
        <v>598</v>
      </c>
      <c r="K324" s="508">
        <f t="shared" si="9"/>
        <v>0</v>
      </c>
      <c r="L324" s="421">
        <v>1076</v>
      </c>
      <c r="M324" s="451">
        <v>39208</v>
      </c>
      <c r="N324" s="422" t="s">
        <v>45</v>
      </c>
      <c r="O324" s="432" t="s">
        <v>598</v>
      </c>
    </row>
    <row r="325" spans="1:15" x14ac:dyDescent="0.3">
      <c r="A325" s="436">
        <v>39209</v>
      </c>
      <c r="B325" s="116" t="s">
        <v>45</v>
      </c>
      <c r="C325" s="108" t="s">
        <v>318</v>
      </c>
      <c r="D325" s="125"/>
      <c r="E325">
        <f t="shared" si="10"/>
        <v>325</v>
      </c>
      <c r="F325" s="421">
        <v>614</v>
      </c>
      <c r="G325" s="436">
        <v>39209</v>
      </c>
      <c r="H325" s="422" t="s">
        <v>45</v>
      </c>
      <c r="I325" s="423" t="s">
        <v>318</v>
      </c>
      <c r="K325" s="508">
        <f t="shared" si="9"/>
        <v>0</v>
      </c>
      <c r="L325" s="421">
        <v>614</v>
      </c>
      <c r="M325" s="451">
        <v>39209</v>
      </c>
      <c r="N325" s="422" t="s">
        <v>45</v>
      </c>
      <c r="O325" s="432" t="s">
        <v>318</v>
      </c>
    </row>
    <row r="326" spans="1:15" x14ac:dyDescent="0.3">
      <c r="A326" s="436">
        <v>39801</v>
      </c>
      <c r="B326" s="116" t="s">
        <v>45</v>
      </c>
      <c r="C326" s="249" t="s">
        <v>152</v>
      </c>
      <c r="D326" s="125"/>
      <c r="E326">
        <f t="shared" si="10"/>
        <v>326</v>
      </c>
      <c r="F326" s="421">
        <v>260</v>
      </c>
      <c r="G326" s="436">
        <v>39801</v>
      </c>
      <c r="H326" s="422" t="s">
        <v>45</v>
      </c>
      <c r="I326" s="423" t="s">
        <v>152</v>
      </c>
      <c r="K326" s="508">
        <f t="shared" si="9"/>
        <v>0</v>
      </c>
      <c r="L326" s="421">
        <v>260</v>
      </c>
      <c r="M326" s="451">
        <v>39801</v>
      </c>
      <c r="N326" s="422" t="s">
        <v>45</v>
      </c>
      <c r="O326" s="495" t="s">
        <v>152</v>
      </c>
    </row>
    <row r="327" spans="1:15" x14ac:dyDescent="0.3">
      <c r="A327" s="437">
        <v>99999</v>
      </c>
      <c r="B327" s="425" t="s">
        <v>1039</v>
      </c>
      <c r="C327" s="435" t="s">
        <v>1186</v>
      </c>
      <c r="D327" s="125"/>
      <c r="E327">
        <f t="shared" si="10"/>
        <v>327</v>
      </c>
      <c r="F327" s="467">
        <v>4279</v>
      </c>
      <c r="G327" s="437">
        <v>99999</v>
      </c>
      <c r="H327" s="425" t="s">
        <v>1039</v>
      </c>
      <c r="I327" s="512" t="s">
        <v>1186</v>
      </c>
      <c r="K327" s="508">
        <f t="shared" ref="K327" si="11">+L327-F327</f>
        <v>0</v>
      </c>
      <c r="L327" s="513">
        <v>4279</v>
      </c>
      <c r="M327" s="434">
        <v>99999</v>
      </c>
      <c r="N327" s="425" t="s">
        <v>1039</v>
      </c>
      <c r="O327" s="486" t="s">
        <v>1186</v>
      </c>
    </row>
    <row r="328" spans="1:15" x14ac:dyDescent="0.3">
      <c r="A328" s="19"/>
    </row>
    <row r="329" spans="1:15" x14ac:dyDescent="0.3">
      <c r="A329" s="19"/>
      <c r="D329" s="216"/>
    </row>
    <row r="367" spans="6:9" x14ac:dyDescent="0.3">
      <c r="F367" s="421"/>
      <c r="G367" s="436">
        <v>17906</v>
      </c>
      <c r="H367" s="425" t="s">
        <v>1039</v>
      </c>
      <c r="I367" s="426" t="s">
        <v>1084</v>
      </c>
    </row>
    <row r="368" spans="6:9" x14ac:dyDescent="0.3">
      <c r="F368" s="421"/>
      <c r="G368" s="436">
        <v>27909</v>
      </c>
      <c r="H368" s="425" t="s">
        <v>1039</v>
      </c>
      <c r="I368" s="427" t="s">
        <v>1033</v>
      </c>
    </row>
  </sheetData>
  <autoFilter ref="A1:B325" xr:uid="{00000000-0009-0000-0000-000004000000}"/>
  <sortState xmlns:xlrd2="http://schemas.microsoft.com/office/spreadsheetml/2017/richdata2" ref="L7:O327">
    <sortCondition ref="M7:M327"/>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4"/>
  <sheetViews>
    <sheetView workbookViewId="0">
      <pane ySplit="3" topLeftCell="A77" activePane="bottomLeft" state="frozen"/>
      <selection pane="bottomLeft" activeCell="C328" sqref="C328"/>
    </sheetView>
  </sheetViews>
  <sheetFormatPr defaultRowHeight="14.4" x14ac:dyDescent="0.3"/>
  <cols>
    <col min="1" max="2" width="10.33203125" customWidth="1"/>
    <col min="3" max="3" width="48" bestFit="1" customWidth="1"/>
    <col min="4" max="4" width="11.109375" customWidth="1"/>
    <col min="5" max="5" width="6" bestFit="1" customWidth="1"/>
    <col min="9" max="9" width="4.6640625" bestFit="1" customWidth="1"/>
    <col min="10" max="10" width="48" bestFit="1" customWidth="1"/>
  </cols>
  <sheetData>
    <row r="1" spans="1:5" x14ac:dyDescent="0.3">
      <c r="A1" s="445" t="s">
        <v>1191</v>
      </c>
      <c r="B1" s="446"/>
      <c r="C1" s="446"/>
      <c r="D1" s="446"/>
    </row>
    <row r="2" spans="1:5" ht="15" thickBot="1" x14ac:dyDescent="0.35"/>
    <row r="3" spans="1:5" ht="19.8" thickBot="1" x14ac:dyDescent="0.35">
      <c r="A3" s="243" t="s">
        <v>7</v>
      </c>
      <c r="B3" s="246" t="s">
        <v>8</v>
      </c>
      <c r="C3" s="244" t="s">
        <v>6</v>
      </c>
      <c r="D3" s="245" t="s">
        <v>1038</v>
      </c>
    </row>
    <row r="4" spans="1:5" x14ac:dyDescent="0.3">
      <c r="A4" s="254" t="s">
        <v>591</v>
      </c>
      <c r="B4" s="188" t="s">
        <v>18</v>
      </c>
      <c r="C4" s="36" t="s">
        <v>590</v>
      </c>
      <c r="D4" s="255">
        <v>1064</v>
      </c>
      <c r="E4">
        <v>1</v>
      </c>
    </row>
    <row r="5" spans="1:5" x14ac:dyDescent="0.3">
      <c r="A5" s="247" t="s">
        <v>40</v>
      </c>
      <c r="B5" s="116" t="s">
        <v>18</v>
      </c>
      <c r="C5" s="108" t="s">
        <v>39</v>
      </c>
      <c r="D5" s="248">
        <v>57</v>
      </c>
      <c r="E5">
        <f>+E4+1</f>
        <v>2</v>
      </c>
    </row>
    <row r="6" spans="1:5" x14ac:dyDescent="0.3">
      <c r="A6" s="247" t="s">
        <v>401</v>
      </c>
      <c r="B6" s="116" t="s">
        <v>26</v>
      </c>
      <c r="C6" s="108" t="s">
        <v>400</v>
      </c>
      <c r="D6" s="248">
        <v>695</v>
      </c>
      <c r="E6">
        <f t="shared" ref="E6:E69" si="0">+E5+1</f>
        <v>3</v>
      </c>
    </row>
    <row r="7" spans="1:5" x14ac:dyDescent="0.3">
      <c r="A7" s="247" t="s">
        <v>271</v>
      </c>
      <c r="B7" s="116" t="s">
        <v>18</v>
      </c>
      <c r="C7" s="108" t="s">
        <v>270</v>
      </c>
      <c r="D7" s="248">
        <v>543</v>
      </c>
      <c r="E7">
        <f t="shared" si="0"/>
        <v>4</v>
      </c>
    </row>
    <row r="8" spans="1:5" x14ac:dyDescent="0.3">
      <c r="A8" s="247" t="s">
        <v>459</v>
      </c>
      <c r="B8" s="116" t="s">
        <v>18</v>
      </c>
      <c r="C8" s="108" t="s">
        <v>458</v>
      </c>
      <c r="D8" s="248">
        <v>814</v>
      </c>
      <c r="E8">
        <f t="shared" si="0"/>
        <v>5</v>
      </c>
    </row>
    <row r="9" spans="1:5" x14ac:dyDescent="0.3">
      <c r="A9" s="247" t="s">
        <v>91</v>
      </c>
      <c r="B9" s="116" t="s">
        <v>26</v>
      </c>
      <c r="C9" s="108" t="s">
        <v>90</v>
      </c>
      <c r="D9" s="248">
        <v>156</v>
      </c>
      <c r="E9">
        <f t="shared" si="0"/>
        <v>6</v>
      </c>
    </row>
    <row r="10" spans="1:5" x14ac:dyDescent="0.3">
      <c r="A10" s="247" t="s">
        <v>25</v>
      </c>
      <c r="B10" s="116" t="s">
        <v>26</v>
      </c>
      <c r="C10" s="108" t="s">
        <v>24</v>
      </c>
      <c r="D10" s="248">
        <v>29</v>
      </c>
      <c r="E10">
        <f t="shared" si="0"/>
        <v>7</v>
      </c>
    </row>
    <row r="11" spans="1:5" x14ac:dyDescent="0.3">
      <c r="A11" s="247" t="s">
        <v>241</v>
      </c>
      <c r="B11" s="116" t="s">
        <v>26</v>
      </c>
      <c r="C11" s="108" t="s">
        <v>240</v>
      </c>
      <c r="D11" s="248">
        <v>433</v>
      </c>
      <c r="E11">
        <f t="shared" si="0"/>
        <v>8</v>
      </c>
    </row>
    <row r="12" spans="1:5" x14ac:dyDescent="0.3">
      <c r="A12" s="247" t="s">
        <v>411</v>
      </c>
      <c r="B12" s="116" t="s">
        <v>26</v>
      </c>
      <c r="C12" s="108" t="s">
        <v>410</v>
      </c>
      <c r="D12" s="248">
        <v>712</v>
      </c>
      <c r="E12">
        <f t="shared" si="0"/>
        <v>9</v>
      </c>
    </row>
    <row r="13" spans="1:5" x14ac:dyDescent="0.3">
      <c r="A13" s="247" t="s">
        <v>247</v>
      </c>
      <c r="B13" s="116" t="s">
        <v>26</v>
      </c>
      <c r="C13" s="108" t="s">
        <v>246</v>
      </c>
      <c r="D13" s="248">
        <v>483</v>
      </c>
      <c r="E13">
        <f t="shared" si="0"/>
        <v>10</v>
      </c>
    </row>
    <row r="14" spans="1:5" x14ac:dyDescent="0.3">
      <c r="A14" s="247" t="s">
        <v>187</v>
      </c>
      <c r="B14" s="116" t="s">
        <v>26</v>
      </c>
      <c r="C14" s="108" t="s">
        <v>186</v>
      </c>
      <c r="D14" s="248">
        <v>305</v>
      </c>
      <c r="E14">
        <f t="shared" si="0"/>
        <v>11</v>
      </c>
    </row>
    <row r="15" spans="1:5" x14ac:dyDescent="0.3">
      <c r="A15" s="247" t="s">
        <v>427</v>
      </c>
      <c r="B15" s="116" t="s">
        <v>26</v>
      </c>
      <c r="C15" s="108" t="s">
        <v>426</v>
      </c>
      <c r="D15" s="248">
        <v>767</v>
      </c>
      <c r="E15">
        <f t="shared" si="0"/>
        <v>12</v>
      </c>
    </row>
    <row r="16" spans="1:5" x14ac:dyDescent="0.3">
      <c r="A16" s="247" t="s">
        <v>455</v>
      </c>
      <c r="B16" s="116" t="s">
        <v>26</v>
      </c>
      <c r="C16" s="108" t="s">
        <v>454</v>
      </c>
      <c r="D16" s="248">
        <v>810</v>
      </c>
      <c r="E16">
        <f t="shared" si="0"/>
        <v>13</v>
      </c>
    </row>
    <row r="17" spans="1:5" x14ac:dyDescent="0.3">
      <c r="A17" s="247" t="s">
        <v>287</v>
      </c>
      <c r="B17" s="116" t="s">
        <v>55</v>
      </c>
      <c r="C17" s="108" t="s">
        <v>286</v>
      </c>
      <c r="D17" s="248">
        <v>564</v>
      </c>
      <c r="E17">
        <f t="shared" si="0"/>
        <v>14</v>
      </c>
    </row>
    <row r="18" spans="1:5" x14ac:dyDescent="0.3">
      <c r="A18" s="247" t="s">
        <v>523</v>
      </c>
      <c r="B18" s="116" t="s">
        <v>55</v>
      </c>
      <c r="C18" s="108" t="s">
        <v>522</v>
      </c>
      <c r="D18" s="248">
        <v>1412</v>
      </c>
      <c r="E18">
        <f t="shared" si="0"/>
        <v>15</v>
      </c>
    </row>
    <row r="19" spans="1:5" x14ac:dyDescent="0.3">
      <c r="A19" s="247" t="s">
        <v>167</v>
      </c>
      <c r="B19" s="116" t="s">
        <v>55</v>
      </c>
      <c r="C19" s="108" t="s">
        <v>166</v>
      </c>
      <c r="D19" s="248">
        <v>278</v>
      </c>
      <c r="E19">
        <f t="shared" si="0"/>
        <v>16</v>
      </c>
    </row>
    <row r="20" spans="1:5" x14ac:dyDescent="0.3">
      <c r="A20" s="247" t="s">
        <v>259</v>
      </c>
      <c r="B20" s="116" t="s">
        <v>55</v>
      </c>
      <c r="C20" s="108" t="s">
        <v>258</v>
      </c>
      <c r="D20" s="248">
        <v>514</v>
      </c>
      <c r="E20">
        <f t="shared" si="0"/>
        <v>17</v>
      </c>
    </row>
    <row r="21" spans="1:5" x14ac:dyDescent="0.3">
      <c r="A21" s="247" t="s">
        <v>71</v>
      </c>
      <c r="B21" s="116" t="s">
        <v>55</v>
      </c>
      <c r="C21" s="108" t="s">
        <v>70</v>
      </c>
      <c r="D21" s="248">
        <v>106</v>
      </c>
      <c r="E21">
        <f t="shared" si="0"/>
        <v>18</v>
      </c>
    </row>
    <row r="22" spans="1:5" x14ac:dyDescent="0.3">
      <c r="A22" s="247" t="s">
        <v>69</v>
      </c>
      <c r="B22" s="116" t="s">
        <v>55</v>
      </c>
      <c r="C22" s="108" t="s">
        <v>68</v>
      </c>
      <c r="D22" s="248">
        <v>103</v>
      </c>
      <c r="E22">
        <f t="shared" si="0"/>
        <v>19</v>
      </c>
    </row>
    <row r="23" spans="1:5" x14ac:dyDescent="0.3">
      <c r="A23" s="247" t="s">
        <v>597</v>
      </c>
      <c r="B23" s="116" t="s">
        <v>55</v>
      </c>
      <c r="C23" s="108" t="s">
        <v>596</v>
      </c>
      <c r="D23" s="248">
        <v>1073</v>
      </c>
      <c r="E23">
        <f t="shared" si="0"/>
        <v>20</v>
      </c>
    </row>
    <row r="24" spans="1:5" x14ac:dyDescent="0.3">
      <c r="A24" s="247" t="s">
        <v>345</v>
      </c>
      <c r="B24" s="116">
        <v>171</v>
      </c>
      <c r="C24" s="249" t="s">
        <v>344</v>
      </c>
      <c r="D24" s="248">
        <v>266</v>
      </c>
      <c r="E24">
        <f t="shared" si="0"/>
        <v>21</v>
      </c>
    </row>
    <row r="25" spans="1:5" x14ac:dyDescent="0.3">
      <c r="A25" s="451" t="s">
        <v>1177</v>
      </c>
      <c r="B25" s="425" t="s">
        <v>1039</v>
      </c>
      <c r="C25" s="447" t="s">
        <v>1194</v>
      </c>
      <c r="D25" s="484">
        <v>4281</v>
      </c>
      <c r="E25">
        <f t="shared" si="0"/>
        <v>22</v>
      </c>
    </row>
    <row r="26" spans="1:5" x14ac:dyDescent="0.3">
      <c r="A26" s="247" t="s">
        <v>421</v>
      </c>
      <c r="B26" s="116" t="s">
        <v>52</v>
      </c>
      <c r="C26" s="108" t="s">
        <v>420</v>
      </c>
      <c r="D26" s="248">
        <v>753</v>
      </c>
      <c r="E26">
        <f t="shared" si="0"/>
        <v>23</v>
      </c>
    </row>
    <row r="27" spans="1:5" x14ac:dyDescent="0.3">
      <c r="A27" s="247" t="s">
        <v>119</v>
      </c>
      <c r="B27" s="116" t="s">
        <v>52</v>
      </c>
      <c r="C27" s="108" t="s">
        <v>118</v>
      </c>
      <c r="D27" s="248">
        <v>210</v>
      </c>
      <c r="E27">
        <f t="shared" si="0"/>
        <v>24</v>
      </c>
    </row>
    <row r="28" spans="1:5" x14ac:dyDescent="0.3">
      <c r="A28" s="247" t="s">
        <v>487</v>
      </c>
      <c r="B28" s="116" t="s">
        <v>52</v>
      </c>
      <c r="C28" s="108" t="s">
        <v>486</v>
      </c>
      <c r="D28" s="248">
        <v>857</v>
      </c>
      <c r="E28">
        <f t="shared" si="0"/>
        <v>25</v>
      </c>
    </row>
    <row r="29" spans="1:5" x14ac:dyDescent="0.3">
      <c r="A29" s="247" t="s">
        <v>65</v>
      </c>
      <c r="B29" s="116" t="s">
        <v>52</v>
      </c>
      <c r="C29" s="108" t="s">
        <v>64</v>
      </c>
      <c r="D29" s="248">
        <v>98</v>
      </c>
      <c r="E29">
        <f t="shared" si="0"/>
        <v>26</v>
      </c>
    </row>
    <row r="30" spans="1:5" x14ac:dyDescent="0.3">
      <c r="A30" s="247" t="s">
        <v>439</v>
      </c>
      <c r="B30" s="116" t="s">
        <v>52</v>
      </c>
      <c r="C30" s="108" t="s">
        <v>438</v>
      </c>
      <c r="D30" s="248">
        <v>787</v>
      </c>
      <c r="E30">
        <f t="shared" si="0"/>
        <v>27</v>
      </c>
    </row>
    <row r="31" spans="1:5" x14ac:dyDescent="0.3">
      <c r="A31" s="247" t="s">
        <v>1114</v>
      </c>
      <c r="B31" s="250" t="s">
        <v>1039</v>
      </c>
      <c r="C31" s="235" t="s">
        <v>1081</v>
      </c>
      <c r="D31" s="253">
        <v>2901</v>
      </c>
      <c r="E31">
        <f t="shared" si="0"/>
        <v>28</v>
      </c>
    </row>
    <row r="32" spans="1:5" x14ac:dyDescent="0.3">
      <c r="A32" s="247" t="s">
        <v>573</v>
      </c>
      <c r="B32" s="116" t="s">
        <v>34</v>
      </c>
      <c r="C32" s="108" t="s">
        <v>572</v>
      </c>
      <c r="D32" s="248">
        <v>1031</v>
      </c>
      <c r="E32">
        <f t="shared" si="0"/>
        <v>29</v>
      </c>
    </row>
    <row r="33" spans="1:5" x14ac:dyDescent="0.3">
      <c r="A33" s="247" t="s">
        <v>221</v>
      </c>
      <c r="B33" s="116" t="s">
        <v>34</v>
      </c>
      <c r="C33" s="108" t="s">
        <v>220</v>
      </c>
      <c r="D33" s="248">
        <v>381</v>
      </c>
      <c r="E33">
        <f t="shared" si="0"/>
        <v>30</v>
      </c>
    </row>
    <row r="34" spans="1:5" x14ac:dyDescent="0.3">
      <c r="A34" s="247" t="s">
        <v>253</v>
      </c>
      <c r="B34" s="116" t="s">
        <v>34</v>
      </c>
      <c r="C34" s="108" t="s">
        <v>252</v>
      </c>
      <c r="D34" s="248">
        <v>506</v>
      </c>
      <c r="E34">
        <f t="shared" si="0"/>
        <v>31</v>
      </c>
    </row>
    <row r="35" spans="1:5" x14ac:dyDescent="0.3">
      <c r="A35" s="247" t="s">
        <v>211</v>
      </c>
      <c r="B35" s="116" t="s">
        <v>34</v>
      </c>
      <c r="C35" s="108" t="s">
        <v>210</v>
      </c>
      <c r="D35" s="248">
        <v>366</v>
      </c>
      <c r="E35">
        <f t="shared" si="0"/>
        <v>32</v>
      </c>
    </row>
    <row r="36" spans="1:5" x14ac:dyDescent="0.3">
      <c r="A36" s="247" t="s">
        <v>589</v>
      </c>
      <c r="B36" s="116" t="s">
        <v>34</v>
      </c>
      <c r="C36" s="108" t="s">
        <v>588</v>
      </c>
      <c r="D36" s="248">
        <v>1063</v>
      </c>
      <c r="E36">
        <f t="shared" si="0"/>
        <v>33</v>
      </c>
    </row>
    <row r="37" spans="1:5" x14ac:dyDescent="0.3">
      <c r="A37" s="247" t="s">
        <v>177</v>
      </c>
      <c r="B37" s="116" t="s">
        <v>34</v>
      </c>
      <c r="C37" s="108" t="s">
        <v>176</v>
      </c>
      <c r="D37" s="248">
        <v>291</v>
      </c>
      <c r="E37">
        <f t="shared" si="0"/>
        <v>34</v>
      </c>
    </row>
    <row r="38" spans="1:5" x14ac:dyDescent="0.3">
      <c r="A38" s="247" t="s">
        <v>63</v>
      </c>
      <c r="B38" s="116" t="s">
        <v>34</v>
      </c>
      <c r="C38" s="108" t="s">
        <v>62</v>
      </c>
      <c r="D38" s="248">
        <v>96</v>
      </c>
      <c r="E38">
        <f t="shared" si="0"/>
        <v>35</v>
      </c>
    </row>
    <row r="39" spans="1:5" x14ac:dyDescent="0.3">
      <c r="A39" s="247" t="s">
        <v>33</v>
      </c>
      <c r="B39" s="116" t="s">
        <v>34</v>
      </c>
      <c r="C39" s="108" t="s">
        <v>32</v>
      </c>
      <c r="D39" s="248">
        <v>45</v>
      </c>
      <c r="E39">
        <f t="shared" si="0"/>
        <v>36</v>
      </c>
    </row>
    <row r="40" spans="1:5" x14ac:dyDescent="0.3">
      <c r="A40" s="247" t="s">
        <v>457</v>
      </c>
      <c r="B40" s="116" t="s">
        <v>34</v>
      </c>
      <c r="C40" s="108" t="s">
        <v>456</v>
      </c>
      <c r="D40" s="248">
        <v>812</v>
      </c>
      <c r="E40">
        <f t="shared" si="0"/>
        <v>37</v>
      </c>
    </row>
    <row r="41" spans="1:5" x14ac:dyDescent="0.3">
      <c r="A41" s="247" t="s">
        <v>155</v>
      </c>
      <c r="B41" s="116" t="s">
        <v>34</v>
      </c>
      <c r="C41" s="249" t="s">
        <v>154</v>
      </c>
      <c r="D41" s="248">
        <v>261</v>
      </c>
      <c r="E41">
        <f t="shared" si="0"/>
        <v>38</v>
      </c>
    </row>
    <row r="42" spans="1:5" x14ac:dyDescent="0.3">
      <c r="A42" s="504">
        <v>6901</v>
      </c>
      <c r="B42" s="425" t="s">
        <v>1039</v>
      </c>
      <c r="C42" s="447" t="s">
        <v>1204</v>
      </c>
      <c r="D42" s="518">
        <v>4309</v>
      </c>
      <c r="E42">
        <f t="shared" si="0"/>
        <v>39</v>
      </c>
    </row>
    <row r="43" spans="1:5" x14ac:dyDescent="0.3">
      <c r="A43" s="247" t="s">
        <v>133</v>
      </c>
      <c r="B43" s="116" t="s">
        <v>26</v>
      </c>
      <c r="C43" s="108" t="s">
        <v>132</v>
      </c>
      <c r="D43" s="248">
        <v>225</v>
      </c>
      <c r="E43">
        <f t="shared" si="0"/>
        <v>40</v>
      </c>
    </row>
    <row r="44" spans="1:5" x14ac:dyDescent="0.3">
      <c r="A44" s="247" t="s">
        <v>521</v>
      </c>
      <c r="B44" s="116" t="s">
        <v>26</v>
      </c>
      <c r="C44" s="108" t="s">
        <v>520</v>
      </c>
      <c r="D44" s="248">
        <v>933</v>
      </c>
      <c r="E44">
        <f t="shared" si="0"/>
        <v>41</v>
      </c>
    </row>
    <row r="45" spans="1:5" x14ac:dyDescent="0.3">
      <c r="A45" s="247" t="s">
        <v>273</v>
      </c>
      <c r="B45" s="116" t="s">
        <v>34</v>
      </c>
      <c r="C45" s="108" t="s">
        <v>272</v>
      </c>
      <c r="D45" s="248">
        <v>550</v>
      </c>
      <c r="E45">
        <f t="shared" si="0"/>
        <v>42</v>
      </c>
    </row>
    <row r="46" spans="1:5" x14ac:dyDescent="0.3">
      <c r="A46" s="247" t="s">
        <v>559</v>
      </c>
      <c r="B46" s="116" t="s">
        <v>34</v>
      </c>
      <c r="C46" s="108" t="s">
        <v>558</v>
      </c>
      <c r="D46" s="248">
        <v>994</v>
      </c>
      <c r="E46">
        <f t="shared" si="0"/>
        <v>43</v>
      </c>
    </row>
    <row r="47" spans="1:5" x14ac:dyDescent="0.3">
      <c r="A47" s="247" t="s">
        <v>73</v>
      </c>
      <c r="B47" s="116" t="s">
        <v>34</v>
      </c>
      <c r="C47" s="108" t="s">
        <v>72</v>
      </c>
      <c r="D47" s="248">
        <v>108</v>
      </c>
      <c r="E47">
        <f t="shared" si="0"/>
        <v>44</v>
      </c>
    </row>
    <row r="48" spans="1:5" x14ac:dyDescent="0.3">
      <c r="A48" s="247" t="s">
        <v>235</v>
      </c>
      <c r="B48" s="116" t="s">
        <v>34</v>
      </c>
      <c r="C48" s="108" t="s">
        <v>234</v>
      </c>
      <c r="D48" s="248">
        <v>424</v>
      </c>
      <c r="E48">
        <f t="shared" si="0"/>
        <v>45</v>
      </c>
    </row>
    <row r="49" spans="1:5" x14ac:dyDescent="0.3">
      <c r="A49" s="247" t="s">
        <v>621</v>
      </c>
      <c r="B49" s="116" t="s">
        <v>34</v>
      </c>
      <c r="C49" s="108" t="s">
        <v>620</v>
      </c>
      <c r="D49" s="248">
        <v>1113</v>
      </c>
      <c r="E49">
        <f t="shared" si="0"/>
        <v>46</v>
      </c>
    </row>
    <row r="50" spans="1:5" x14ac:dyDescent="0.3">
      <c r="A50" s="247" t="s">
        <v>239</v>
      </c>
      <c r="B50" s="116" t="s">
        <v>34</v>
      </c>
      <c r="C50" s="108" t="s">
        <v>238</v>
      </c>
      <c r="D50" s="248">
        <v>428</v>
      </c>
      <c r="E50">
        <f t="shared" si="0"/>
        <v>47</v>
      </c>
    </row>
    <row r="51" spans="1:5" x14ac:dyDescent="0.3">
      <c r="A51" s="247" t="s">
        <v>395</v>
      </c>
      <c r="B51" s="116" t="s">
        <v>55</v>
      </c>
      <c r="C51" s="108" t="s">
        <v>394</v>
      </c>
      <c r="D51" s="248">
        <v>686</v>
      </c>
      <c r="E51">
        <f t="shared" si="0"/>
        <v>48</v>
      </c>
    </row>
    <row r="52" spans="1:5" x14ac:dyDescent="0.3">
      <c r="A52" s="247" t="s">
        <v>57</v>
      </c>
      <c r="B52" s="116" t="s">
        <v>55</v>
      </c>
      <c r="C52" s="108" t="s">
        <v>56</v>
      </c>
      <c r="D52" s="248">
        <v>87</v>
      </c>
      <c r="E52">
        <f t="shared" si="0"/>
        <v>49</v>
      </c>
    </row>
    <row r="53" spans="1:5" x14ac:dyDescent="0.3">
      <c r="A53" s="247" t="s">
        <v>403</v>
      </c>
      <c r="B53" s="116" t="s">
        <v>55</v>
      </c>
      <c r="C53" s="108" t="s">
        <v>402</v>
      </c>
      <c r="D53" s="248">
        <v>701</v>
      </c>
      <c r="E53">
        <f t="shared" si="0"/>
        <v>50</v>
      </c>
    </row>
    <row r="54" spans="1:5" x14ac:dyDescent="0.3">
      <c r="A54" s="247" t="s">
        <v>145</v>
      </c>
      <c r="B54" s="116" t="s">
        <v>55</v>
      </c>
      <c r="C54" s="108" t="s">
        <v>144</v>
      </c>
      <c r="D54" s="248">
        <v>249</v>
      </c>
      <c r="E54">
        <f t="shared" si="0"/>
        <v>51</v>
      </c>
    </row>
    <row r="55" spans="1:5" x14ac:dyDescent="0.3">
      <c r="A55" s="247" t="s">
        <v>285</v>
      </c>
      <c r="B55" s="116" t="s">
        <v>55</v>
      </c>
      <c r="C55" s="108" t="s">
        <v>284</v>
      </c>
      <c r="D55" s="248">
        <v>562</v>
      </c>
      <c r="E55">
        <f t="shared" si="0"/>
        <v>52</v>
      </c>
    </row>
    <row r="56" spans="1:5" x14ac:dyDescent="0.3">
      <c r="A56" s="247" t="s">
        <v>593</v>
      </c>
      <c r="B56" s="116" t="s">
        <v>55</v>
      </c>
      <c r="C56" s="108" t="s">
        <v>592</v>
      </c>
      <c r="D56" s="248">
        <v>1067</v>
      </c>
      <c r="E56">
        <f t="shared" si="0"/>
        <v>53</v>
      </c>
    </row>
    <row r="57" spans="1:5" x14ac:dyDescent="0.3">
      <c r="A57" s="247" t="s">
        <v>237</v>
      </c>
      <c r="B57" s="116" t="s">
        <v>18</v>
      </c>
      <c r="C57" s="108" t="s">
        <v>236</v>
      </c>
      <c r="D57" s="248">
        <v>425</v>
      </c>
      <c r="E57">
        <f t="shared" si="0"/>
        <v>54</v>
      </c>
    </row>
    <row r="58" spans="1:5" x14ac:dyDescent="0.3">
      <c r="A58" s="247" t="s">
        <v>123</v>
      </c>
      <c r="B58" s="116" t="s">
        <v>18</v>
      </c>
      <c r="C58" s="108" t="s">
        <v>122</v>
      </c>
      <c r="D58" s="248">
        <v>214</v>
      </c>
      <c r="E58">
        <f t="shared" si="0"/>
        <v>55</v>
      </c>
    </row>
    <row r="59" spans="1:5" x14ac:dyDescent="0.3">
      <c r="A59" s="247" t="s">
        <v>393</v>
      </c>
      <c r="B59" s="116" t="s">
        <v>18</v>
      </c>
      <c r="C59" s="108" t="s">
        <v>392</v>
      </c>
      <c r="D59" s="248">
        <v>685</v>
      </c>
      <c r="E59">
        <f t="shared" si="0"/>
        <v>56</v>
      </c>
    </row>
    <row r="60" spans="1:5" x14ac:dyDescent="0.3">
      <c r="A60" s="247" t="s">
        <v>227</v>
      </c>
      <c r="B60" s="116" t="s">
        <v>18</v>
      </c>
      <c r="C60" s="108" t="s">
        <v>226</v>
      </c>
      <c r="D60" s="248">
        <v>396</v>
      </c>
      <c r="E60">
        <f t="shared" si="0"/>
        <v>57</v>
      </c>
    </row>
    <row r="61" spans="1:5" x14ac:dyDescent="0.3">
      <c r="A61" s="247" t="s">
        <v>453</v>
      </c>
      <c r="B61" s="116" t="s">
        <v>18</v>
      </c>
      <c r="C61" s="108" t="s">
        <v>452</v>
      </c>
      <c r="D61" s="248">
        <v>805</v>
      </c>
      <c r="E61">
        <f t="shared" si="0"/>
        <v>58</v>
      </c>
    </row>
    <row r="62" spans="1:5" x14ac:dyDescent="0.3">
      <c r="A62" s="247" t="s">
        <v>407</v>
      </c>
      <c r="B62" s="116" t="s">
        <v>26</v>
      </c>
      <c r="C62" s="108" t="s">
        <v>406</v>
      </c>
      <c r="D62" s="248">
        <v>709</v>
      </c>
      <c r="E62">
        <f t="shared" si="0"/>
        <v>59</v>
      </c>
    </row>
    <row r="63" spans="1:5" x14ac:dyDescent="0.3">
      <c r="A63" s="247" t="s">
        <v>347</v>
      </c>
      <c r="B63" s="116" t="s">
        <v>26</v>
      </c>
      <c r="C63" s="108" t="s">
        <v>346</v>
      </c>
      <c r="D63" s="248">
        <v>648</v>
      </c>
      <c r="E63">
        <f t="shared" si="0"/>
        <v>60</v>
      </c>
    </row>
    <row r="64" spans="1:5" x14ac:dyDescent="0.3">
      <c r="A64" s="247" t="s">
        <v>519</v>
      </c>
      <c r="B64" s="116" t="s">
        <v>26</v>
      </c>
      <c r="C64" s="108" t="s">
        <v>518</v>
      </c>
      <c r="D64" s="248">
        <v>932</v>
      </c>
      <c r="E64">
        <f t="shared" si="0"/>
        <v>61</v>
      </c>
    </row>
    <row r="65" spans="1:5" x14ac:dyDescent="0.3">
      <c r="A65" s="247" t="s">
        <v>233</v>
      </c>
      <c r="B65" s="116" t="s">
        <v>26</v>
      </c>
      <c r="C65" s="108" t="s">
        <v>232</v>
      </c>
      <c r="D65" s="248">
        <v>421</v>
      </c>
      <c r="E65">
        <f t="shared" si="0"/>
        <v>62</v>
      </c>
    </row>
    <row r="66" spans="1:5" x14ac:dyDescent="0.3">
      <c r="A66" s="247" t="s">
        <v>159</v>
      </c>
      <c r="B66" s="116">
        <v>123</v>
      </c>
      <c r="C66" s="249" t="s">
        <v>158</v>
      </c>
      <c r="D66" s="248">
        <v>265</v>
      </c>
      <c r="E66">
        <f t="shared" si="0"/>
        <v>63</v>
      </c>
    </row>
    <row r="67" spans="1:5" x14ac:dyDescent="0.3">
      <c r="A67" s="247" t="s">
        <v>419</v>
      </c>
      <c r="B67" s="116" t="s">
        <v>26</v>
      </c>
      <c r="C67" s="108" t="s">
        <v>418</v>
      </c>
      <c r="D67" s="248">
        <v>750</v>
      </c>
      <c r="E67">
        <f t="shared" si="0"/>
        <v>64</v>
      </c>
    </row>
    <row r="68" spans="1:5" x14ac:dyDescent="0.3">
      <c r="A68" s="247" t="s">
        <v>579</v>
      </c>
      <c r="B68" s="116" t="s">
        <v>45</v>
      </c>
      <c r="C68" s="108" t="s">
        <v>578</v>
      </c>
      <c r="D68" s="248">
        <v>1044</v>
      </c>
      <c r="E68">
        <f t="shared" si="0"/>
        <v>65</v>
      </c>
    </row>
    <row r="69" spans="1:5" x14ac:dyDescent="0.3">
      <c r="A69" s="247" t="s">
        <v>443</v>
      </c>
      <c r="B69" s="116" t="s">
        <v>55</v>
      </c>
      <c r="C69" s="108" t="s">
        <v>442</v>
      </c>
      <c r="D69" s="248">
        <v>790</v>
      </c>
      <c r="E69">
        <f t="shared" si="0"/>
        <v>66</v>
      </c>
    </row>
    <row r="70" spans="1:5" x14ac:dyDescent="0.3">
      <c r="A70" s="247" t="s">
        <v>587</v>
      </c>
      <c r="B70" s="116" t="s">
        <v>55</v>
      </c>
      <c r="C70" s="108" t="s">
        <v>586</v>
      </c>
      <c r="D70" s="248">
        <v>1059</v>
      </c>
      <c r="E70">
        <f t="shared" ref="E70:E133" si="1">+E69+1</f>
        <v>67</v>
      </c>
    </row>
    <row r="71" spans="1:5" x14ac:dyDescent="0.3">
      <c r="A71" s="247" t="s">
        <v>115</v>
      </c>
      <c r="B71" s="116" t="s">
        <v>55</v>
      </c>
      <c r="C71" s="108" t="s">
        <v>114</v>
      </c>
      <c r="D71" s="248">
        <v>197</v>
      </c>
      <c r="E71">
        <f t="shared" si="1"/>
        <v>68</v>
      </c>
    </row>
    <row r="72" spans="1:5" x14ac:dyDescent="0.3">
      <c r="A72" s="247" t="s">
        <v>503</v>
      </c>
      <c r="B72" s="116" t="s">
        <v>55</v>
      </c>
      <c r="C72" s="108" t="s">
        <v>502</v>
      </c>
      <c r="D72" s="248">
        <v>905</v>
      </c>
      <c r="E72">
        <f t="shared" si="1"/>
        <v>69</v>
      </c>
    </row>
    <row r="73" spans="1:5" x14ac:dyDescent="0.3">
      <c r="A73" s="247" t="s">
        <v>471</v>
      </c>
      <c r="B73" s="116" t="s">
        <v>45</v>
      </c>
      <c r="C73" s="108" t="s">
        <v>470</v>
      </c>
      <c r="D73" s="248">
        <v>825</v>
      </c>
      <c r="E73">
        <f t="shared" si="1"/>
        <v>70</v>
      </c>
    </row>
    <row r="74" spans="1:5" x14ac:dyDescent="0.3">
      <c r="A74" s="247" t="s">
        <v>315</v>
      </c>
      <c r="B74" s="116" t="s">
        <v>55</v>
      </c>
      <c r="C74" s="108" t="s">
        <v>314</v>
      </c>
      <c r="D74" s="248">
        <v>611</v>
      </c>
      <c r="E74">
        <f t="shared" si="1"/>
        <v>71</v>
      </c>
    </row>
    <row r="75" spans="1:5" x14ac:dyDescent="0.3">
      <c r="A75" s="247" t="s">
        <v>171</v>
      </c>
      <c r="B75" s="116" t="s">
        <v>55</v>
      </c>
      <c r="C75" s="108" t="s">
        <v>170</v>
      </c>
      <c r="D75" s="248">
        <v>284</v>
      </c>
      <c r="E75">
        <f t="shared" si="1"/>
        <v>72</v>
      </c>
    </row>
    <row r="76" spans="1:5" x14ac:dyDescent="0.3">
      <c r="A76" s="247" t="s">
        <v>613</v>
      </c>
      <c r="B76" s="116" t="s">
        <v>55</v>
      </c>
      <c r="C76" s="108" t="s">
        <v>612</v>
      </c>
      <c r="D76" s="248">
        <v>1104</v>
      </c>
      <c r="E76">
        <f t="shared" si="1"/>
        <v>73</v>
      </c>
    </row>
    <row r="77" spans="1:5" x14ac:dyDescent="0.3">
      <c r="A77" s="247" t="s">
        <v>199</v>
      </c>
      <c r="B77" s="116" t="s">
        <v>55</v>
      </c>
      <c r="C77" s="108" t="s">
        <v>198</v>
      </c>
      <c r="D77" s="248">
        <v>339</v>
      </c>
      <c r="E77">
        <f t="shared" si="1"/>
        <v>74</v>
      </c>
    </row>
    <row r="78" spans="1:5" x14ac:dyDescent="0.3">
      <c r="A78" s="247" t="s">
        <v>12</v>
      </c>
      <c r="B78" s="116" t="s">
        <v>13</v>
      </c>
      <c r="C78" s="108" t="s">
        <v>11</v>
      </c>
      <c r="D78" s="248">
        <v>2</v>
      </c>
      <c r="E78">
        <f t="shared" si="1"/>
        <v>75</v>
      </c>
    </row>
    <row r="79" spans="1:5" x14ac:dyDescent="0.3">
      <c r="A79" s="247" t="s">
        <v>225</v>
      </c>
      <c r="B79" s="116" t="s">
        <v>13</v>
      </c>
      <c r="C79" s="108" t="s">
        <v>224</v>
      </c>
      <c r="D79" s="248">
        <v>385</v>
      </c>
      <c r="E79">
        <f t="shared" si="1"/>
        <v>76</v>
      </c>
    </row>
    <row r="80" spans="1:5" x14ac:dyDescent="0.3">
      <c r="A80" s="247" t="s">
        <v>343</v>
      </c>
      <c r="B80" s="116" t="s">
        <v>13</v>
      </c>
      <c r="C80" s="108" t="s">
        <v>342</v>
      </c>
      <c r="D80" s="248">
        <v>645</v>
      </c>
      <c r="E80">
        <f t="shared" si="1"/>
        <v>77</v>
      </c>
    </row>
    <row r="81" spans="1:5" x14ac:dyDescent="0.3">
      <c r="A81" s="247" t="s">
        <v>295</v>
      </c>
      <c r="B81" s="116" t="s">
        <v>13</v>
      </c>
      <c r="C81" s="108" t="s">
        <v>294</v>
      </c>
      <c r="D81" s="248">
        <v>577</v>
      </c>
      <c r="E81">
        <f t="shared" si="1"/>
        <v>78</v>
      </c>
    </row>
    <row r="82" spans="1:5" x14ac:dyDescent="0.3">
      <c r="A82" s="247" t="s">
        <v>311</v>
      </c>
      <c r="B82" s="116" t="s">
        <v>13</v>
      </c>
      <c r="C82" s="108" t="s">
        <v>310</v>
      </c>
      <c r="D82" s="248">
        <v>606</v>
      </c>
      <c r="E82">
        <f t="shared" si="1"/>
        <v>79</v>
      </c>
    </row>
    <row r="83" spans="1:5" x14ac:dyDescent="0.3">
      <c r="A83" s="247" t="s">
        <v>163</v>
      </c>
      <c r="B83" s="116" t="s">
        <v>13</v>
      </c>
      <c r="C83" s="108" t="s">
        <v>162</v>
      </c>
      <c r="D83" s="248">
        <v>272</v>
      </c>
      <c r="E83">
        <f t="shared" si="1"/>
        <v>80</v>
      </c>
    </row>
    <row r="84" spans="1:5" x14ac:dyDescent="0.3">
      <c r="A84" s="247" t="s">
        <v>541</v>
      </c>
      <c r="B84" s="116" t="s">
        <v>13</v>
      </c>
      <c r="C84" s="108" t="s">
        <v>540</v>
      </c>
      <c r="D84" s="248">
        <v>967</v>
      </c>
      <c r="E84">
        <f t="shared" si="1"/>
        <v>81</v>
      </c>
    </row>
    <row r="85" spans="1:5" x14ac:dyDescent="0.3">
      <c r="A85" s="247" t="s">
        <v>441</v>
      </c>
      <c r="B85" s="116" t="s">
        <v>13</v>
      </c>
      <c r="C85" s="108" t="s">
        <v>440</v>
      </c>
      <c r="D85" s="248">
        <v>788</v>
      </c>
      <c r="E85">
        <f t="shared" si="1"/>
        <v>82</v>
      </c>
    </row>
    <row r="86" spans="1:5" x14ac:dyDescent="0.3">
      <c r="A86" s="247" t="s">
        <v>113</v>
      </c>
      <c r="B86" s="116" t="s">
        <v>13</v>
      </c>
      <c r="C86" s="108" t="s">
        <v>112</v>
      </c>
      <c r="D86" s="248">
        <v>194</v>
      </c>
      <c r="E86">
        <f t="shared" si="1"/>
        <v>83</v>
      </c>
    </row>
    <row r="87" spans="1:5" x14ac:dyDescent="0.3">
      <c r="A87" s="247" t="s">
        <v>477</v>
      </c>
      <c r="B87" s="116" t="s">
        <v>13</v>
      </c>
      <c r="C87" s="108" t="s">
        <v>476</v>
      </c>
      <c r="D87" s="248">
        <v>834</v>
      </c>
      <c r="E87">
        <f t="shared" si="1"/>
        <v>84</v>
      </c>
    </row>
    <row r="88" spans="1:5" x14ac:dyDescent="0.3">
      <c r="A88" s="247" t="s">
        <v>617</v>
      </c>
      <c r="B88" s="116" t="s">
        <v>13</v>
      </c>
      <c r="C88" s="108" t="s">
        <v>616</v>
      </c>
      <c r="D88" s="248">
        <v>1109</v>
      </c>
      <c r="E88">
        <f t="shared" si="1"/>
        <v>85</v>
      </c>
    </row>
    <row r="89" spans="1:5" x14ac:dyDescent="0.3">
      <c r="A89" s="247" t="s">
        <v>373</v>
      </c>
      <c r="B89" s="116" t="s">
        <v>13</v>
      </c>
      <c r="C89" s="108" t="s">
        <v>372</v>
      </c>
      <c r="D89" s="248">
        <v>663</v>
      </c>
      <c r="E89">
        <f t="shared" si="1"/>
        <v>86</v>
      </c>
    </row>
    <row r="90" spans="1:5" x14ac:dyDescent="0.3">
      <c r="A90" s="247" t="s">
        <v>369</v>
      </c>
      <c r="B90" s="116" t="s">
        <v>13</v>
      </c>
      <c r="C90" s="108" t="s">
        <v>368</v>
      </c>
      <c r="D90" s="248">
        <v>660</v>
      </c>
      <c r="E90">
        <f t="shared" si="1"/>
        <v>87</v>
      </c>
    </row>
    <row r="91" spans="1:5" x14ac:dyDescent="0.3">
      <c r="A91" s="247" t="s">
        <v>365</v>
      </c>
      <c r="B91" s="116" t="s">
        <v>21</v>
      </c>
      <c r="C91" s="108" t="s">
        <v>364</v>
      </c>
      <c r="D91" s="248">
        <v>656</v>
      </c>
      <c r="E91">
        <f t="shared" si="1"/>
        <v>88</v>
      </c>
    </row>
    <row r="92" spans="1:5" x14ac:dyDescent="0.3">
      <c r="A92" s="247" t="s">
        <v>117</v>
      </c>
      <c r="B92" s="116" t="s">
        <v>21</v>
      </c>
      <c r="C92" s="108" t="s">
        <v>116</v>
      </c>
      <c r="D92" s="248">
        <v>199</v>
      </c>
      <c r="E92">
        <f t="shared" si="1"/>
        <v>89</v>
      </c>
    </row>
    <row r="93" spans="1:5" x14ac:dyDescent="0.3">
      <c r="A93" s="247" t="s">
        <v>509</v>
      </c>
      <c r="B93" s="116" t="s">
        <v>21</v>
      </c>
      <c r="C93" s="108" t="s">
        <v>508</v>
      </c>
      <c r="D93" s="248">
        <v>903</v>
      </c>
      <c r="E93">
        <f t="shared" si="1"/>
        <v>90</v>
      </c>
    </row>
    <row r="94" spans="1:5" x14ac:dyDescent="0.3">
      <c r="A94" s="247" t="s">
        <v>435</v>
      </c>
      <c r="B94" s="116" t="s">
        <v>52</v>
      </c>
      <c r="C94" s="108" t="s">
        <v>434</v>
      </c>
      <c r="D94" s="248">
        <v>785</v>
      </c>
      <c r="E94">
        <f t="shared" si="1"/>
        <v>91</v>
      </c>
    </row>
    <row r="95" spans="1:5" x14ac:dyDescent="0.3">
      <c r="A95" s="247" t="s">
        <v>59</v>
      </c>
      <c r="B95" s="116" t="s">
        <v>52</v>
      </c>
      <c r="C95" s="108" t="s">
        <v>58</v>
      </c>
      <c r="D95" s="248">
        <v>89</v>
      </c>
      <c r="E95">
        <f t="shared" si="1"/>
        <v>92</v>
      </c>
    </row>
    <row r="96" spans="1:5" x14ac:dyDescent="0.3">
      <c r="A96" s="247" t="s">
        <v>437</v>
      </c>
      <c r="B96" s="116" t="s">
        <v>52</v>
      </c>
      <c r="C96" s="108" t="s">
        <v>436</v>
      </c>
      <c r="D96" s="248">
        <v>786</v>
      </c>
      <c r="E96">
        <f t="shared" si="1"/>
        <v>93</v>
      </c>
    </row>
    <row r="97" spans="1:5" x14ac:dyDescent="0.3">
      <c r="A97" s="247" t="s">
        <v>89</v>
      </c>
      <c r="B97" s="116" t="s">
        <v>52</v>
      </c>
      <c r="C97" s="108" t="s">
        <v>88</v>
      </c>
      <c r="D97" s="248">
        <v>137</v>
      </c>
      <c r="E97">
        <f t="shared" si="1"/>
        <v>94</v>
      </c>
    </row>
    <row r="98" spans="1:5" x14ac:dyDescent="0.3">
      <c r="A98" s="247" t="s">
        <v>423</v>
      </c>
      <c r="B98" s="116" t="s">
        <v>52</v>
      </c>
      <c r="C98" s="108" t="s">
        <v>422</v>
      </c>
      <c r="D98" s="248">
        <v>757</v>
      </c>
      <c r="E98">
        <f t="shared" si="1"/>
        <v>95</v>
      </c>
    </row>
    <row r="99" spans="1:5" x14ac:dyDescent="0.3">
      <c r="A99" s="247" t="s">
        <v>479</v>
      </c>
      <c r="B99" s="116" t="s">
        <v>29</v>
      </c>
      <c r="C99" s="108" t="s">
        <v>478</v>
      </c>
      <c r="D99" s="248">
        <v>844</v>
      </c>
      <c r="E99">
        <f t="shared" si="1"/>
        <v>96</v>
      </c>
    </row>
    <row r="100" spans="1:5" x14ac:dyDescent="0.3">
      <c r="A100" s="247" t="s">
        <v>181</v>
      </c>
      <c r="B100" s="116" t="s">
        <v>29</v>
      </c>
      <c r="C100" s="108" t="s">
        <v>180</v>
      </c>
      <c r="D100" s="248">
        <v>294</v>
      </c>
      <c r="E100">
        <f t="shared" si="1"/>
        <v>97</v>
      </c>
    </row>
    <row r="101" spans="1:5" x14ac:dyDescent="0.3">
      <c r="A101" s="247" t="s">
        <v>169</v>
      </c>
      <c r="B101" s="116" t="s">
        <v>29</v>
      </c>
      <c r="C101" s="108" t="s">
        <v>168</v>
      </c>
      <c r="D101" s="248">
        <v>280</v>
      </c>
      <c r="E101">
        <f t="shared" si="1"/>
        <v>98</v>
      </c>
    </row>
    <row r="102" spans="1:5" x14ac:dyDescent="0.3">
      <c r="A102" s="247" t="s">
        <v>301</v>
      </c>
      <c r="B102" s="116" t="s">
        <v>29</v>
      </c>
      <c r="C102" s="108" t="s">
        <v>300</v>
      </c>
      <c r="D102" s="248">
        <v>585</v>
      </c>
      <c r="E102">
        <f t="shared" si="1"/>
        <v>99</v>
      </c>
    </row>
    <row r="103" spans="1:5" x14ac:dyDescent="0.3">
      <c r="A103" s="247" t="s">
        <v>219</v>
      </c>
      <c r="B103" s="116" t="s">
        <v>29</v>
      </c>
      <c r="C103" s="108" t="s">
        <v>218</v>
      </c>
      <c r="D103" s="248">
        <v>378</v>
      </c>
      <c r="E103">
        <f t="shared" si="1"/>
        <v>100</v>
      </c>
    </row>
    <row r="104" spans="1:5" x14ac:dyDescent="0.3">
      <c r="A104" s="247" t="s">
        <v>575</v>
      </c>
      <c r="B104" s="116" t="s">
        <v>29</v>
      </c>
      <c r="C104" s="108" t="s">
        <v>574</v>
      </c>
      <c r="D104" s="248">
        <v>1032</v>
      </c>
      <c r="E104">
        <f t="shared" si="1"/>
        <v>101</v>
      </c>
    </row>
    <row r="105" spans="1:5" x14ac:dyDescent="0.3">
      <c r="A105" s="247" t="s">
        <v>451</v>
      </c>
      <c r="B105" s="116" t="s">
        <v>29</v>
      </c>
      <c r="C105" s="108" t="s">
        <v>450</v>
      </c>
      <c r="D105" s="248">
        <v>804</v>
      </c>
      <c r="E105">
        <f t="shared" si="1"/>
        <v>102</v>
      </c>
    </row>
    <row r="106" spans="1:5" x14ac:dyDescent="0.3">
      <c r="A106" s="247" t="s">
        <v>497</v>
      </c>
      <c r="B106" s="116" t="s">
        <v>29</v>
      </c>
      <c r="C106" s="108" t="s">
        <v>496</v>
      </c>
      <c r="D106" s="248">
        <v>878</v>
      </c>
      <c r="E106">
        <f t="shared" si="1"/>
        <v>103</v>
      </c>
    </row>
    <row r="107" spans="1:5" x14ac:dyDescent="0.3">
      <c r="A107" s="247" t="s">
        <v>36</v>
      </c>
      <c r="B107" s="116" t="s">
        <v>29</v>
      </c>
      <c r="C107" s="108" t="s">
        <v>35</v>
      </c>
      <c r="D107" s="248">
        <v>50</v>
      </c>
      <c r="E107">
        <f t="shared" si="1"/>
        <v>104</v>
      </c>
    </row>
    <row r="108" spans="1:5" x14ac:dyDescent="0.3">
      <c r="A108" s="247" t="s">
        <v>563</v>
      </c>
      <c r="B108" s="116" t="s">
        <v>29</v>
      </c>
      <c r="C108" s="108" t="s">
        <v>562</v>
      </c>
      <c r="D108" s="248">
        <v>909</v>
      </c>
      <c r="E108">
        <f t="shared" si="1"/>
        <v>105</v>
      </c>
    </row>
    <row r="109" spans="1:5" x14ac:dyDescent="0.3">
      <c r="A109" s="247" t="s">
        <v>463</v>
      </c>
      <c r="B109" s="116" t="s">
        <v>29</v>
      </c>
      <c r="C109" s="108" t="s">
        <v>462</v>
      </c>
      <c r="D109" s="248">
        <v>816</v>
      </c>
      <c r="E109">
        <f t="shared" si="1"/>
        <v>106</v>
      </c>
    </row>
    <row r="110" spans="1:5" x14ac:dyDescent="0.3">
      <c r="A110" s="247" t="s">
        <v>28</v>
      </c>
      <c r="B110" s="116" t="s">
        <v>29</v>
      </c>
      <c r="C110" s="108" t="s">
        <v>27</v>
      </c>
      <c r="D110" s="248">
        <v>39</v>
      </c>
      <c r="E110">
        <f t="shared" si="1"/>
        <v>107</v>
      </c>
    </row>
    <row r="111" spans="1:5" x14ac:dyDescent="0.3">
      <c r="A111" s="247" t="s">
        <v>543</v>
      </c>
      <c r="B111" s="116" t="s">
        <v>29</v>
      </c>
      <c r="C111" s="108" t="s">
        <v>542</v>
      </c>
      <c r="D111" s="248">
        <v>968</v>
      </c>
      <c r="E111">
        <f t="shared" si="1"/>
        <v>108</v>
      </c>
    </row>
    <row r="112" spans="1:5" x14ac:dyDescent="0.3">
      <c r="A112" s="247" t="s">
        <v>501</v>
      </c>
      <c r="B112" s="116" t="s">
        <v>29</v>
      </c>
      <c r="C112" s="108" t="s">
        <v>500</v>
      </c>
      <c r="D112" s="248">
        <v>902</v>
      </c>
      <c r="E112">
        <f t="shared" si="1"/>
        <v>109</v>
      </c>
    </row>
    <row r="113" spans="1:5" x14ac:dyDescent="0.3">
      <c r="A113" s="247" t="s">
        <v>231</v>
      </c>
      <c r="B113" s="116" t="s">
        <v>29</v>
      </c>
      <c r="C113" s="108" t="s">
        <v>230</v>
      </c>
      <c r="D113" s="248">
        <v>415</v>
      </c>
      <c r="E113">
        <f t="shared" si="1"/>
        <v>110</v>
      </c>
    </row>
    <row r="114" spans="1:5" x14ac:dyDescent="0.3">
      <c r="A114" s="247" t="s">
        <v>493</v>
      </c>
      <c r="B114" s="116" t="s">
        <v>29</v>
      </c>
      <c r="C114" s="108" t="s">
        <v>492</v>
      </c>
      <c r="D114" s="248">
        <v>865</v>
      </c>
      <c r="E114">
        <f t="shared" si="1"/>
        <v>111</v>
      </c>
    </row>
    <row r="115" spans="1:5" x14ac:dyDescent="0.3">
      <c r="A115" s="247" t="s">
        <v>263</v>
      </c>
      <c r="B115" s="116" t="s">
        <v>29</v>
      </c>
      <c r="C115" s="108" t="s">
        <v>262</v>
      </c>
      <c r="D115" s="248">
        <v>518</v>
      </c>
      <c r="E115">
        <f t="shared" si="1"/>
        <v>112</v>
      </c>
    </row>
    <row r="116" spans="1:5" x14ac:dyDescent="0.3">
      <c r="A116" s="247" t="s">
        <v>243</v>
      </c>
      <c r="B116" s="116" t="s">
        <v>29</v>
      </c>
      <c r="C116" s="108" t="s">
        <v>242</v>
      </c>
      <c r="D116" s="248">
        <v>435</v>
      </c>
      <c r="E116">
        <f t="shared" si="1"/>
        <v>113</v>
      </c>
    </row>
    <row r="117" spans="1:5" x14ac:dyDescent="0.3">
      <c r="A117" s="247" t="s">
        <v>361</v>
      </c>
      <c r="B117" s="116" t="s">
        <v>29</v>
      </c>
      <c r="C117" s="108" t="s">
        <v>360</v>
      </c>
      <c r="D117" s="248">
        <v>653</v>
      </c>
      <c r="E117">
        <f t="shared" si="1"/>
        <v>114</v>
      </c>
    </row>
    <row r="118" spans="1:5" x14ac:dyDescent="0.3">
      <c r="A118" s="247" t="s">
        <v>429</v>
      </c>
      <c r="B118" s="116">
        <v>121</v>
      </c>
      <c r="C118" s="249" t="s">
        <v>428</v>
      </c>
      <c r="D118" s="248">
        <v>264</v>
      </c>
      <c r="E118">
        <f t="shared" si="1"/>
        <v>115</v>
      </c>
    </row>
    <row r="119" spans="1:5" x14ac:dyDescent="0.3">
      <c r="A119" s="247" t="s">
        <v>1062</v>
      </c>
      <c r="B119" s="250" t="s">
        <v>1039</v>
      </c>
      <c r="C119" s="251" t="s">
        <v>1035</v>
      </c>
      <c r="D119" s="248">
        <v>2633</v>
      </c>
      <c r="E119">
        <f t="shared" si="1"/>
        <v>116</v>
      </c>
    </row>
    <row r="120" spans="1:5" x14ac:dyDescent="0.3">
      <c r="A120" s="247" t="s">
        <v>1059</v>
      </c>
      <c r="B120" s="250" t="s">
        <v>1039</v>
      </c>
      <c r="C120" s="251" t="s">
        <v>1032</v>
      </c>
      <c r="D120" s="248">
        <v>2630</v>
      </c>
      <c r="E120">
        <f t="shared" si="1"/>
        <v>117</v>
      </c>
    </row>
    <row r="121" spans="1:5" x14ac:dyDescent="0.3">
      <c r="A121" s="247" t="s">
        <v>1115</v>
      </c>
      <c r="B121" s="250" t="s">
        <v>1039</v>
      </c>
      <c r="C121" s="215" t="s">
        <v>1116</v>
      </c>
      <c r="D121" s="253">
        <v>3063</v>
      </c>
      <c r="E121">
        <f t="shared" si="1"/>
        <v>118</v>
      </c>
    </row>
    <row r="122" spans="1:5" x14ac:dyDescent="0.3">
      <c r="A122" s="451" t="s">
        <v>1179</v>
      </c>
      <c r="B122" s="425" t="s">
        <v>1039</v>
      </c>
      <c r="C122" s="447" t="s">
        <v>1180</v>
      </c>
      <c r="D122" s="485">
        <v>4263</v>
      </c>
      <c r="E122">
        <f t="shared" si="1"/>
        <v>119</v>
      </c>
    </row>
    <row r="123" spans="1:5" x14ac:dyDescent="0.3">
      <c r="A123" s="247" t="s">
        <v>51</v>
      </c>
      <c r="B123" s="116" t="s">
        <v>52</v>
      </c>
      <c r="C123" s="108" t="s">
        <v>50</v>
      </c>
      <c r="D123" s="248">
        <v>82</v>
      </c>
      <c r="E123">
        <f t="shared" si="1"/>
        <v>120</v>
      </c>
    </row>
    <row r="124" spans="1:5" x14ac:dyDescent="0.3">
      <c r="A124" s="247" t="s">
        <v>31</v>
      </c>
      <c r="B124" s="116" t="s">
        <v>29</v>
      </c>
      <c r="C124" s="108" t="s">
        <v>30</v>
      </c>
      <c r="D124" s="248">
        <v>42</v>
      </c>
      <c r="E124">
        <f t="shared" si="1"/>
        <v>121</v>
      </c>
    </row>
    <row r="125" spans="1:5" x14ac:dyDescent="0.3">
      <c r="A125" s="247" t="s">
        <v>349</v>
      </c>
      <c r="B125" s="116" t="s">
        <v>52</v>
      </c>
      <c r="C125" s="108" t="s">
        <v>348</v>
      </c>
      <c r="D125" s="248">
        <v>649</v>
      </c>
      <c r="E125">
        <f t="shared" si="1"/>
        <v>122</v>
      </c>
    </row>
    <row r="126" spans="1:5" x14ac:dyDescent="0.3">
      <c r="A126" s="247" t="s">
        <v>77</v>
      </c>
      <c r="B126" s="116" t="s">
        <v>52</v>
      </c>
      <c r="C126" s="108" t="s">
        <v>76</v>
      </c>
      <c r="D126" s="248">
        <v>114</v>
      </c>
      <c r="E126">
        <f t="shared" si="1"/>
        <v>123</v>
      </c>
    </row>
    <row r="127" spans="1:5" x14ac:dyDescent="0.3">
      <c r="A127" s="247" t="s">
        <v>507</v>
      </c>
      <c r="B127" s="116" t="s">
        <v>52</v>
      </c>
      <c r="C127" s="108" t="s">
        <v>506</v>
      </c>
      <c r="D127" s="248">
        <v>910</v>
      </c>
      <c r="E127">
        <f t="shared" si="1"/>
        <v>124</v>
      </c>
    </row>
    <row r="128" spans="1:5" x14ac:dyDescent="0.3">
      <c r="A128" s="247" t="s">
        <v>381</v>
      </c>
      <c r="B128" s="116">
        <v>114</v>
      </c>
      <c r="C128" s="249" t="s">
        <v>380</v>
      </c>
      <c r="D128" s="248">
        <v>263</v>
      </c>
      <c r="E128">
        <f t="shared" si="1"/>
        <v>125</v>
      </c>
    </row>
    <row r="129" spans="1:5" x14ac:dyDescent="0.3">
      <c r="A129" s="247" t="s">
        <v>1167</v>
      </c>
      <c r="B129" s="250" t="s">
        <v>1039</v>
      </c>
      <c r="C129" s="448" t="s">
        <v>1168</v>
      </c>
      <c r="D129" s="248">
        <v>4260</v>
      </c>
      <c r="E129">
        <f t="shared" si="1"/>
        <v>126</v>
      </c>
    </row>
    <row r="130" spans="1:5" x14ac:dyDescent="0.3">
      <c r="A130" s="247" t="s">
        <v>127</v>
      </c>
      <c r="B130" s="116" t="s">
        <v>45</v>
      </c>
      <c r="C130" s="108" t="s">
        <v>126</v>
      </c>
      <c r="D130" s="248">
        <v>218</v>
      </c>
      <c r="E130">
        <f t="shared" si="1"/>
        <v>127</v>
      </c>
    </row>
    <row r="131" spans="1:5" x14ac:dyDescent="0.3">
      <c r="A131" s="247" t="s">
        <v>147</v>
      </c>
      <c r="B131" s="116" t="s">
        <v>45</v>
      </c>
      <c r="C131" s="108" t="s">
        <v>146</v>
      </c>
      <c r="D131" s="248">
        <v>250</v>
      </c>
      <c r="E131">
        <f t="shared" si="1"/>
        <v>128</v>
      </c>
    </row>
    <row r="132" spans="1:5" x14ac:dyDescent="0.3">
      <c r="A132" s="247" t="s">
        <v>549</v>
      </c>
      <c r="B132" s="116" t="s">
        <v>45</v>
      </c>
      <c r="C132" s="108" t="s">
        <v>548</v>
      </c>
      <c r="D132" s="248">
        <v>975</v>
      </c>
      <c r="E132">
        <f t="shared" si="1"/>
        <v>129</v>
      </c>
    </row>
    <row r="133" spans="1:5" x14ac:dyDescent="0.3">
      <c r="A133" s="247" t="s">
        <v>161</v>
      </c>
      <c r="B133" s="116" t="s">
        <v>45</v>
      </c>
      <c r="C133" s="108" t="s">
        <v>160</v>
      </c>
      <c r="D133" s="248">
        <v>270</v>
      </c>
      <c r="E133">
        <f t="shared" si="1"/>
        <v>130</v>
      </c>
    </row>
    <row r="134" spans="1:5" x14ac:dyDescent="0.3">
      <c r="A134" s="247" t="s">
        <v>249</v>
      </c>
      <c r="B134" s="116" t="s">
        <v>45</v>
      </c>
      <c r="C134" s="108" t="s">
        <v>248</v>
      </c>
      <c r="D134" s="248">
        <v>501</v>
      </c>
      <c r="E134">
        <f t="shared" ref="E134:E197" si="2">+E133+1</f>
        <v>131</v>
      </c>
    </row>
    <row r="135" spans="1:5" x14ac:dyDescent="0.3">
      <c r="A135" s="247" t="s">
        <v>93</v>
      </c>
      <c r="B135" s="116" t="s">
        <v>45</v>
      </c>
      <c r="C135" s="108" t="s">
        <v>92</v>
      </c>
      <c r="D135" s="248">
        <v>158</v>
      </c>
      <c r="E135">
        <f t="shared" si="2"/>
        <v>132</v>
      </c>
    </row>
    <row r="136" spans="1:5" x14ac:dyDescent="0.3">
      <c r="A136" s="247" t="s">
        <v>619</v>
      </c>
      <c r="B136" s="116" t="s">
        <v>34</v>
      </c>
      <c r="C136" s="108" t="s">
        <v>618</v>
      </c>
      <c r="D136" s="248">
        <v>1110</v>
      </c>
      <c r="E136">
        <f t="shared" si="2"/>
        <v>133</v>
      </c>
    </row>
    <row r="137" spans="1:5" x14ac:dyDescent="0.3">
      <c r="A137" s="247" t="s">
        <v>44</v>
      </c>
      <c r="B137" s="116" t="s">
        <v>45</v>
      </c>
      <c r="C137" s="108" t="s">
        <v>43</v>
      </c>
      <c r="D137" s="248">
        <v>67</v>
      </c>
      <c r="E137">
        <f t="shared" si="2"/>
        <v>134</v>
      </c>
    </row>
    <row r="138" spans="1:5" x14ac:dyDescent="0.3">
      <c r="A138" s="247" t="s">
        <v>75</v>
      </c>
      <c r="B138" s="116" t="s">
        <v>34</v>
      </c>
      <c r="C138" s="108" t="s">
        <v>74</v>
      </c>
      <c r="D138" s="248">
        <v>113</v>
      </c>
      <c r="E138">
        <f t="shared" si="2"/>
        <v>135</v>
      </c>
    </row>
    <row r="139" spans="1:5" x14ac:dyDescent="0.3">
      <c r="A139" s="247" t="s">
        <v>561</v>
      </c>
      <c r="B139" s="116" t="s">
        <v>34</v>
      </c>
      <c r="C139" s="108" t="s">
        <v>560</v>
      </c>
      <c r="D139" s="248">
        <v>1000</v>
      </c>
      <c r="E139">
        <f t="shared" si="2"/>
        <v>136</v>
      </c>
    </row>
    <row r="140" spans="1:5" x14ac:dyDescent="0.3">
      <c r="A140" s="247" t="s">
        <v>195</v>
      </c>
      <c r="B140" s="116" t="s">
        <v>34</v>
      </c>
      <c r="C140" s="108" t="s">
        <v>194</v>
      </c>
      <c r="D140" s="248">
        <v>332</v>
      </c>
      <c r="E140">
        <f t="shared" si="2"/>
        <v>137</v>
      </c>
    </row>
    <row r="141" spans="1:5" x14ac:dyDescent="0.3">
      <c r="A141" s="247" t="s">
        <v>251</v>
      </c>
      <c r="B141" s="116" t="s">
        <v>34</v>
      </c>
      <c r="C141" s="108" t="s">
        <v>250</v>
      </c>
      <c r="D141" s="248">
        <v>505</v>
      </c>
      <c r="E141">
        <f t="shared" si="2"/>
        <v>138</v>
      </c>
    </row>
    <row r="142" spans="1:5" x14ac:dyDescent="0.3">
      <c r="A142" s="247" t="s">
        <v>467</v>
      </c>
      <c r="B142" s="116" t="s">
        <v>34</v>
      </c>
      <c r="C142" s="108" t="s">
        <v>466</v>
      </c>
      <c r="D142" s="248">
        <v>819</v>
      </c>
      <c r="E142">
        <f t="shared" si="2"/>
        <v>139</v>
      </c>
    </row>
    <row r="143" spans="1:5" x14ac:dyDescent="0.3">
      <c r="A143" s="247" t="s">
        <v>197</v>
      </c>
      <c r="B143" s="116" t="s">
        <v>45</v>
      </c>
      <c r="C143" s="108" t="s">
        <v>196</v>
      </c>
      <c r="D143" s="248">
        <v>335</v>
      </c>
      <c r="E143">
        <f t="shared" si="2"/>
        <v>140</v>
      </c>
    </row>
    <row r="144" spans="1:5" x14ac:dyDescent="0.3">
      <c r="A144" s="247" t="s">
        <v>607</v>
      </c>
      <c r="B144" s="116" t="s">
        <v>34</v>
      </c>
      <c r="C144" s="108" t="s">
        <v>606</v>
      </c>
      <c r="D144" s="248">
        <v>1093</v>
      </c>
      <c r="E144">
        <f t="shared" si="2"/>
        <v>141</v>
      </c>
    </row>
    <row r="145" spans="1:5" x14ac:dyDescent="0.3">
      <c r="A145" s="247" t="s">
        <v>279</v>
      </c>
      <c r="B145" s="116" t="s">
        <v>34</v>
      </c>
      <c r="C145" s="108" t="s">
        <v>278</v>
      </c>
      <c r="D145" s="248">
        <v>555</v>
      </c>
      <c r="E145">
        <f t="shared" si="2"/>
        <v>142</v>
      </c>
    </row>
    <row r="146" spans="1:5" x14ac:dyDescent="0.3">
      <c r="A146" s="247" t="s">
        <v>331</v>
      </c>
      <c r="B146" s="116" t="s">
        <v>13</v>
      </c>
      <c r="C146" s="108" t="s">
        <v>330</v>
      </c>
      <c r="D146" s="248">
        <v>632</v>
      </c>
      <c r="E146">
        <f t="shared" si="2"/>
        <v>143</v>
      </c>
    </row>
    <row r="147" spans="1:5" x14ac:dyDescent="0.3">
      <c r="A147" s="247" t="s">
        <v>173</v>
      </c>
      <c r="B147" s="116" t="s">
        <v>13</v>
      </c>
      <c r="C147" s="108" t="s">
        <v>172</v>
      </c>
      <c r="D147" s="248">
        <v>285</v>
      </c>
      <c r="E147">
        <f t="shared" si="2"/>
        <v>144</v>
      </c>
    </row>
    <row r="148" spans="1:5" x14ac:dyDescent="0.3">
      <c r="A148" s="247" t="s">
        <v>317</v>
      </c>
      <c r="B148" s="116" t="s">
        <v>13</v>
      </c>
      <c r="C148" s="108" t="s">
        <v>316</v>
      </c>
      <c r="D148" s="248">
        <v>613</v>
      </c>
      <c r="E148">
        <f t="shared" si="2"/>
        <v>145</v>
      </c>
    </row>
    <row r="149" spans="1:5" x14ac:dyDescent="0.3">
      <c r="A149" s="247" t="s">
        <v>313</v>
      </c>
      <c r="B149" s="116" t="s">
        <v>13</v>
      </c>
      <c r="C149" s="108" t="s">
        <v>312</v>
      </c>
      <c r="D149" s="248">
        <v>608</v>
      </c>
      <c r="E149">
        <f t="shared" si="2"/>
        <v>146</v>
      </c>
    </row>
    <row r="150" spans="1:5" x14ac:dyDescent="0.3">
      <c r="A150" s="247" t="s">
        <v>15</v>
      </c>
      <c r="B150" s="116" t="s">
        <v>13</v>
      </c>
      <c r="C150" s="108" t="s">
        <v>14</v>
      </c>
      <c r="D150" s="248">
        <v>10</v>
      </c>
      <c r="E150">
        <f t="shared" si="2"/>
        <v>147</v>
      </c>
    </row>
    <row r="151" spans="1:5" x14ac:dyDescent="0.3">
      <c r="A151" s="247" t="s">
        <v>615</v>
      </c>
      <c r="B151" s="116" t="s">
        <v>13</v>
      </c>
      <c r="C151" s="108" t="s">
        <v>614</v>
      </c>
      <c r="D151" s="248">
        <v>1106</v>
      </c>
      <c r="E151">
        <f t="shared" si="2"/>
        <v>148</v>
      </c>
    </row>
    <row r="152" spans="1:5" x14ac:dyDescent="0.3">
      <c r="A152" s="247" t="s">
        <v>49</v>
      </c>
      <c r="B152" s="116" t="s">
        <v>13</v>
      </c>
      <c r="C152" s="108" t="s">
        <v>48</v>
      </c>
      <c r="D152" s="248">
        <v>74</v>
      </c>
      <c r="E152">
        <f t="shared" si="2"/>
        <v>149</v>
      </c>
    </row>
    <row r="153" spans="1:5" x14ac:dyDescent="0.3">
      <c r="A153" s="247" t="s">
        <v>551</v>
      </c>
      <c r="B153" s="116" t="s">
        <v>13</v>
      </c>
      <c r="C153" s="108" t="s">
        <v>550</v>
      </c>
      <c r="D153" s="248">
        <v>988</v>
      </c>
      <c r="E153">
        <f t="shared" si="2"/>
        <v>150</v>
      </c>
    </row>
    <row r="154" spans="1:5" x14ac:dyDescent="0.3">
      <c r="A154" s="247" t="s">
        <v>385</v>
      </c>
      <c r="B154" s="116" t="s">
        <v>13</v>
      </c>
      <c r="C154" s="108" t="s">
        <v>384</v>
      </c>
      <c r="D154" s="248">
        <v>680</v>
      </c>
      <c r="E154">
        <f t="shared" si="2"/>
        <v>151</v>
      </c>
    </row>
    <row r="155" spans="1:5" x14ac:dyDescent="0.3">
      <c r="A155" s="247" t="s">
        <v>413</v>
      </c>
      <c r="B155" s="116" t="s">
        <v>13</v>
      </c>
      <c r="C155" s="108" t="s">
        <v>412</v>
      </c>
      <c r="D155" s="248">
        <v>714</v>
      </c>
      <c r="E155">
        <f t="shared" si="2"/>
        <v>152</v>
      </c>
    </row>
    <row r="156" spans="1:5" x14ac:dyDescent="0.3">
      <c r="A156" s="247" t="s">
        <v>83</v>
      </c>
      <c r="B156" s="116" t="s">
        <v>13</v>
      </c>
      <c r="C156" s="108" t="s">
        <v>82</v>
      </c>
      <c r="D156" s="248">
        <v>122</v>
      </c>
      <c r="E156">
        <f t="shared" si="2"/>
        <v>153</v>
      </c>
    </row>
    <row r="157" spans="1:5" x14ac:dyDescent="0.3">
      <c r="A157" s="247" t="s">
        <v>603</v>
      </c>
      <c r="B157" s="116" t="s">
        <v>13</v>
      </c>
      <c r="C157" s="108" t="s">
        <v>602</v>
      </c>
      <c r="D157" s="248">
        <v>1091</v>
      </c>
      <c r="E157">
        <f t="shared" si="2"/>
        <v>154</v>
      </c>
    </row>
    <row r="158" spans="1:5" x14ac:dyDescent="0.3">
      <c r="A158" s="247" t="s">
        <v>81</v>
      </c>
      <c r="B158" s="116" t="s">
        <v>13</v>
      </c>
      <c r="C158" s="108" t="s">
        <v>80</v>
      </c>
      <c r="D158" s="248">
        <v>119</v>
      </c>
      <c r="E158">
        <f t="shared" si="2"/>
        <v>155</v>
      </c>
    </row>
    <row r="159" spans="1:5" x14ac:dyDescent="0.3">
      <c r="A159" s="247" t="s">
        <v>515</v>
      </c>
      <c r="B159" s="116" t="s">
        <v>18</v>
      </c>
      <c r="C159" s="108" t="s">
        <v>514</v>
      </c>
      <c r="D159" s="248">
        <v>928</v>
      </c>
      <c r="E159">
        <f t="shared" si="2"/>
        <v>156</v>
      </c>
    </row>
    <row r="160" spans="1:5" x14ac:dyDescent="0.3">
      <c r="A160" s="247" t="s">
        <v>449</v>
      </c>
      <c r="B160" s="116" t="s">
        <v>18</v>
      </c>
      <c r="C160" s="108" t="s">
        <v>448</v>
      </c>
      <c r="D160" s="248">
        <v>798</v>
      </c>
      <c r="E160">
        <f t="shared" si="2"/>
        <v>157</v>
      </c>
    </row>
    <row r="161" spans="1:5" x14ac:dyDescent="0.3">
      <c r="A161" s="247" t="s">
        <v>17</v>
      </c>
      <c r="B161" s="116" t="s">
        <v>18</v>
      </c>
      <c r="C161" s="108" t="s">
        <v>16</v>
      </c>
      <c r="D161" s="248">
        <v>17</v>
      </c>
      <c r="E161">
        <f t="shared" si="2"/>
        <v>158</v>
      </c>
    </row>
    <row r="162" spans="1:5" x14ac:dyDescent="0.3">
      <c r="A162" s="247" t="s">
        <v>121</v>
      </c>
      <c r="B162" s="116" t="s">
        <v>18</v>
      </c>
      <c r="C162" s="108" t="s">
        <v>120</v>
      </c>
      <c r="D162" s="248">
        <v>211</v>
      </c>
      <c r="E162">
        <f t="shared" si="2"/>
        <v>159</v>
      </c>
    </row>
    <row r="163" spans="1:5" x14ac:dyDescent="0.3">
      <c r="A163" s="247" t="s">
        <v>375</v>
      </c>
      <c r="B163" s="116" t="s">
        <v>18</v>
      </c>
      <c r="C163" s="108" t="s">
        <v>374</v>
      </c>
      <c r="D163" s="248">
        <v>664</v>
      </c>
      <c r="E163">
        <f t="shared" si="2"/>
        <v>160</v>
      </c>
    </row>
    <row r="164" spans="1:5" x14ac:dyDescent="0.3">
      <c r="A164" s="247" t="s">
        <v>609</v>
      </c>
      <c r="B164" s="116" t="s">
        <v>18</v>
      </c>
      <c r="C164" s="108" t="s">
        <v>608</v>
      </c>
      <c r="D164" s="248">
        <v>1099</v>
      </c>
      <c r="E164">
        <f t="shared" si="2"/>
        <v>161</v>
      </c>
    </row>
    <row r="165" spans="1:5" x14ac:dyDescent="0.3">
      <c r="A165" s="247" t="s">
        <v>215</v>
      </c>
      <c r="B165" s="116" t="s">
        <v>18</v>
      </c>
      <c r="C165" s="108" t="s">
        <v>214</v>
      </c>
      <c r="D165" s="248">
        <v>369</v>
      </c>
      <c r="E165">
        <f t="shared" si="2"/>
        <v>162</v>
      </c>
    </row>
    <row r="166" spans="1:5" x14ac:dyDescent="0.3">
      <c r="A166" s="247" t="s">
        <v>131</v>
      </c>
      <c r="B166" s="116" t="s">
        <v>18</v>
      </c>
      <c r="C166" s="108" t="s">
        <v>130</v>
      </c>
      <c r="D166" s="248">
        <v>223</v>
      </c>
      <c r="E166">
        <f t="shared" si="2"/>
        <v>163</v>
      </c>
    </row>
    <row r="167" spans="1:5" x14ac:dyDescent="0.3">
      <c r="A167" s="247" t="s">
        <v>511</v>
      </c>
      <c r="B167" s="116" t="s">
        <v>13</v>
      </c>
      <c r="C167" s="108" t="s">
        <v>510</v>
      </c>
      <c r="D167" s="248">
        <v>911</v>
      </c>
      <c r="E167">
        <f t="shared" si="2"/>
        <v>164</v>
      </c>
    </row>
    <row r="168" spans="1:5" x14ac:dyDescent="0.3">
      <c r="A168" s="247" t="s">
        <v>207</v>
      </c>
      <c r="B168" s="116" t="s">
        <v>13</v>
      </c>
      <c r="C168" s="108" t="s">
        <v>206</v>
      </c>
      <c r="D168" s="248">
        <v>356</v>
      </c>
      <c r="E168">
        <f t="shared" si="2"/>
        <v>165</v>
      </c>
    </row>
    <row r="169" spans="1:5" x14ac:dyDescent="0.3">
      <c r="A169" s="247" t="s">
        <v>491</v>
      </c>
      <c r="B169" s="116" t="s">
        <v>13</v>
      </c>
      <c r="C169" s="108" t="s">
        <v>490</v>
      </c>
      <c r="D169" s="248">
        <v>863</v>
      </c>
      <c r="E169">
        <f t="shared" si="2"/>
        <v>166</v>
      </c>
    </row>
    <row r="170" spans="1:5" x14ac:dyDescent="0.3">
      <c r="A170" s="247" t="s">
        <v>289</v>
      </c>
      <c r="B170" s="116" t="s">
        <v>13</v>
      </c>
      <c r="C170" s="108" t="s">
        <v>288</v>
      </c>
      <c r="D170" s="248">
        <v>567</v>
      </c>
      <c r="E170">
        <f t="shared" si="2"/>
        <v>167</v>
      </c>
    </row>
    <row r="171" spans="1:5" x14ac:dyDescent="0.3">
      <c r="A171" s="247" t="s">
        <v>417</v>
      </c>
      <c r="B171" s="116" t="s">
        <v>13</v>
      </c>
      <c r="C171" s="108" t="s">
        <v>416</v>
      </c>
      <c r="D171" s="248">
        <v>747</v>
      </c>
      <c r="E171">
        <f t="shared" si="2"/>
        <v>168</v>
      </c>
    </row>
    <row r="172" spans="1:5" x14ac:dyDescent="0.3">
      <c r="A172" s="247" t="s">
        <v>351</v>
      </c>
      <c r="B172" s="116" t="s">
        <v>52</v>
      </c>
      <c r="C172" s="108" t="s">
        <v>350</v>
      </c>
      <c r="D172" s="248">
        <v>650</v>
      </c>
      <c r="E172">
        <f t="shared" si="2"/>
        <v>169</v>
      </c>
    </row>
    <row r="173" spans="1:5" x14ac:dyDescent="0.3">
      <c r="A173" s="247" t="s">
        <v>223</v>
      </c>
      <c r="B173" s="116" t="s">
        <v>13</v>
      </c>
      <c r="C173" s="108" t="s">
        <v>222</v>
      </c>
      <c r="D173" s="248">
        <v>382</v>
      </c>
      <c r="E173">
        <f t="shared" si="2"/>
        <v>170</v>
      </c>
    </row>
    <row r="174" spans="1:5" x14ac:dyDescent="0.3">
      <c r="A174" s="247" t="s">
        <v>335</v>
      </c>
      <c r="B174" s="116" t="s">
        <v>55</v>
      </c>
      <c r="C174" s="108" t="s">
        <v>334</v>
      </c>
      <c r="D174" s="248">
        <v>637</v>
      </c>
      <c r="E174">
        <f t="shared" si="2"/>
        <v>171</v>
      </c>
    </row>
    <row r="175" spans="1:5" x14ac:dyDescent="0.3">
      <c r="A175" s="247" t="s">
        <v>383</v>
      </c>
      <c r="B175" s="116" t="s">
        <v>55</v>
      </c>
      <c r="C175" s="108" t="s">
        <v>382</v>
      </c>
      <c r="D175" s="248">
        <v>679</v>
      </c>
      <c r="E175">
        <f t="shared" si="2"/>
        <v>172</v>
      </c>
    </row>
    <row r="176" spans="1:5" x14ac:dyDescent="0.3">
      <c r="A176" s="247" t="s">
        <v>377</v>
      </c>
      <c r="B176" s="116" t="s">
        <v>55</v>
      </c>
      <c r="C176" s="108" t="s">
        <v>376</v>
      </c>
      <c r="D176" s="248">
        <v>670</v>
      </c>
      <c r="E176">
        <f t="shared" si="2"/>
        <v>173</v>
      </c>
    </row>
    <row r="177" spans="1:5" x14ac:dyDescent="0.3">
      <c r="A177" s="247" t="s">
        <v>54</v>
      </c>
      <c r="B177" s="116" t="s">
        <v>55</v>
      </c>
      <c r="C177" s="108" t="s">
        <v>53</v>
      </c>
      <c r="D177" s="248">
        <v>84</v>
      </c>
      <c r="E177">
        <f t="shared" si="2"/>
        <v>174</v>
      </c>
    </row>
    <row r="178" spans="1:5" x14ac:dyDescent="0.3">
      <c r="A178" s="247" t="s">
        <v>409</v>
      </c>
      <c r="B178" s="116" t="s">
        <v>55</v>
      </c>
      <c r="C178" s="108" t="s">
        <v>408</v>
      </c>
      <c r="D178" s="248">
        <v>710</v>
      </c>
      <c r="E178">
        <f t="shared" si="2"/>
        <v>175</v>
      </c>
    </row>
    <row r="179" spans="1:5" x14ac:dyDescent="0.3">
      <c r="A179" s="247" t="s">
        <v>305</v>
      </c>
      <c r="B179" s="116" t="s">
        <v>55</v>
      </c>
      <c r="C179" s="108" t="s">
        <v>304</v>
      </c>
      <c r="D179" s="248">
        <v>588</v>
      </c>
      <c r="E179">
        <f t="shared" si="2"/>
        <v>176</v>
      </c>
    </row>
    <row r="180" spans="1:5" x14ac:dyDescent="0.3">
      <c r="A180" s="247" t="s">
        <v>553</v>
      </c>
      <c r="B180" s="116" t="s">
        <v>55</v>
      </c>
      <c r="C180" s="108" t="s">
        <v>552</v>
      </c>
      <c r="D180" s="248">
        <v>989</v>
      </c>
      <c r="E180">
        <f t="shared" si="2"/>
        <v>177</v>
      </c>
    </row>
    <row r="181" spans="1:5" x14ac:dyDescent="0.3">
      <c r="A181" s="247" t="s">
        <v>397</v>
      </c>
      <c r="B181" s="116" t="s">
        <v>55</v>
      </c>
      <c r="C181" s="108" t="s">
        <v>396</v>
      </c>
      <c r="D181" s="248">
        <v>687</v>
      </c>
      <c r="E181">
        <f t="shared" si="2"/>
        <v>178</v>
      </c>
    </row>
    <row r="182" spans="1:5" x14ac:dyDescent="0.3">
      <c r="A182" s="247" t="s">
        <v>371</v>
      </c>
      <c r="B182" s="116" t="s">
        <v>34</v>
      </c>
      <c r="C182" s="108" t="s">
        <v>370</v>
      </c>
      <c r="D182" s="248">
        <v>661</v>
      </c>
      <c r="E182">
        <f t="shared" si="2"/>
        <v>179</v>
      </c>
    </row>
    <row r="183" spans="1:5" x14ac:dyDescent="0.3">
      <c r="A183" s="247" t="s">
        <v>447</v>
      </c>
      <c r="B183" s="116" t="s">
        <v>13</v>
      </c>
      <c r="C183" s="108" t="s">
        <v>446</v>
      </c>
      <c r="D183" s="248">
        <v>797</v>
      </c>
      <c r="E183">
        <f t="shared" si="2"/>
        <v>180</v>
      </c>
    </row>
    <row r="184" spans="1:5" x14ac:dyDescent="0.3">
      <c r="A184" s="247" t="s">
        <v>505</v>
      </c>
      <c r="B184" s="116" t="s">
        <v>13</v>
      </c>
      <c r="C184" s="108" t="s">
        <v>504</v>
      </c>
      <c r="D184" s="248">
        <v>908</v>
      </c>
      <c r="E184">
        <f t="shared" si="2"/>
        <v>181</v>
      </c>
    </row>
    <row r="185" spans="1:5" x14ac:dyDescent="0.3">
      <c r="A185" s="247" t="s">
        <v>333</v>
      </c>
      <c r="B185" s="116" t="s">
        <v>34</v>
      </c>
      <c r="C185" s="108" t="s">
        <v>332</v>
      </c>
      <c r="D185" s="248">
        <v>634</v>
      </c>
      <c r="E185">
        <f t="shared" si="2"/>
        <v>182</v>
      </c>
    </row>
    <row r="186" spans="1:5" x14ac:dyDescent="0.3">
      <c r="A186" s="247" t="s">
        <v>611</v>
      </c>
      <c r="B186" s="116" t="s">
        <v>13</v>
      </c>
      <c r="C186" s="108" t="s">
        <v>610</v>
      </c>
      <c r="D186" s="248">
        <v>1102</v>
      </c>
      <c r="E186">
        <f t="shared" si="2"/>
        <v>183</v>
      </c>
    </row>
    <row r="187" spans="1:5" x14ac:dyDescent="0.3">
      <c r="A187" s="247" t="s">
        <v>353</v>
      </c>
      <c r="B187" s="116" t="s">
        <v>13</v>
      </c>
      <c r="C187" s="108" t="s">
        <v>352</v>
      </c>
      <c r="D187" s="248">
        <v>641</v>
      </c>
      <c r="E187">
        <f t="shared" si="2"/>
        <v>184</v>
      </c>
    </row>
    <row r="188" spans="1:5" x14ac:dyDescent="0.3">
      <c r="A188" s="247" t="s">
        <v>337</v>
      </c>
      <c r="B188" s="116" t="s">
        <v>18</v>
      </c>
      <c r="C188" s="108" t="s">
        <v>336</v>
      </c>
      <c r="D188" s="248">
        <v>639</v>
      </c>
      <c r="E188">
        <f t="shared" si="2"/>
        <v>185</v>
      </c>
    </row>
    <row r="189" spans="1:5" x14ac:dyDescent="0.3">
      <c r="A189" s="247" t="s">
        <v>125</v>
      </c>
      <c r="B189" s="116" t="s">
        <v>18</v>
      </c>
      <c r="C189" s="108" t="s">
        <v>124</v>
      </c>
      <c r="D189" s="248">
        <v>215</v>
      </c>
      <c r="E189">
        <f t="shared" si="2"/>
        <v>186</v>
      </c>
    </row>
    <row r="190" spans="1:5" x14ac:dyDescent="0.3">
      <c r="A190" s="247" t="s">
        <v>485</v>
      </c>
      <c r="B190" s="116" t="s">
        <v>18</v>
      </c>
      <c r="C190" s="108" t="s">
        <v>484</v>
      </c>
      <c r="D190" s="248">
        <v>851</v>
      </c>
      <c r="E190">
        <f t="shared" si="2"/>
        <v>187</v>
      </c>
    </row>
    <row r="191" spans="1:5" x14ac:dyDescent="0.3">
      <c r="A191" s="247" t="s">
        <v>525</v>
      </c>
      <c r="B191" s="116" t="s">
        <v>29</v>
      </c>
      <c r="C191" s="108" t="s">
        <v>524</v>
      </c>
      <c r="D191" s="248">
        <v>943</v>
      </c>
      <c r="E191">
        <f t="shared" si="2"/>
        <v>188</v>
      </c>
    </row>
    <row r="192" spans="1:5" x14ac:dyDescent="0.3">
      <c r="A192" s="247" t="s">
        <v>433</v>
      </c>
      <c r="B192" s="116" t="s">
        <v>29</v>
      </c>
      <c r="C192" s="108" t="s">
        <v>432</v>
      </c>
      <c r="D192" s="248">
        <v>784</v>
      </c>
      <c r="E192">
        <f t="shared" si="2"/>
        <v>189</v>
      </c>
    </row>
    <row r="193" spans="1:5" x14ac:dyDescent="0.3">
      <c r="A193" s="247" t="s">
        <v>539</v>
      </c>
      <c r="B193" s="116" t="s">
        <v>29</v>
      </c>
      <c r="C193" s="108" t="s">
        <v>538</v>
      </c>
      <c r="D193" s="248">
        <v>966</v>
      </c>
      <c r="E193">
        <f t="shared" si="2"/>
        <v>190</v>
      </c>
    </row>
    <row r="194" spans="1:5" x14ac:dyDescent="0.3">
      <c r="A194" s="247" t="s">
        <v>67</v>
      </c>
      <c r="B194" s="116" t="s">
        <v>29</v>
      </c>
      <c r="C194" s="108" t="s">
        <v>66</v>
      </c>
      <c r="D194" s="248">
        <v>99</v>
      </c>
      <c r="E194">
        <f t="shared" si="2"/>
        <v>191</v>
      </c>
    </row>
    <row r="195" spans="1:5" x14ac:dyDescent="0.3">
      <c r="A195" s="247" t="s">
        <v>569</v>
      </c>
      <c r="B195" s="116" t="s">
        <v>29</v>
      </c>
      <c r="C195" s="108" t="s">
        <v>568</v>
      </c>
      <c r="D195" s="248">
        <v>1020</v>
      </c>
      <c r="E195">
        <f t="shared" si="2"/>
        <v>192</v>
      </c>
    </row>
    <row r="196" spans="1:5" x14ac:dyDescent="0.3">
      <c r="A196" s="247" t="s">
        <v>535</v>
      </c>
      <c r="B196" s="116" t="s">
        <v>29</v>
      </c>
      <c r="C196" s="108" t="s">
        <v>534</v>
      </c>
      <c r="D196" s="248">
        <v>955</v>
      </c>
      <c r="E196">
        <f t="shared" si="2"/>
        <v>193</v>
      </c>
    </row>
    <row r="197" spans="1:5" x14ac:dyDescent="0.3">
      <c r="A197" s="247" t="s">
        <v>137</v>
      </c>
      <c r="B197" s="116" t="s">
        <v>29</v>
      </c>
      <c r="C197" s="108" t="s">
        <v>136</v>
      </c>
      <c r="D197" s="248">
        <v>231</v>
      </c>
      <c r="E197">
        <f t="shared" si="2"/>
        <v>194</v>
      </c>
    </row>
    <row r="198" spans="1:5" x14ac:dyDescent="0.3">
      <c r="A198" s="247" t="s">
        <v>399</v>
      </c>
      <c r="B198" s="116" t="s">
        <v>29</v>
      </c>
      <c r="C198" s="108" t="s">
        <v>398</v>
      </c>
      <c r="D198" s="248">
        <v>691</v>
      </c>
      <c r="E198">
        <f t="shared" ref="E198:E261" si="3">+E197+1</f>
        <v>195</v>
      </c>
    </row>
    <row r="199" spans="1:5" x14ac:dyDescent="0.3">
      <c r="A199" s="247" t="s">
        <v>95</v>
      </c>
      <c r="B199" s="116" t="s">
        <v>29</v>
      </c>
      <c r="C199" s="108" t="s">
        <v>94</v>
      </c>
      <c r="D199" s="248">
        <v>161</v>
      </c>
      <c r="E199">
        <f t="shared" si="3"/>
        <v>196</v>
      </c>
    </row>
    <row r="200" spans="1:5" x14ac:dyDescent="0.3">
      <c r="A200" s="247" t="s">
        <v>415</v>
      </c>
      <c r="B200" s="116" t="s">
        <v>29</v>
      </c>
      <c r="C200" s="108" t="s">
        <v>414</v>
      </c>
      <c r="D200" s="248">
        <v>718</v>
      </c>
      <c r="E200">
        <f t="shared" si="3"/>
        <v>197</v>
      </c>
    </row>
    <row r="201" spans="1:5" x14ac:dyDescent="0.3">
      <c r="A201" s="247" t="s">
        <v>189</v>
      </c>
      <c r="B201" s="116" t="s">
        <v>29</v>
      </c>
      <c r="C201" s="108" t="s">
        <v>188</v>
      </c>
      <c r="D201" s="248">
        <v>319</v>
      </c>
      <c r="E201">
        <f t="shared" si="3"/>
        <v>198</v>
      </c>
    </row>
    <row r="202" spans="1:5" x14ac:dyDescent="0.3">
      <c r="A202" s="247" t="s">
        <v>42</v>
      </c>
      <c r="B202" s="116" t="s">
        <v>29</v>
      </c>
      <c r="C202" s="108" t="s">
        <v>41</v>
      </c>
      <c r="D202" s="248">
        <v>66</v>
      </c>
      <c r="E202">
        <f t="shared" si="3"/>
        <v>199</v>
      </c>
    </row>
    <row r="203" spans="1:5" x14ac:dyDescent="0.3">
      <c r="A203" s="247" t="s">
        <v>149</v>
      </c>
      <c r="B203" s="116" t="s">
        <v>29</v>
      </c>
      <c r="C203" s="108" t="s">
        <v>148</v>
      </c>
      <c r="D203" s="248">
        <v>251</v>
      </c>
      <c r="E203">
        <f t="shared" si="3"/>
        <v>200</v>
      </c>
    </row>
    <row r="204" spans="1:5" x14ac:dyDescent="0.3">
      <c r="A204" s="247" t="s">
        <v>605</v>
      </c>
      <c r="B204" s="116" t="s">
        <v>29</v>
      </c>
      <c r="C204" s="108" t="s">
        <v>604</v>
      </c>
      <c r="D204" s="248">
        <v>1092</v>
      </c>
      <c r="E204">
        <f t="shared" si="3"/>
        <v>201</v>
      </c>
    </row>
    <row r="205" spans="1:5" x14ac:dyDescent="0.3">
      <c r="A205" s="247" t="s">
        <v>185</v>
      </c>
      <c r="B205" s="116" t="s">
        <v>29</v>
      </c>
      <c r="C205" s="108" t="s">
        <v>184</v>
      </c>
      <c r="D205" s="248">
        <v>303</v>
      </c>
      <c r="E205">
        <f t="shared" si="3"/>
        <v>202</v>
      </c>
    </row>
    <row r="206" spans="1:5" x14ac:dyDescent="0.3">
      <c r="A206" s="247" t="s">
        <v>1134</v>
      </c>
      <c r="B206" s="250" t="s">
        <v>1039</v>
      </c>
      <c r="C206" s="234" t="s">
        <v>1135</v>
      </c>
      <c r="D206" s="253">
        <v>4174</v>
      </c>
      <c r="E206">
        <f t="shared" si="3"/>
        <v>203</v>
      </c>
    </row>
    <row r="207" spans="1:5" x14ac:dyDescent="0.3">
      <c r="A207" s="247" t="s">
        <v>1060</v>
      </c>
      <c r="B207" s="250" t="s">
        <v>1039</v>
      </c>
      <c r="C207" s="251" t="s">
        <v>1031</v>
      </c>
      <c r="D207" s="248">
        <v>2631</v>
      </c>
      <c r="E207">
        <f t="shared" si="3"/>
        <v>204</v>
      </c>
    </row>
    <row r="208" spans="1:5" x14ac:dyDescent="0.3">
      <c r="A208" s="247" t="s">
        <v>489</v>
      </c>
      <c r="B208" s="116" t="s">
        <v>21</v>
      </c>
      <c r="C208" s="108" t="s">
        <v>488</v>
      </c>
      <c r="D208" s="248">
        <v>860</v>
      </c>
      <c r="E208">
        <f t="shared" si="3"/>
        <v>205</v>
      </c>
    </row>
    <row r="209" spans="1:5" x14ac:dyDescent="0.3">
      <c r="A209" s="247" t="s">
        <v>389</v>
      </c>
      <c r="B209" s="116" t="s">
        <v>21</v>
      </c>
      <c r="C209" s="108" t="s">
        <v>388</v>
      </c>
      <c r="D209" s="248">
        <v>682</v>
      </c>
      <c r="E209">
        <f t="shared" si="3"/>
        <v>206</v>
      </c>
    </row>
    <row r="210" spans="1:5" x14ac:dyDescent="0.3">
      <c r="A210" s="247" t="s">
        <v>277</v>
      </c>
      <c r="B210" s="116" t="s">
        <v>21</v>
      </c>
      <c r="C210" s="108" t="s">
        <v>276</v>
      </c>
      <c r="D210" s="248">
        <v>552</v>
      </c>
      <c r="E210">
        <f t="shared" si="3"/>
        <v>207</v>
      </c>
    </row>
    <row r="211" spans="1:5" x14ac:dyDescent="0.3">
      <c r="A211" s="247" t="s">
        <v>475</v>
      </c>
      <c r="B211" s="116" t="s">
        <v>21</v>
      </c>
      <c r="C211" s="108" t="s">
        <v>474</v>
      </c>
      <c r="D211" s="248">
        <v>833</v>
      </c>
      <c r="E211">
        <f t="shared" si="3"/>
        <v>208</v>
      </c>
    </row>
    <row r="212" spans="1:5" x14ac:dyDescent="0.3">
      <c r="A212" s="247" t="s">
        <v>109</v>
      </c>
      <c r="B212" s="116" t="s">
        <v>21</v>
      </c>
      <c r="C212" s="108" t="s">
        <v>108</v>
      </c>
      <c r="D212" s="248">
        <v>181</v>
      </c>
      <c r="E212">
        <f t="shared" si="3"/>
        <v>209</v>
      </c>
    </row>
    <row r="213" spans="1:5" x14ac:dyDescent="0.3">
      <c r="A213" s="247" t="s">
        <v>61</v>
      </c>
      <c r="B213" s="116" t="s">
        <v>21</v>
      </c>
      <c r="C213" s="108" t="s">
        <v>60</v>
      </c>
      <c r="D213" s="248">
        <v>94</v>
      </c>
      <c r="E213">
        <f t="shared" si="3"/>
        <v>210</v>
      </c>
    </row>
    <row r="214" spans="1:5" x14ac:dyDescent="0.3">
      <c r="A214" s="247" t="s">
        <v>481</v>
      </c>
      <c r="B214" s="116" t="s">
        <v>21</v>
      </c>
      <c r="C214" s="108" t="s">
        <v>480</v>
      </c>
      <c r="D214" s="248">
        <v>848</v>
      </c>
      <c r="E214">
        <f t="shared" si="3"/>
        <v>211</v>
      </c>
    </row>
    <row r="215" spans="1:5" x14ac:dyDescent="0.3">
      <c r="A215" s="247" t="s">
        <v>20</v>
      </c>
      <c r="B215" s="116" t="s">
        <v>21</v>
      </c>
      <c r="C215" s="108" t="s">
        <v>19</v>
      </c>
      <c r="D215" s="248">
        <v>20</v>
      </c>
      <c r="E215">
        <f t="shared" si="3"/>
        <v>212</v>
      </c>
    </row>
    <row r="216" spans="1:5" x14ac:dyDescent="0.3">
      <c r="A216" s="247" t="s">
        <v>255</v>
      </c>
      <c r="B216" s="116" t="s">
        <v>21</v>
      </c>
      <c r="C216" s="108" t="s">
        <v>254</v>
      </c>
      <c r="D216" s="248">
        <v>508</v>
      </c>
      <c r="E216">
        <f t="shared" si="3"/>
        <v>213</v>
      </c>
    </row>
    <row r="217" spans="1:5" x14ac:dyDescent="0.3">
      <c r="A217" s="247" t="s">
        <v>111</v>
      </c>
      <c r="B217" s="116" t="s">
        <v>21</v>
      </c>
      <c r="C217" s="108" t="s">
        <v>110</v>
      </c>
      <c r="D217" s="248">
        <v>189</v>
      </c>
      <c r="E217">
        <f t="shared" si="3"/>
        <v>214</v>
      </c>
    </row>
    <row r="218" spans="1:5" x14ac:dyDescent="0.3">
      <c r="A218" s="247" t="s">
        <v>325</v>
      </c>
      <c r="B218" s="116" t="s">
        <v>21</v>
      </c>
      <c r="C218" s="108" t="s">
        <v>324</v>
      </c>
      <c r="D218" s="248">
        <v>618</v>
      </c>
      <c r="E218">
        <f t="shared" si="3"/>
        <v>215</v>
      </c>
    </row>
    <row r="219" spans="1:5" x14ac:dyDescent="0.3">
      <c r="A219" s="247" t="s">
        <v>363</v>
      </c>
      <c r="B219" s="116" t="s">
        <v>21</v>
      </c>
      <c r="C219" s="249" t="s">
        <v>362</v>
      </c>
      <c r="D219" s="248">
        <v>267</v>
      </c>
      <c r="E219">
        <f t="shared" si="3"/>
        <v>216</v>
      </c>
    </row>
    <row r="220" spans="1:5" x14ac:dyDescent="0.3">
      <c r="A220" s="247" t="s">
        <v>495</v>
      </c>
      <c r="B220" s="116" t="s">
        <v>34</v>
      </c>
      <c r="C220" s="108" t="s">
        <v>494</v>
      </c>
      <c r="D220" s="248">
        <v>877</v>
      </c>
      <c r="E220">
        <f t="shared" si="3"/>
        <v>217</v>
      </c>
    </row>
    <row r="221" spans="1:5" x14ac:dyDescent="0.3">
      <c r="A221" s="247" t="s">
        <v>323</v>
      </c>
      <c r="B221" s="116" t="s">
        <v>34</v>
      </c>
      <c r="C221" s="108" t="s">
        <v>322</v>
      </c>
      <c r="D221" s="248">
        <v>616</v>
      </c>
      <c r="E221">
        <f t="shared" si="3"/>
        <v>218</v>
      </c>
    </row>
    <row r="222" spans="1:5" x14ac:dyDescent="0.3">
      <c r="A222" s="247" t="s">
        <v>307</v>
      </c>
      <c r="B222" s="116" t="s">
        <v>34</v>
      </c>
      <c r="C222" s="108" t="s">
        <v>306</v>
      </c>
      <c r="D222" s="248">
        <v>595</v>
      </c>
      <c r="E222">
        <f t="shared" si="3"/>
        <v>219</v>
      </c>
    </row>
    <row r="223" spans="1:5" x14ac:dyDescent="0.3">
      <c r="A223" s="247" t="s">
        <v>529</v>
      </c>
      <c r="B223" s="116" t="s">
        <v>34</v>
      </c>
      <c r="C223" s="108" t="s">
        <v>528</v>
      </c>
      <c r="D223" s="248">
        <v>949</v>
      </c>
      <c r="E223">
        <f t="shared" si="3"/>
        <v>220</v>
      </c>
    </row>
    <row r="224" spans="1:5" x14ac:dyDescent="0.3">
      <c r="A224" s="247" t="s">
        <v>175</v>
      </c>
      <c r="B224" s="116" t="s">
        <v>21</v>
      </c>
      <c r="C224" s="108" t="s">
        <v>174</v>
      </c>
      <c r="D224" s="248">
        <v>290</v>
      </c>
      <c r="E224">
        <f t="shared" si="3"/>
        <v>221</v>
      </c>
    </row>
    <row r="225" spans="1:5" x14ac:dyDescent="0.3">
      <c r="A225" s="247" t="s">
        <v>261</v>
      </c>
      <c r="B225" s="116" t="s">
        <v>21</v>
      </c>
      <c r="C225" s="108" t="s">
        <v>260</v>
      </c>
      <c r="D225" s="248">
        <v>517</v>
      </c>
      <c r="E225">
        <f t="shared" si="3"/>
        <v>222</v>
      </c>
    </row>
    <row r="226" spans="1:5" x14ac:dyDescent="0.3">
      <c r="A226" s="247" t="s">
        <v>327</v>
      </c>
      <c r="B226" s="116" t="s">
        <v>21</v>
      </c>
      <c r="C226" s="108" t="s">
        <v>326</v>
      </c>
      <c r="D226" s="248">
        <v>623</v>
      </c>
      <c r="E226">
        <f t="shared" si="3"/>
        <v>223</v>
      </c>
    </row>
    <row r="227" spans="1:5" x14ac:dyDescent="0.3">
      <c r="A227" s="247" t="s">
        <v>151</v>
      </c>
      <c r="B227" s="116" t="s">
        <v>21</v>
      </c>
      <c r="C227" s="108" t="s">
        <v>150</v>
      </c>
      <c r="D227" s="248">
        <v>258</v>
      </c>
      <c r="E227">
        <f t="shared" si="3"/>
        <v>224</v>
      </c>
    </row>
    <row r="228" spans="1:5" x14ac:dyDescent="0.3">
      <c r="A228" s="247" t="s">
        <v>23</v>
      </c>
      <c r="B228" s="116" t="s">
        <v>21</v>
      </c>
      <c r="C228" s="108" t="s">
        <v>22</v>
      </c>
      <c r="D228" s="248">
        <v>26</v>
      </c>
      <c r="E228">
        <f t="shared" si="3"/>
        <v>225</v>
      </c>
    </row>
    <row r="229" spans="1:5" x14ac:dyDescent="0.3">
      <c r="A229" s="247" t="s">
        <v>293</v>
      </c>
      <c r="B229" s="116" t="s">
        <v>21</v>
      </c>
      <c r="C229" s="108" t="s">
        <v>292</v>
      </c>
      <c r="D229" s="248">
        <v>570</v>
      </c>
      <c r="E229">
        <f t="shared" si="3"/>
        <v>226</v>
      </c>
    </row>
    <row r="230" spans="1:5" x14ac:dyDescent="0.3">
      <c r="A230" s="247" t="s">
        <v>229</v>
      </c>
      <c r="B230" s="116" t="s">
        <v>21</v>
      </c>
      <c r="C230" s="108" t="s">
        <v>228</v>
      </c>
      <c r="D230" s="248">
        <v>397</v>
      </c>
      <c r="E230">
        <f t="shared" si="3"/>
        <v>227</v>
      </c>
    </row>
    <row r="231" spans="1:5" x14ac:dyDescent="0.3">
      <c r="A231" s="247" t="s">
        <v>309</v>
      </c>
      <c r="B231" s="116" t="s">
        <v>21</v>
      </c>
      <c r="C231" s="108" t="s">
        <v>308</v>
      </c>
      <c r="D231" s="248">
        <v>604</v>
      </c>
      <c r="E231">
        <f t="shared" si="3"/>
        <v>228</v>
      </c>
    </row>
    <row r="232" spans="1:5" x14ac:dyDescent="0.3">
      <c r="A232" s="247" t="s">
        <v>499</v>
      </c>
      <c r="B232" s="116" t="s">
        <v>21</v>
      </c>
      <c r="C232" s="108" t="s">
        <v>498</v>
      </c>
      <c r="D232" s="248">
        <v>898</v>
      </c>
      <c r="E232">
        <f t="shared" si="3"/>
        <v>229</v>
      </c>
    </row>
    <row r="233" spans="1:5" x14ac:dyDescent="0.3">
      <c r="A233" s="247" t="s">
        <v>265</v>
      </c>
      <c r="B233" s="116" t="s">
        <v>21</v>
      </c>
      <c r="C233" s="108" t="s">
        <v>264</v>
      </c>
      <c r="D233" s="248">
        <v>521</v>
      </c>
      <c r="E233">
        <f t="shared" si="3"/>
        <v>230</v>
      </c>
    </row>
    <row r="234" spans="1:5" x14ac:dyDescent="0.3">
      <c r="A234" s="247" t="s">
        <v>531</v>
      </c>
      <c r="B234" s="116" t="s">
        <v>21</v>
      </c>
      <c r="C234" s="108" t="s">
        <v>530</v>
      </c>
      <c r="D234" s="248">
        <v>950</v>
      </c>
      <c r="E234">
        <f t="shared" si="3"/>
        <v>231</v>
      </c>
    </row>
    <row r="235" spans="1:5" x14ac:dyDescent="0.3">
      <c r="A235" s="247" t="s">
        <v>129</v>
      </c>
      <c r="B235" s="116" t="s">
        <v>21</v>
      </c>
      <c r="C235" s="108" t="s">
        <v>128</v>
      </c>
      <c r="D235" s="248">
        <v>219</v>
      </c>
      <c r="E235">
        <f t="shared" si="3"/>
        <v>232</v>
      </c>
    </row>
    <row r="236" spans="1:5" x14ac:dyDescent="0.3">
      <c r="A236" s="247" t="s">
        <v>205</v>
      </c>
      <c r="B236" s="116" t="s">
        <v>21</v>
      </c>
      <c r="C236" s="108" t="s">
        <v>204</v>
      </c>
      <c r="D236" s="248">
        <v>344</v>
      </c>
      <c r="E236">
        <f t="shared" si="3"/>
        <v>233</v>
      </c>
    </row>
    <row r="237" spans="1:5" x14ac:dyDescent="0.3">
      <c r="A237" s="247" t="s">
        <v>517</v>
      </c>
      <c r="B237" s="116" t="s">
        <v>21</v>
      </c>
      <c r="C237" s="108" t="s">
        <v>516</v>
      </c>
      <c r="D237" s="248">
        <v>931</v>
      </c>
      <c r="E237">
        <f t="shared" si="3"/>
        <v>234</v>
      </c>
    </row>
    <row r="238" spans="1:5" x14ac:dyDescent="0.3">
      <c r="A238" s="247" t="s">
        <v>1117</v>
      </c>
      <c r="B238" s="250" t="s">
        <v>1039</v>
      </c>
      <c r="C238" s="349" t="s">
        <v>1036</v>
      </c>
      <c r="D238" s="248">
        <v>1597</v>
      </c>
      <c r="E238">
        <f t="shared" si="3"/>
        <v>235</v>
      </c>
    </row>
    <row r="239" spans="1:5" x14ac:dyDescent="0.3">
      <c r="A239" s="247" t="s">
        <v>513</v>
      </c>
      <c r="B239" s="116" t="s">
        <v>18</v>
      </c>
      <c r="C239" s="108" t="s">
        <v>512</v>
      </c>
      <c r="D239" s="248">
        <v>926</v>
      </c>
      <c r="E239">
        <f t="shared" si="3"/>
        <v>236</v>
      </c>
    </row>
    <row r="240" spans="1:5" x14ac:dyDescent="0.3">
      <c r="A240" s="247" t="s">
        <v>391</v>
      </c>
      <c r="B240" s="116" t="s">
        <v>18</v>
      </c>
      <c r="C240" s="108" t="s">
        <v>390</v>
      </c>
      <c r="D240" s="248">
        <v>684</v>
      </c>
      <c r="E240">
        <f t="shared" si="3"/>
        <v>237</v>
      </c>
    </row>
    <row r="241" spans="1:5" x14ac:dyDescent="0.3">
      <c r="A241" s="247" t="s">
        <v>209</v>
      </c>
      <c r="B241" s="116" t="s">
        <v>18</v>
      </c>
      <c r="C241" s="108" t="s">
        <v>208</v>
      </c>
      <c r="D241" s="248">
        <v>363</v>
      </c>
      <c r="E241">
        <f t="shared" si="3"/>
        <v>238</v>
      </c>
    </row>
    <row r="242" spans="1:5" x14ac:dyDescent="0.3">
      <c r="A242" s="247" t="s">
        <v>339</v>
      </c>
      <c r="B242" s="116" t="s">
        <v>18</v>
      </c>
      <c r="C242" s="108" t="s">
        <v>338</v>
      </c>
      <c r="D242" s="248">
        <v>640</v>
      </c>
      <c r="E242">
        <f t="shared" si="3"/>
        <v>239</v>
      </c>
    </row>
    <row r="243" spans="1:5" x14ac:dyDescent="0.3">
      <c r="A243" s="247" t="s">
        <v>299</v>
      </c>
      <c r="B243" s="116" t="s">
        <v>18</v>
      </c>
      <c r="C243" s="108" t="s">
        <v>298</v>
      </c>
      <c r="D243" s="248">
        <v>582</v>
      </c>
      <c r="E243">
        <f t="shared" si="3"/>
        <v>240</v>
      </c>
    </row>
    <row r="244" spans="1:5" x14ac:dyDescent="0.3">
      <c r="A244" s="247" t="s">
        <v>297</v>
      </c>
      <c r="B244" s="116" t="s">
        <v>18</v>
      </c>
      <c r="C244" s="108" t="s">
        <v>296</v>
      </c>
      <c r="D244" s="248">
        <v>580</v>
      </c>
      <c r="E244">
        <f t="shared" si="3"/>
        <v>241</v>
      </c>
    </row>
    <row r="245" spans="1:5" x14ac:dyDescent="0.3">
      <c r="A245" s="247" t="s">
        <v>79</v>
      </c>
      <c r="B245" s="116" t="s">
        <v>18</v>
      </c>
      <c r="C245" s="108" t="s">
        <v>78</v>
      </c>
      <c r="D245" s="248">
        <v>115</v>
      </c>
      <c r="E245">
        <f t="shared" si="3"/>
        <v>242</v>
      </c>
    </row>
    <row r="246" spans="1:5" x14ac:dyDescent="0.3">
      <c r="A246" s="247" t="s">
        <v>191</v>
      </c>
      <c r="B246" s="116" t="s">
        <v>18</v>
      </c>
      <c r="C246" s="108" t="s">
        <v>190</v>
      </c>
      <c r="D246" s="248">
        <v>320</v>
      </c>
      <c r="E246">
        <f t="shared" si="3"/>
        <v>243</v>
      </c>
    </row>
    <row r="247" spans="1:5" x14ac:dyDescent="0.3">
      <c r="A247" s="247" t="s">
        <v>85</v>
      </c>
      <c r="B247" s="116" t="s">
        <v>18</v>
      </c>
      <c r="C247" s="108" t="s">
        <v>84</v>
      </c>
      <c r="D247" s="248">
        <v>133</v>
      </c>
      <c r="E247">
        <f t="shared" si="3"/>
        <v>244</v>
      </c>
    </row>
    <row r="248" spans="1:5" x14ac:dyDescent="0.3">
      <c r="A248" s="247" t="s">
        <v>143</v>
      </c>
      <c r="B248" s="116" t="s">
        <v>18</v>
      </c>
      <c r="C248" s="108" t="s">
        <v>142</v>
      </c>
      <c r="D248" s="248">
        <v>243</v>
      </c>
      <c r="E248">
        <f t="shared" si="3"/>
        <v>245</v>
      </c>
    </row>
    <row r="249" spans="1:5" x14ac:dyDescent="0.3">
      <c r="A249" s="247" t="s">
        <v>269</v>
      </c>
      <c r="B249" s="116" t="s">
        <v>18</v>
      </c>
      <c r="C249" s="108" t="s">
        <v>268</v>
      </c>
      <c r="D249" s="248">
        <v>536</v>
      </c>
      <c r="E249">
        <f t="shared" si="3"/>
        <v>246</v>
      </c>
    </row>
    <row r="250" spans="1:5" x14ac:dyDescent="0.3">
      <c r="A250" s="247" t="s">
        <v>601</v>
      </c>
      <c r="B250" s="116" t="s">
        <v>18</v>
      </c>
      <c r="C250" s="108" t="s">
        <v>600</v>
      </c>
      <c r="D250" s="248">
        <v>1077</v>
      </c>
      <c r="E250">
        <f t="shared" si="3"/>
        <v>247</v>
      </c>
    </row>
    <row r="251" spans="1:5" x14ac:dyDescent="0.3">
      <c r="A251" s="247" t="s">
        <v>135</v>
      </c>
      <c r="B251" s="116" t="s">
        <v>18</v>
      </c>
      <c r="C251" s="108" t="s">
        <v>134</v>
      </c>
      <c r="D251" s="248">
        <v>227</v>
      </c>
      <c r="E251">
        <f t="shared" si="3"/>
        <v>248</v>
      </c>
    </row>
    <row r="252" spans="1:5" x14ac:dyDescent="0.3">
      <c r="A252" s="247" t="s">
        <v>461</v>
      </c>
      <c r="B252" s="116" t="s">
        <v>18</v>
      </c>
      <c r="C252" s="108" t="s">
        <v>460</v>
      </c>
      <c r="D252" s="248">
        <v>815</v>
      </c>
      <c r="E252">
        <f t="shared" si="3"/>
        <v>249</v>
      </c>
    </row>
    <row r="253" spans="1:5" x14ac:dyDescent="0.3">
      <c r="A253" s="247" t="s">
        <v>357</v>
      </c>
      <c r="B253" s="116" t="s">
        <v>18</v>
      </c>
      <c r="C253" s="249" t="s">
        <v>356</v>
      </c>
      <c r="D253" s="248">
        <v>259</v>
      </c>
      <c r="E253">
        <f t="shared" si="3"/>
        <v>250</v>
      </c>
    </row>
    <row r="254" spans="1:5" x14ac:dyDescent="0.3">
      <c r="A254" s="247" t="s">
        <v>1061</v>
      </c>
      <c r="B254" s="250" t="s">
        <v>1039</v>
      </c>
      <c r="C254" s="251" t="s">
        <v>1034</v>
      </c>
      <c r="D254" s="248">
        <v>2632</v>
      </c>
      <c r="E254">
        <f t="shared" si="3"/>
        <v>251</v>
      </c>
    </row>
    <row r="255" spans="1:5" x14ac:dyDescent="0.3">
      <c r="A255" s="350" t="s">
        <v>1169</v>
      </c>
      <c r="B255" s="250" t="s">
        <v>1039</v>
      </c>
      <c r="C255" s="449" t="s">
        <v>1170</v>
      </c>
      <c r="D255" s="248">
        <v>4258</v>
      </c>
      <c r="E255">
        <f t="shared" si="3"/>
        <v>252</v>
      </c>
    </row>
    <row r="256" spans="1:5" x14ac:dyDescent="0.3">
      <c r="A256" s="247" t="s">
        <v>1063</v>
      </c>
      <c r="B256" s="250" t="s">
        <v>1039</v>
      </c>
      <c r="C256" s="252" t="s">
        <v>1037</v>
      </c>
      <c r="D256" s="253">
        <v>2635</v>
      </c>
      <c r="E256">
        <f t="shared" si="3"/>
        <v>253</v>
      </c>
    </row>
    <row r="257" spans="1:5" x14ac:dyDescent="0.3">
      <c r="A257" s="247" t="s">
        <v>387</v>
      </c>
      <c r="B257" s="116" t="s">
        <v>18</v>
      </c>
      <c r="C257" s="108" t="s">
        <v>386</v>
      </c>
      <c r="D257" s="248">
        <v>681</v>
      </c>
      <c r="E257">
        <f t="shared" si="3"/>
        <v>254</v>
      </c>
    </row>
    <row r="258" spans="1:5" x14ac:dyDescent="0.3">
      <c r="A258" s="247" t="s">
        <v>87</v>
      </c>
      <c r="B258" s="116" t="s">
        <v>18</v>
      </c>
      <c r="C258" s="108" t="s">
        <v>86</v>
      </c>
      <c r="D258" s="248">
        <v>135</v>
      </c>
      <c r="E258">
        <f t="shared" si="3"/>
        <v>255</v>
      </c>
    </row>
    <row r="259" spans="1:5" x14ac:dyDescent="0.3">
      <c r="A259" s="247" t="s">
        <v>595</v>
      </c>
      <c r="B259" s="116" t="s">
        <v>18</v>
      </c>
      <c r="C259" s="108" t="s">
        <v>594</v>
      </c>
      <c r="D259" s="248">
        <v>1069</v>
      </c>
      <c r="E259">
        <f t="shared" si="3"/>
        <v>256</v>
      </c>
    </row>
    <row r="260" spans="1:5" x14ac:dyDescent="0.3">
      <c r="A260" s="247" t="s">
        <v>571</v>
      </c>
      <c r="B260" s="116" t="s">
        <v>18</v>
      </c>
      <c r="C260" s="108" t="s">
        <v>570</v>
      </c>
      <c r="D260" s="248">
        <v>1026</v>
      </c>
      <c r="E260">
        <f t="shared" si="3"/>
        <v>257</v>
      </c>
    </row>
    <row r="261" spans="1:5" x14ac:dyDescent="0.3">
      <c r="A261" s="247" t="s">
        <v>107</v>
      </c>
      <c r="B261" s="116" t="s">
        <v>18</v>
      </c>
      <c r="C261" s="108" t="s">
        <v>106</v>
      </c>
      <c r="D261" s="248">
        <v>175</v>
      </c>
      <c r="E261">
        <f t="shared" si="3"/>
        <v>258</v>
      </c>
    </row>
    <row r="262" spans="1:5" x14ac:dyDescent="0.3">
      <c r="A262" s="247" t="s">
        <v>275</v>
      </c>
      <c r="B262" s="116" t="s">
        <v>18</v>
      </c>
      <c r="C262" s="108" t="s">
        <v>274</v>
      </c>
      <c r="D262" s="248">
        <v>551</v>
      </c>
      <c r="E262">
        <f t="shared" ref="E262:E315" si="4">+E261+1</f>
        <v>259</v>
      </c>
    </row>
    <row r="263" spans="1:5" x14ac:dyDescent="0.3">
      <c r="A263" s="247" t="s">
        <v>533</v>
      </c>
      <c r="B263" s="116" t="s">
        <v>18</v>
      </c>
      <c r="C263" s="108" t="s">
        <v>532</v>
      </c>
      <c r="D263" s="248">
        <v>953</v>
      </c>
      <c r="E263">
        <f t="shared" si="4"/>
        <v>260</v>
      </c>
    </row>
    <row r="264" spans="1:5" x14ac:dyDescent="0.3">
      <c r="A264" s="247" t="s">
        <v>179</v>
      </c>
      <c r="B264" s="116" t="s">
        <v>18</v>
      </c>
      <c r="C264" s="108" t="s">
        <v>178</v>
      </c>
      <c r="D264" s="248">
        <v>292</v>
      </c>
      <c r="E264">
        <f t="shared" si="4"/>
        <v>261</v>
      </c>
    </row>
    <row r="265" spans="1:5" x14ac:dyDescent="0.3">
      <c r="A265" s="247" t="s">
        <v>103</v>
      </c>
      <c r="B265" s="116" t="s">
        <v>18</v>
      </c>
      <c r="C265" s="108" t="s">
        <v>102</v>
      </c>
      <c r="D265" s="248">
        <v>172</v>
      </c>
      <c r="E265">
        <f t="shared" si="4"/>
        <v>262</v>
      </c>
    </row>
    <row r="266" spans="1:5" x14ac:dyDescent="0.3">
      <c r="A266" s="247" t="s">
        <v>291</v>
      </c>
      <c r="B266" s="116" t="s">
        <v>18</v>
      </c>
      <c r="C266" s="108" t="s">
        <v>290</v>
      </c>
      <c r="D266" s="248">
        <v>568</v>
      </c>
      <c r="E266">
        <f t="shared" si="4"/>
        <v>263</v>
      </c>
    </row>
    <row r="267" spans="1:5" x14ac:dyDescent="0.3">
      <c r="A267" s="247" t="s">
        <v>359</v>
      </c>
      <c r="B267" s="116" t="s">
        <v>18</v>
      </c>
      <c r="C267" s="108" t="s">
        <v>358</v>
      </c>
      <c r="D267" s="248">
        <v>652</v>
      </c>
      <c r="E267">
        <f t="shared" si="4"/>
        <v>264</v>
      </c>
    </row>
    <row r="268" spans="1:5" x14ac:dyDescent="0.3">
      <c r="A268" s="247" t="s">
        <v>245</v>
      </c>
      <c r="B268" s="116" t="s">
        <v>18</v>
      </c>
      <c r="C268" s="108" t="s">
        <v>244</v>
      </c>
      <c r="D268" s="248">
        <v>437</v>
      </c>
      <c r="E268">
        <f t="shared" si="4"/>
        <v>265</v>
      </c>
    </row>
    <row r="269" spans="1:5" x14ac:dyDescent="0.3">
      <c r="A269" s="247" t="s">
        <v>625</v>
      </c>
      <c r="B269" s="116" t="s">
        <v>13</v>
      </c>
      <c r="C269" s="108" t="s">
        <v>624</v>
      </c>
      <c r="D269" s="248">
        <v>1134</v>
      </c>
      <c r="E269">
        <f t="shared" si="4"/>
        <v>266</v>
      </c>
    </row>
    <row r="270" spans="1:5" x14ac:dyDescent="0.3">
      <c r="A270" s="247" t="s">
        <v>355</v>
      </c>
      <c r="B270" s="116" t="s">
        <v>13</v>
      </c>
      <c r="C270" s="108" t="s">
        <v>354</v>
      </c>
      <c r="D270" s="248">
        <v>651</v>
      </c>
      <c r="E270">
        <f t="shared" si="4"/>
        <v>267</v>
      </c>
    </row>
    <row r="271" spans="1:5" x14ac:dyDescent="0.3">
      <c r="A271" s="247" t="s">
        <v>565</v>
      </c>
      <c r="B271" s="116" t="s">
        <v>13</v>
      </c>
      <c r="C271" s="108" t="s">
        <v>564</v>
      </c>
      <c r="D271" s="248">
        <v>1003</v>
      </c>
      <c r="E271">
        <f t="shared" si="4"/>
        <v>268</v>
      </c>
    </row>
    <row r="272" spans="1:5" x14ac:dyDescent="0.3">
      <c r="A272" s="247" t="s">
        <v>379</v>
      </c>
      <c r="B272" s="116" t="s">
        <v>13</v>
      </c>
      <c r="C272" s="108" t="s">
        <v>378</v>
      </c>
      <c r="D272" s="248">
        <v>673</v>
      </c>
      <c r="E272">
        <f t="shared" si="4"/>
        <v>269</v>
      </c>
    </row>
    <row r="273" spans="1:5" x14ac:dyDescent="0.3">
      <c r="A273" s="247" t="s">
        <v>445</v>
      </c>
      <c r="B273" s="116" t="s">
        <v>13</v>
      </c>
      <c r="C273" s="108" t="s">
        <v>444</v>
      </c>
      <c r="D273" s="248">
        <v>793</v>
      </c>
      <c r="E273">
        <f t="shared" si="4"/>
        <v>270</v>
      </c>
    </row>
    <row r="274" spans="1:5" x14ac:dyDescent="0.3">
      <c r="A274" s="247" t="s">
        <v>213</v>
      </c>
      <c r="B274" s="116" t="s">
        <v>13</v>
      </c>
      <c r="C274" s="108" t="s">
        <v>212</v>
      </c>
      <c r="D274" s="248">
        <v>368</v>
      </c>
      <c r="E274">
        <f t="shared" si="4"/>
        <v>271</v>
      </c>
    </row>
    <row r="275" spans="1:5" x14ac:dyDescent="0.3">
      <c r="A275" s="247" t="s">
        <v>465</v>
      </c>
      <c r="B275" s="116" t="s">
        <v>13</v>
      </c>
      <c r="C275" s="108" t="s">
        <v>464</v>
      </c>
      <c r="D275" s="248">
        <v>817</v>
      </c>
      <c r="E275">
        <f t="shared" si="4"/>
        <v>272</v>
      </c>
    </row>
    <row r="276" spans="1:5" x14ac:dyDescent="0.3">
      <c r="A276" s="247" t="s">
        <v>547</v>
      </c>
      <c r="B276" s="116" t="s">
        <v>13</v>
      </c>
      <c r="C276" s="108" t="s">
        <v>546</v>
      </c>
      <c r="D276" s="248">
        <v>972</v>
      </c>
      <c r="E276">
        <f t="shared" si="4"/>
        <v>273</v>
      </c>
    </row>
    <row r="277" spans="1:5" x14ac:dyDescent="0.3">
      <c r="A277" s="247" t="s">
        <v>157</v>
      </c>
      <c r="B277" s="116">
        <v>113</v>
      </c>
      <c r="C277" s="249" t="s">
        <v>156</v>
      </c>
      <c r="D277" s="248">
        <v>262</v>
      </c>
      <c r="E277">
        <f t="shared" si="4"/>
        <v>274</v>
      </c>
    </row>
    <row r="278" spans="1:5" x14ac:dyDescent="0.3">
      <c r="A278" s="247" t="s">
        <v>577</v>
      </c>
      <c r="B278" s="116" t="s">
        <v>34</v>
      </c>
      <c r="C278" s="108" t="s">
        <v>576</v>
      </c>
      <c r="D278" s="248">
        <v>1043</v>
      </c>
      <c r="E278">
        <f t="shared" si="4"/>
        <v>275</v>
      </c>
    </row>
    <row r="279" spans="1:5" x14ac:dyDescent="0.3">
      <c r="A279" s="247" t="s">
        <v>139</v>
      </c>
      <c r="B279" s="116" t="s">
        <v>26</v>
      </c>
      <c r="C279" s="108" t="s">
        <v>138</v>
      </c>
      <c r="D279" s="248">
        <v>232</v>
      </c>
      <c r="E279">
        <f t="shared" si="4"/>
        <v>276</v>
      </c>
    </row>
    <row r="280" spans="1:5" x14ac:dyDescent="0.3">
      <c r="A280" s="247" t="s">
        <v>583</v>
      </c>
      <c r="B280" s="116" t="s">
        <v>26</v>
      </c>
      <c r="C280" s="108" t="s">
        <v>582</v>
      </c>
      <c r="D280" s="248">
        <v>1056</v>
      </c>
      <c r="E280">
        <f t="shared" si="4"/>
        <v>277</v>
      </c>
    </row>
    <row r="281" spans="1:5" x14ac:dyDescent="0.3">
      <c r="A281" s="247" t="s">
        <v>99</v>
      </c>
      <c r="B281" s="116" t="s">
        <v>26</v>
      </c>
      <c r="C281" s="108" t="s">
        <v>98</v>
      </c>
      <c r="D281" s="248">
        <v>167</v>
      </c>
      <c r="E281">
        <f t="shared" si="4"/>
        <v>278</v>
      </c>
    </row>
    <row r="282" spans="1:5" x14ac:dyDescent="0.3">
      <c r="A282" s="247" t="s">
        <v>557</v>
      </c>
      <c r="B282" s="116" t="s">
        <v>26</v>
      </c>
      <c r="C282" s="108" t="s">
        <v>556</v>
      </c>
      <c r="D282" s="248">
        <v>993</v>
      </c>
      <c r="E282">
        <f t="shared" si="4"/>
        <v>279</v>
      </c>
    </row>
    <row r="283" spans="1:5" x14ac:dyDescent="0.3">
      <c r="A283" s="247" t="s">
        <v>105</v>
      </c>
      <c r="B283" s="116" t="s">
        <v>26</v>
      </c>
      <c r="C283" s="108" t="s">
        <v>104</v>
      </c>
      <c r="D283" s="248">
        <v>173</v>
      </c>
      <c r="E283">
        <f t="shared" si="4"/>
        <v>280</v>
      </c>
    </row>
    <row r="284" spans="1:5" x14ac:dyDescent="0.3">
      <c r="A284" s="247" t="s">
        <v>581</v>
      </c>
      <c r="B284" s="116" t="s">
        <v>26</v>
      </c>
      <c r="C284" s="108" t="s">
        <v>580</v>
      </c>
      <c r="D284" s="248">
        <v>1046</v>
      </c>
      <c r="E284">
        <f t="shared" si="4"/>
        <v>281</v>
      </c>
    </row>
    <row r="285" spans="1:5" x14ac:dyDescent="0.3">
      <c r="A285" s="247" t="s">
        <v>425</v>
      </c>
      <c r="B285" s="116" t="s">
        <v>26</v>
      </c>
      <c r="C285" s="108" t="s">
        <v>424</v>
      </c>
      <c r="D285" s="248">
        <v>761</v>
      </c>
      <c r="E285">
        <f t="shared" si="4"/>
        <v>282</v>
      </c>
    </row>
    <row r="286" spans="1:5" x14ac:dyDescent="0.3">
      <c r="A286" s="247" t="s">
        <v>38</v>
      </c>
      <c r="B286" s="116" t="s">
        <v>21</v>
      </c>
      <c r="C286" s="108" t="s">
        <v>37</v>
      </c>
      <c r="D286" s="248">
        <v>54</v>
      </c>
      <c r="E286">
        <f t="shared" si="4"/>
        <v>283</v>
      </c>
    </row>
    <row r="287" spans="1:5" x14ac:dyDescent="0.3">
      <c r="A287" s="247" t="s">
        <v>183</v>
      </c>
      <c r="B287" s="116" t="s">
        <v>21</v>
      </c>
      <c r="C287" s="108" t="s">
        <v>182</v>
      </c>
      <c r="D287" s="248">
        <v>297</v>
      </c>
      <c r="E287">
        <f t="shared" si="4"/>
        <v>284</v>
      </c>
    </row>
    <row r="288" spans="1:5" x14ac:dyDescent="0.3">
      <c r="A288" s="247" t="s">
        <v>47</v>
      </c>
      <c r="B288" s="116" t="s">
        <v>21</v>
      </c>
      <c r="C288" s="108" t="s">
        <v>46</v>
      </c>
      <c r="D288" s="248">
        <v>72</v>
      </c>
      <c r="E288">
        <f t="shared" si="4"/>
        <v>285</v>
      </c>
    </row>
    <row r="289" spans="1:5" x14ac:dyDescent="0.3">
      <c r="A289" s="247" t="s">
        <v>281</v>
      </c>
      <c r="B289" s="116" t="s">
        <v>21</v>
      </c>
      <c r="C289" s="108" t="s">
        <v>280</v>
      </c>
      <c r="D289" s="248">
        <v>557</v>
      </c>
      <c r="E289">
        <f t="shared" si="4"/>
        <v>286</v>
      </c>
    </row>
    <row r="290" spans="1:5" x14ac:dyDescent="0.3">
      <c r="A290" s="247" t="s">
        <v>303</v>
      </c>
      <c r="B290" s="116" t="s">
        <v>21</v>
      </c>
      <c r="C290" s="108" t="s">
        <v>302</v>
      </c>
      <c r="D290" s="248">
        <v>586</v>
      </c>
      <c r="E290">
        <f t="shared" si="4"/>
        <v>287</v>
      </c>
    </row>
    <row r="291" spans="1:5" x14ac:dyDescent="0.3">
      <c r="A291" s="247" t="s">
        <v>341</v>
      </c>
      <c r="B291" s="116" t="s">
        <v>21</v>
      </c>
      <c r="C291" s="108" t="s">
        <v>340</v>
      </c>
      <c r="D291" s="248">
        <v>643</v>
      </c>
      <c r="E291">
        <f t="shared" si="4"/>
        <v>288</v>
      </c>
    </row>
    <row r="292" spans="1:5" x14ac:dyDescent="0.3">
      <c r="A292" s="247" t="s">
        <v>321</v>
      </c>
      <c r="B292" s="116" t="s">
        <v>21</v>
      </c>
      <c r="C292" s="108" t="s">
        <v>320</v>
      </c>
      <c r="D292" s="248">
        <v>615</v>
      </c>
      <c r="E292">
        <f t="shared" si="4"/>
        <v>289</v>
      </c>
    </row>
    <row r="293" spans="1:5" x14ac:dyDescent="0.3">
      <c r="A293" s="451" t="s">
        <v>1181</v>
      </c>
      <c r="B293" s="425" t="s">
        <v>1039</v>
      </c>
      <c r="C293" s="447" t="s">
        <v>1182</v>
      </c>
      <c r="D293" s="485">
        <v>4276</v>
      </c>
      <c r="E293">
        <f t="shared" si="4"/>
        <v>290</v>
      </c>
    </row>
    <row r="294" spans="1:5" x14ac:dyDescent="0.3">
      <c r="A294" s="247" t="s">
        <v>257</v>
      </c>
      <c r="B294" s="116" t="s">
        <v>18</v>
      </c>
      <c r="C294" s="108" t="s">
        <v>256</v>
      </c>
      <c r="D294" s="248">
        <v>512</v>
      </c>
      <c r="E294">
        <f t="shared" si="4"/>
        <v>291</v>
      </c>
    </row>
    <row r="295" spans="1:5" x14ac:dyDescent="0.3">
      <c r="A295" s="247" t="s">
        <v>267</v>
      </c>
      <c r="B295" s="116" t="s">
        <v>18</v>
      </c>
      <c r="C295" s="108" t="s">
        <v>266</v>
      </c>
      <c r="D295" s="248">
        <v>523</v>
      </c>
      <c r="E295">
        <f t="shared" si="4"/>
        <v>292</v>
      </c>
    </row>
    <row r="296" spans="1:5" x14ac:dyDescent="0.3">
      <c r="A296" s="247" t="s">
        <v>545</v>
      </c>
      <c r="B296" s="116" t="s">
        <v>18</v>
      </c>
      <c r="C296" s="108" t="s">
        <v>544</v>
      </c>
      <c r="D296" s="248">
        <v>971</v>
      </c>
      <c r="E296">
        <f t="shared" si="4"/>
        <v>293</v>
      </c>
    </row>
    <row r="297" spans="1:5" x14ac:dyDescent="0.3">
      <c r="A297" s="247" t="s">
        <v>431</v>
      </c>
      <c r="B297" s="116" t="s">
        <v>18</v>
      </c>
      <c r="C297" s="108" t="s">
        <v>430</v>
      </c>
      <c r="D297" s="248">
        <v>781</v>
      </c>
      <c r="E297">
        <f t="shared" si="4"/>
        <v>294</v>
      </c>
    </row>
    <row r="298" spans="1:5" x14ac:dyDescent="0.3">
      <c r="A298" s="247" t="s">
        <v>97</v>
      </c>
      <c r="B298" s="116" t="s">
        <v>18</v>
      </c>
      <c r="C298" s="108" t="s">
        <v>96</v>
      </c>
      <c r="D298" s="248">
        <v>165</v>
      </c>
      <c r="E298">
        <f t="shared" si="4"/>
        <v>295</v>
      </c>
    </row>
    <row r="299" spans="1:5" x14ac:dyDescent="0.3">
      <c r="A299" s="247" t="s">
        <v>405</v>
      </c>
      <c r="B299" s="116" t="s">
        <v>18</v>
      </c>
      <c r="C299" s="108" t="s">
        <v>404</v>
      </c>
      <c r="D299" s="248">
        <v>703</v>
      </c>
      <c r="E299">
        <f t="shared" si="4"/>
        <v>296</v>
      </c>
    </row>
    <row r="300" spans="1:5" x14ac:dyDescent="0.3">
      <c r="A300" s="247" t="s">
        <v>193</v>
      </c>
      <c r="B300" s="116" t="s">
        <v>18</v>
      </c>
      <c r="C300" s="108" t="s">
        <v>192</v>
      </c>
      <c r="D300" s="248">
        <v>328</v>
      </c>
      <c r="E300">
        <f t="shared" si="4"/>
        <v>297</v>
      </c>
    </row>
    <row r="301" spans="1:5" x14ac:dyDescent="0.3">
      <c r="A301" s="247" t="s">
        <v>527</v>
      </c>
      <c r="B301" s="116" t="s">
        <v>18</v>
      </c>
      <c r="C301" s="108" t="s">
        <v>526</v>
      </c>
      <c r="D301" s="248">
        <v>945</v>
      </c>
      <c r="E301">
        <f t="shared" si="4"/>
        <v>298</v>
      </c>
    </row>
    <row r="302" spans="1:5" x14ac:dyDescent="0.3">
      <c r="A302" s="247" t="s">
        <v>101</v>
      </c>
      <c r="B302" s="116" t="s">
        <v>18</v>
      </c>
      <c r="C302" s="108" t="s">
        <v>100</v>
      </c>
      <c r="D302" s="248">
        <v>168</v>
      </c>
      <c r="E302">
        <f t="shared" si="4"/>
        <v>299</v>
      </c>
    </row>
    <row r="303" spans="1:5" x14ac:dyDescent="0.3">
      <c r="A303" s="247" t="s">
        <v>165</v>
      </c>
      <c r="B303" s="116" t="s">
        <v>18</v>
      </c>
      <c r="C303" s="108" t="s">
        <v>164</v>
      </c>
      <c r="D303" s="248">
        <v>274</v>
      </c>
      <c r="E303">
        <f t="shared" si="4"/>
        <v>300</v>
      </c>
    </row>
    <row r="304" spans="1:5" x14ac:dyDescent="0.3">
      <c r="A304" s="247" t="s">
        <v>469</v>
      </c>
      <c r="B304" s="116" t="s">
        <v>18</v>
      </c>
      <c r="C304" s="108" t="s">
        <v>468</v>
      </c>
      <c r="D304" s="248">
        <v>820</v>
      </c>
      <c r="E304">
        <f t="shared" si="4"/>
        <v>301</v>
      </c>
    </row>
    <row r="305" spans="1:5" x14ac:dyDescent="0.3">
      <c r="A305" s="247" t="s">
        <v>473</v>
      </c>
      <c r="B305" s="116" t="s">
        <v>18</v>
      </c>
      <c r="C305" s="108" t="s">
        <v>472</v>
      </c>
      <c r="D305" s="248">
        <v>929</v>
      </c>
      <c r="E305">
        <f t="shared" si="4"/>
        <v>302</v>
      </c>
    </row>
    <row r="306" spans="1:5" x14ac:dyDescent="0.3">
      <c r="A306" s="247" t="s">
        <v>367</v>
      </c>
      <c r="B306" s="116" t="s">
        <v>18</v>
      </c>
      <c r="C306" s="108" t="s">
        <v>366</v>
      </c>
      <c r="D306" s="248">
        <v>658</v>
      </c>
      <c r="E306">
        <f t="shared" si="4"/>
        <v>303</v>
      </c>
    </row>
    <row r="307" spans="1:5" x14ac:dyDescent="0.3">
      <c r="A307" s="451" t="s">
        <v>1183</v>
      </c>
      <c r="B307" s="425" t="s">
        <v>1039</v>
      </c>
      <c r="C307" s="447" t="s">
        <v>1184</v>
      </c>
      <c r="D307" s="484">
        <v>4280</v>
      </c>
      <c r="E307">
        <f t="shared" si="4"/>
        <v>304</v>
      </c>
    </row>
    <row r="308" spans="1:5" x14ac:dyDescent="0.3">
      <c r="A308" s="247" t="s">
        <v>567</v>
      </c>
      <c r="B308" s="116" t="s">
        <v>45</v>
      </c>
      <c r="C308" s="108" t="s">
        <v>566</v>
      </c>
      <c r="D308" s="248">
        <v>1007</v>
      </c>
      <c r="E308">
        <f t="shared" si="4"/>
        <v>305</v>
      </c>
    </row>
    <row r="309" spans="1:5" x14ac:dyDescent="0.3">
      <c r="A309" s="247" t="s">
        <v>329</v>
      </c>
      <c r="B309" s="116" t="s">
        <v>45</v>
      </c>
      <c r="C309" s="108" t="s">
        <v>328</v>
      </c>
      <c r="D309" s="248">
        <v>630</v>
      </c>
      <c r="E309">
        <f t="shared" si="4"/>
        <v>306</v>
      </c>
    </row>
    <row r="310" spans="1:5" x14ac:dyDescent="0.3">
      <c r="A310" s="247" t="s">
        <v>623</v>
      </c>
      <c r="B310" s="116" t="s">
        <v>45</v>
      </c>
      <c r="C310" s="108" t="s">
        <v>622</v>
      </c>
      <c r="D310" s="248">
        <v>1128</v>
      </c>
      <c r="E310">
        <f t="shared" si="4"/>
        <v>307</v>
      </c>
    </row>
    <row r="311" spans="1:5" x14ac:dyDescent="0.3">
      <c r="A311" s="247" t="s">
        <v>141</v>
      </c>
      <c r="B311" s="116" t="s">
        <v>45</v>
      </c>
      <c r="C311" s="108" t="s">
        <v>140</v>
      </c>
      <c r="D311" s="248">
        <v>621</v>
      </c>
      <c r="E311">
        <f t="shared" si="4"/>
        <v>308</v>
      </c>
    </row>
    <row r="312" spans="1:5" x14ac:dyDescent="0.3">
      <c r="A312" s="247" t="s">
        <v>483</v>
      </c>
      <c r="B312" s="116" t="s">
        <v>45</v>
      </c>
      <c r="C312" s="108" t="s">
        <v>482</v>
      </c>
      <c r="D312" s="248">
        <v>850</v>
      </c>
      <c r="E312">
        <f>+E311+1</f>
        <v>309</v>
      </c>
    </row>
    <row r="313" spans="1:5" x14ac:dyDescent="0.3">
      <c r="A313" s="247" t="s">
        <v>283</v>
      </c>
      <c r="B313" s="116" t="s">
        <v>45</v>
      </c>
      <c r="C313" s="108" t="s">
        <v>282</v>
      </c>
      <c r="D313" s="248">
        <v>560</v>
      </c>
      <c r="E313">
        <f t="shared" si="4"/>
        <v>310</v>
      </c>
    </row>
    <row r="314" spans="1:5" x14ac:dyDescent="0.3">
      <c r="A314" s="247" t="s">
        <v>201</v>
      </c>
      <c r="B314" s="116" t="s">
        <v>45</v>
      </c>
      <c r="C314" s="108" t="s">
        <v>200</v>
      </c>
      <c r="D314" s="248">
        <v>341</v>
      </c>
      <c r="E314">
        <f t="shared" si="4"/>
        <v>311</v>
      </c>
    </row>
    <row r="315" spans="1:5" x14ac:dyDescent="0.3">
      <c r="A315" s="247" t="s">
        <v>537</v>
      </c>
      <c r="B315" s="116" t="s">
        <v>45</v>
      </c>
      <c r="C315" s="108" t="s">
        <v>536</v>
      </c>
      <c r="D315" s="248">
        <v>958</v>
      </c>
      <c r="E315">
        <f t="shared" si="4"/>
        <v>312</v>
      </c>
    </row>
    <row r="316" spans="1:5" x14ac:dyDescent="0.3">
      <c r="A316" s="247" t="s">
        <v>555</v>
      </c>
      <c r="B316" s="116" t="s">
        <v>45</v>
      </c>
      <c r="C316" s="108" t="s">
        <v>554</v>
      </c>
      <c r="D316" s="248">
        <v>992</v>
      </c>
      <c r="E316">
        <f>+E315+1</f>
        <v>313</v>
      </c>
    </row>
    <row r="317" spans="1:5" x14ac:dyDescent="0.3">
      <c r="A317" s="247" t="s">
        <v>217</v>
      </c>
      <c r="B317" s="116" t="s">
        <v>45</v>
      </c>
      <c r="C317" s="108" t="s">
        <v>216</v>
      </c>
      <c r="D317" s="248">
        <v>376</v>
      </c>
      <c r="E317">
        <f t="shared" ref="E317:E324" si="5">+E316+1</f>
        <v>314</v>
      </c>
    </row>
    <row r="318" spans="1:5" x14ac:dyDescent="0.3">
      <c r="A318" s="247" t="s">
        <v>203</v>
      </c>
      <c r="B318" s="116" t="s">
        <v>45</v>
      </c>
      <c r="C318" s="108" t="s">
        <v>202</v>
      </c>
      <c r="D318" s="248">
        <v>342</v>
      </c>
      <c r="E318">
        <f t="shared" si="5"/>
        <v>315</v>
      </c>
    </row>
    <row r="319" spans="1:5" x14ac:dyDescent="0.3">
      <c r="A319" s="247" t="s">
        <v>627</v>
      </c>
      <c r="B319" s="116" t="s">
        <v>45</v>
      </c>
      <c r="C319" s="108" t="s">
        <v>626</v>
      </c>
      <c r="D319" s="248">
        <v>1137</v>
      </c>
      <c r="E319">
        <f t="shared" si="5"/>
        <v>316</v>
      </c>
    </row>
    <row r="320" spans="1:5" x14ac:dyDescent="0.3">
      <c r="A320" s="247" t="s">
        <v>585</v>
      </c>
      <c r="B320" s="116" t="s">
        <v>45</v>
      </c>
      <c r="C320" s="108" t="s">
        <v>584</v>
      </c>
      <c r="D320" s="248">
        <v>1058</v>
      </c>
      <c r="E320">
        <f t="shared" si="5"/>
        <v>317</v>
      </c>
    </row>
    <row r="321" spans="1:5" x14ac:dyDescent="0.3">
      <c r="A321" s="247" t="s">
        <v>599</v>
      </c>
      <c r="B321" s="116" t="s">
        <v>45</v>
      </c>
      <c r="C321" s="108" t="s">
        <v>598</v>
      </c>
      <c r="D321" s="248">
        <v>1076</v>
      </c>
      <c r="E321">
        <f t="shared" si="5"/>
        <v>318</v>
      </c>
    </row>
    <row r="322" spans="1:5" x14ac:dyDescent="0.3">
      <c r="A322" s="247" t="s">
        <v>319</v>
      </c>
      <c r="B322" s="116" t="s">
        <v>45</v>
      </c>
      <c r="C322" s="108" t="s">
        <v>318</v>
      </c>
      <c r="D322" s="248">
        <v>614</v>
      </c>
      <c r="E322">
        <f t="shared" si="5"/>
        <v>319</v>
      </c>
    </row>
    <row r="323" spans="1:5" x14ac:dyDescent="0.3">
      <c r="A323" s="247" t="s">
        <v>153</v>
      </c>
      <c r="B323" s="116" t="s">
        <v>45</v>
      </c>
      <c r="C323" s="249" t="s">
        <v>152</v>
      </c>
      <c r="D323" s="248">
        <v>260</v>
      </c>
      <c r="E323">
        <f t="shared" si="5"/>
        <v>320</v>
      </c>
    </row>
    <row r="324" spans="1:5" x14ac:dyDescent="0.3">
      <c r="A324" s="434" t="s">
        <v>1185</v>
      </c>
      <c r="B324" s="425" t="s">
        <v>1039</v>
      </c>
      <c r="C324" s="486" t="s">
        <v>1186</v>
      </c>
      <c r="D324" s="484">
        <v>4279</v>
      </c>
      <c r="E324" s="351">
        <f t="shared" si="5"/>
        <v>321</v>
      </c>
    </row>
  </sheetData>
  <sortState xmlns:xlrd2="http://schemas.microsoft.com/office/spreadsheetml/2017/richdata2" ref="H4:J323">
    <sortCondition ref="H4:H323"/>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A8CE-9B3E-47D3-8F04-FF54828A23A1}">
  <dimension ref="A1:AD327"/>
  <sheetViews>
    <sheetView workbookViewId="0">
      <pane xSplit="3" ySplit="6" topLeftCell="Y7" activePane="bottomRight" state="frozen"/>
      <selection pane="topRight" activeCell="D1" sqref="D1"/>
      <selection pane="bottomLeft" activeCell="A7" sqref="A7"/>
      <selection pane="bottomRight" activeCell="AK5" sqref="AK5"/>
    </sheetView>
  </sheetViews>
  <sheetFormatPr defaultRowHeight="14.4" x14ac:dyDescent="0.3"/>
  <cols>
    <col min="2" max="2" width="4.33203125" bestFit="1" customWidth="1"/>
    <col min="3" max="3" width="34.5546875" customWidth="1"/>
    <col min="4" max="4" width="12.33203125" bestFit="1" customWidth="1"/>
    <col min="5" max="5" width="14.33203125" bestFit="1" customWidth="1"/>
    <col min="6" max="6" width="11.109375" bestFit="1" customWidth="1"/>
    <col min="7" max="7" width="14.33203125" bestFit="1" customWidth="1"/>
    <col min="8" max="8" width="15.33203125" bestFit="1" customWidth="1"/>
    <col min="9" max="9" width="14.33203125" bestFit="1" customWidth="1"/>
    <col min="10" max="10" width="3" bestFit="1" customWidth="1"/>
    <col min="11" max="11" width="13.33203125" bestFit="1" customWidth="1"/>
    <col min="12" max="12" width="15.33203125" bestFit="1" customWidth="1"/>
    <col min="13" max="13" width="8.88671875" bestFit="1" customWidth="1"/>
    <col min="14" max="14" width="15.33203125" bestFit="1" customWidth="1"/>
    <col min="15" max="15" width="8.88671875" bestFit="1" customWidth="1"/>
    <col min="16" max="16" width="13.33203125" bestFit="1" customWidth="1"/>
    <col min="17" max="17" width="14.33203125" bestFit="1" customWidth="1"/>
    <col min="18" max="18" width="8.88671875" bestFit="1" customWidth="1"/>
    <col min="19" max="19" width="11.109375" bestFit="1" customWidth="1"/>
    <col min="20" max="20" width="5.109375" bestFit="1" customWidth="1"/>
    <col min="21" max="21" width="13.33203125" bestFit="1" customWidth="1"/>
    <col min="22" max="22" width="14.44140625" bestFit="1" customWidth="1"/>
    <col min="23" max="23" width="8.88671875" bestFit="1" customWidth="1"/>
    <col min="24" max="24" width="14.44140625" bestFit="1" customWidth="1"/>
    <col min="25" max="25" width="8.88671875" bestFit="1" customWidth="1"/>
    <col min="26" max="26" width="11.33203125" bestFit="1" customWidth="1"/>
    <col min="27" max="27" width="13.33203125" bestFit="1" customWidth="1"/>
    <col min="28" max="28" width="8.88671875" bestFit="1" customWidth="1"/>
    <col min="29" max="29" width="11.109375" bestFit="1" customWidth="1"/>
    <col min="30" max="30" width="3" bestFit="1" customWidth="1"/>
  </cols>
  <sheetData>
    <row r="1" spans="1:30" x14ac:dyDescent="0.3">
      <c r="A1" s="467">
        <v>1</v>
      </c>
      <c r="B1" s="467">
        <v>2</v>
      </c>
      <c r="C1" s="467">
        <v>3</v>
      </c>
      <c r="D1" s="467">
        <f t="shared" ref="D1:AD1" si="0">+C1+1</f>
        <v>4</v>
      </c>
      <c r="E1" s="467">
        <f t="shared" si="0"/>
        <v>5</v>
      </c>
      <c r="F1" s="467">
        <f t="shared" si="0"/>
        <v>6</v>
      </c>
      <c r="G1" s="467">
        <f t="shared" si="0"/>
        <v>7</v>
      </c>
      <c r="H1" s="467">
        <f t="shared" si="0"/>
        <v>8</v>
      </c>
      <c r="I1" s="467">
        <f t="shared" si="0"/>
        <v>9</v>
      </c>
      <c r="J1" s="467">
        <f t="shared" si="0"/>
        <v>10</v>
      </c>
      <c r="K1" s="467">
        <f t="shared" si="0"/>
        <v>11</v>
      </c>
      <c r="L1" s="467">
        <f t="shared" si="0"/>
        <v>12</v>
      </c>
      <c r="M1" s="467">
        <f t="shared" si="0"/>
        <v>13</v>
      </c>
      <c r="N1" s="467">
        <f t="shared" si="0"/>
        <v>14</v>
      </c>
      <c r="O1" s="467">
        <f t="shared" si="0"/>
        <v>15</v>
      </c>
      <c r="P1" s="467">
        <f t="shared" si="0"/>
        <v>16</v>
      </c>
      <c r="Q1" s="467">
        <f t="shared" si="0"/>
        <v>17</v>
      </c>
      <c r="R1" s="467">
        <f t="shared" si="0"/>
        <v>18</v>
      </c>
      <c r="S1" s="467">
        <f t="shared" si="0"/>
        <v>19</v>
      </c>
      <c r="T1" s="467">
        <f t="shared" si="0"/>
        <v>20</v>
      </c>
      <c r="U1" s="467">
        <f t="shared" si="0"/>
        <v>21</v>
      </c>
      <c r="V1" s="467">
        <f t="shared" si="0"/>
        <v>22</v>
      </c>
      <c r="W1" s="467">
        <f t="shared" si="0"/>
        <v>23</v>
      </c>
      <c r="X1" s="467">
        <f t="shared" si="0"/>
        <v>24</v>
      </c>
      <c r="Y1" s="467">
        <f t="shared" si="0"/>
        <v>25</v>
      </c>
      <c r="Z1" s="467">
        <f t="shared" si="0"/>
        <v>26</v>
      </c>
      <c r="AA1" s="467">
        <f t="shared" si="0"/>
        <v>27</v>
      </c>
      <c r="AB1" s="467">
        <f t="shared" si="0"/>
        <v>28</v>
      </c>
      <c r="AC1" s="467">
        <f t="shared" si="0"/>
        <v>29</v>
      </c>
      <c r="AD1" s="467">
        <f t="shared" si="0"/>
        <v>30</v>
      </c>
    </row>
    <row r="2" spans="1:30" x14ac:dyDescent="0.3">
      <c r="A2" s="19"/>
      <c r="B2" s="19"/>
      <c r="C2" s="218"/>
      <c r="D2" s="121">
        <f>SUM(D7:D327)</f>
        <v>4449221.7299999995</v>
      </c>
      <c r="E2" s="121">
        <f>SUM(E7:E327)</f>
        <v>3521977461.5400009</v>
      </c>
      <c r="F2" s="121">
        <f>SUM(F7:F327)</f>
        <v>5198698.3100000024</v>
      </c>
      <c r="G2" s="121">
        <f>SUM(G7:G327)</f>
        <v>8989134560.5100155</v>
      </c>
      <c r="H2" s="121">
        <f>+D2+E2+F2+G2+I2</f>
        <v>12530991653.110016</v>
      </c>
      <c r="I2" s="121">
        <f>SUM(I7:I327)</f>
        <v>10231711.02</v>
      </c>
      <c r="J2" s="19"/>
      <c r="K2" s="121">
        <f t="shared" ref="K2:AC2" si="1">SUM(K7:K327)</f>
        <v>5198698.3100000024</v>
      </c>
      <c r="L2" s="121">
        <f t="shared" si="1"/>
        <v>8989134560.5100155</v>
      </c>
      <c r="M2" s="121">
        <f t="shared" si="1"/>
        <v>0</v>
      </c>
      <c r="N2" s="121">
        <f t="shared" si="1"/>
        <v>3521977461.5400009</v>
      </c>
      <c r="O2" s="121">
        <f t="shared" si="1"/>
        <v>0</v>
      </c>
      <c r="P2" s="121">
        <f t="shared" si="1"/>
        <v>4449221.7299999995</v>
      </c>
      <c r="Q2" s="121">
        <f t="shared" si="1"/>
        <v>10231711.02</v>
      </c>
      <c r="R2" s="121">
        <f t="shared" si="1"/>
        <v>0</v>
      </c>
      <c r="S2" s="121">
        <f t="shared" si="1"/>
        <v>0</v>
      </c>
      <c r="T2" s="121">
        <f t="shared" si="1"/>
        <v>0</v>
      </c>
      <c r="U2" s="121">
        <f t="shared" si="1"/>
        <v>8031110.4999999991</v>
      </c>
      <c r="V2" s="121">
        <f t="shared" si="1"/>
        <v>237159288.62000012</v>
      </c>
      <c r="W2" s="121">
        <f t="shared" si="1"/>
        <v>0</v>
      </c>
      <c r="X2" s="121">
        <f t="shared" si="1"/>
        <v>243033845.55999976</v>
      </c>
      <c r="Y2" s="121">
        <f t="shared" si="1"/>
        <v>0</v>
      </c>
      <c r="Z2" s="121">
        <f t="shared" si="1"/>
        <v>13490.86</v>
      </c>
      <c r="AA2" s="121">
        <f t="shared" si="1"/>
        <v>0</v>
      </c>
      <c r="AB2" s="121">
        <f t="shared" si="1"/>
        <v>0</v>
      </c>
      <c r="AC2" s="121">
        <f t="shared" si="1"/>
        <v>0</v>
      </c>
      <c r="AD2" s="19"/>
    </row>
    <row r="3" spans="1:30" x14ac:dyDescent="0.3">
      <c r="A3" s="452" t="s">
        <v>672</v>
      </c>
      <c r="K3" s="644" t="s">
        <v>1041</v>
      </c>
      <c r="L3" s="645"/>
      <c r="M3" s="645"/>
      <c r="N3" s="645"/>
      <c r="O3" s="645"/>
      <c r="P3" s="645"/>
      <c r="Q3" s="645"/>
      <c r="R3" s="646"/>
      <c r="U3" s="647" t="s">
        <v>1042</v>
      </c>
      <c r="V3" s="648"/>
      <c r="W3" s="648"/>
      <c r="X3" s="648"/>
      <c r="Y3" s="648"/>
      <c r="Z3" s="648"/>
      <c r="AA3" s="648"/>
      <c r="AB3" s="649"/>
    </row>
    <row r="4" spans="1:30" x14ac:dyDescent="0.3">
      <c r="C4" s="214" t="s">
        <v>1225</v>
      </c>
      <c r="K4" s="121"/>
      <c r="Q4" t="s">
        <v>1087</v>
      </c>
      <c r="U4" s="121">
        <f>SUM(U2:AB2)</f>
        <v>488237735.5399999</v>
      </c>
      <c r="AA4" t="s">
        <v>1087</v>
      </c>
    </row>
    <row r="5" spans="1:30" x14ac:dyDescent="0.3">
      <c r="C5" s="364"/>
      <c r="J5" s="19"/>
      <c r="M5" s="132" t="s">
        <v>1088</v>
      </c>
      <c r="N5" s="58"/>
      <c r="O5" s="132" t="s">
        <v>1088</v>
      </c>
      <c r="P5" s="58"/>
      <c r="Q5" s="58"/>
      <c r="R5" s="132" t="s">
        <v>1088</v>
      </c>
      <c r="S5" s="116" t="s">
        <v>628</v>
      </c>
      <c r="W5" s="132" t="s">
        <v>1088</v>
      </c>
      <c r="X5" s="58"/>
      <c r="Y5" s="132" t="s">
        <v>1088</v>
      </c>
      <c r="Z5" s="58"/>
      <c r="AA5" s="58"/>
      <c r="AB5" s="132" t="s">
        <v>1088</v>
      </c>
      <c r="AC5" s="116" t="s">
        <v>628</v>
      </c>
    </row>
    <row r="6" spans="1:30" x14ac:dyDescent="0.3">
      <c r="A6" s="116" t="s">
        <v>7</v>
      </c>
      <c r="B6" s="116" t="s">
        <v>8</v>
      </c>
      <c r="C6" s="131" t="s">
        <v>6</v>
      </c>
      <c r="D6" s="116" t="s">
        <v>629</v>
      </c>
      <c r="E6" s="116" t="s">
        <v>630</v>
      </c>
      <c r="F6" s="116" t="s">
        <v>631</v>
      </c>
      <c r="G6" s="116" t="s">
        <v>632</v>
      </c>
      <c r="H6" s="116" t="s">
        <v>628</v>
      </c>
      <c r="I6" s="116" t="s">
        <v>724</v>
      </c>
      <c r="K6" s="159" t="s">
        <v>631</v>
      </c>
      <c r="L6" s="160" t="s">
        <v>632</v>
      </c>
      <c r="N6" s="161" t="s">
        <v>630</v>
      </c>
      <c r="P6" s="162" t="s">
        <v>629</v>
      </c>
      <c r="Q6" s="163" t="s">
        <v>724</v>
      </c>
      <c r="U6" s="377" t="s">
        <v>1089</v>
      </c>
      <c r="V6" s="164" t="s">
        <v>1090</v>
      </c>
      <c r="X6" s="161" t="s">
        <v>1091</v>
      </c>
      <c r="Z6" s="162" t="s">
        <v>1092</v>
      </c>
      <c r="AA6" s="163" t="s">
        <v>1093</v>
      </c>
    </row>
    <row r="7" spans="1:30" x14ac:dyDescent="0.3">
      <c r="A7" s="125">
        <v>1109</v>
      </c>
      <c r="B7" s="19" t="s">
        <v>18</v>
      </c>
      <c r="C7" t="s">
        <v>1004</v>
      </c>
      <c r="D7" s="563"/>
      <c r="E7" s="124">
        <v>363189.81</v>
      </c>
      <c r="F7" s="563"/>
      <c r="G7" s="124">
        <v>1081204.8</v>
      </c>
      <c r="H7" s="124">
        <v>1444394.6099999999</v>
      </c>
      <c r="I7" s="124">
        <v>0</v>
      </c>
      <c r="J7" s="372"/>
      <c r="K7" s="563"/>
      <c r="L7" s="124">
        <v>1081204.8</v>
      </c>
      <c r="N7" s="124">
        <v>363189.81</v>
      </c>
      <c r="P7" s="563"/>
      <c r="Q7" s="124">
        <v>0</v>
      </c>
      <c r="U7" s="122"/>
      <c r="V7" s="121">
        <v>7434.1900000000005</v>
      </c>
      <c r="X7" s="121">
        <v>31319.040000000001</v>
      </c>
      <c r="Z7" s="122"/>
      <c r="AA7" s="121">
        <v>0</v>
      </c>
      <c r="AD7" s="121"/>
    </row>
    <row r="8" spans="1:30" x14ac:dyDescent="0.3">
      <c r="A8" s="125">
        <v>1122</v>
      </c>
      <c r="B8" s="19" t="s">
        <v>18</v>
      </c>
      <c r="C8" t="s">
        <v>742</v>
      </c>
      <c r="D8" s="563"/>
      <c r="E8" s="124">
        <v>70511.64</v>
      </c>
      <c r="F8" s="563"/>
      <c r="G8" s="124">
        <v>155812.25</v>
      </c>
      <c r="H8" s="124">
        <v>226323.89</v>
      </c>
      <c r="I8" s="124">
        <v>0</v>
      </c>
      <c r="J8" s="372"/>
      <c r="K8" s="563"/>
      <c r="L8" s="124">
        <v>155812.25</v>
      </c>
      <c r="N8" s="124">
        <v>70511.64</v>
      </c>
      <c r="P8" s="563"/>
      <c r="Q8" s="124">
        <v>0</v>
      </c>
      <c r="U8" s="122"/>
      <c r="V8" s="121">
        <v>21481.15</v>
      </c>
      <c r="X8" s="121">
        <v>13668.28</v>
      </c>
      <c r="Z8" s="122"/>
      <c r="AA8" s="121">
        <v>0</v>
      </c>
      <c r="AD8" s="121"/>
    </row>
    <row r="9" spans="1:30" x14ac:dyDescent="0.3">
      <c r="A9" s="125">
        <v>1147</v>
      </c>
      <c r="B9" s="19" t="s">
        <v>26</v>
      </c>
      <c r="C9" t="s">
        <v>914</v>
      </c>
      <c r="D9" s="563"/>
      <c r="E9" s="124">
        <v>12542420.359999999</v>
      </c>
      <c r="F9" s="563">
        <v>0</v>
      </c>
      <c r="G9" s="124">
        <v>33492755.899999999</v>
      </c>
      <c r="H9" s="124">
        <v>46035176.260000005</v>
      </c>
      <c r="I9" s="124">
        <v>0</v>
      </c>
      <c r="J9" s="372"/>
      <c r="K9" s="563">
        <v>0</v>
      </c>
      <c r="L9" s="124">
        <v>33492755.899999999</v>
      </c>
      <c r="N9" s="124">
        <v>12542420.359999999</v>
      </c>
      <c r="P9" s="563"/>
      <c r="Q9" s="124">
        <v>0</v>
      </c>
      <c r="U9" s="122">
        <v>9630</v>
      </c>
      <c r="V9" s="121">
        <v>1058186.47</v>
      </c>
      <c r="X9" s="121">
        <v>672336.46</v>
      </c>
      <c r="Z9" s="122"/>
      <c r="AA9" s="121">
        <v>0</v>
      </c>
      <c r="AD9" s="121"/>
    </row>
    <row r="10" spans="1:30" x14ac:dyDescent="0.3">
      <c r="A10" s="125">
        <v>1158</v>
      </c>
      <c r="B10" s="19" t="s">
        <v>18</v>
      </c>
      <c r="C10" t="s">
        <v>854</v>
      </c>
      <c r="D10" s="563"/>
      <c r="E10" s="124">
        <v>1068569.92</v>
      </c>
      <c r="F10" s="563">
        <v>0</v>
      </c>
      <c r="G10" s="124">
        <v>1914086.91</v>
      </c>
      <c r="H10" s="124">
        <v>2982656.83</v>
      </c>
      <c r="I10" s="124">
        <v>0</v>
      </c>
      <c r="J10" s="372"/>
      <c r="K10" s="563">
        <v>0</v>
      </c>
      <c r="L10" s="124">
        <v>1914086.91</v>
      </c>
      <c r="N10" s="124">
        <v>1068569.92</v>
      </c>
      <c r="P10" s="563"/>
      <c r="Q10" s="124">
        <v>0</v>
      </c>
      <c r="U10" s="122">
        <v>1092.28</v>
      </c>
      <c r="V10" s="121">
        <v>19391.95</v>
      </c>
      <c r="X10" s="121">
        <v>58232.91</v>
      </c>
      <c r="Z10" s="122"/>
      <c r="AA10" s="121">
        <v>0</v>
      </c>
    </row>
    <row r="11" spans="1:30" x14ac:dyDescent="0.3">
      <c r="A11" s="125">
        <v>1160</v>
      </c>
      <c r="B11" s="19" t="s">
        <v>18</v>
      </c>
      <c r="C11" t="s">
        <v>942</v>
      </c>
      <c r="D11" s="563"/>
      <c r="E11" s="124">
        <v>896427.71</v>
      </c>
      <c r="F11" s="563"/>
      <c r="G11" s="124">
        <v>2723453.04</v>
      </c>
      <c r="H11" s="124">
        <v>3619880.75</v>
      </c>
      <c r="I11" s="124">
        <v>0</v>
      </c>
      <c r="J11" s="372"/>
      <c r="K11" s="563"/>
      <c r="L11" s="124">
        <v>2723453.04</v>
      </c>
      <c r="N11" s="124">
        <v>896427.71</v>
      </c>
      <c r="P11" s="563"/>
      <c r="Q11" s="124">
        <v>0</v>
      </c>
      <c r="U11" s="122"/>
      <c r="V11" s="121">
        <v>84403.94</v>
      </c>
      <c r="X11" s="121">
        <v>99975.98</v>
      </c>
      <c r="Z11" s="122"/>
      <c r="AA11" s="121">
        <v>0</v>
      </c>
    </row>
    <row r="12" spans="1:30" x14ac:dyDescent="0.3">
      <c r="A12" s="125">
        <v>2250</v>
      </c>
      <c r="B12" s="19" t="s">
        <v>26</v>
      </c>
      <c r="C12" t="s">
        <v>766</v>
      </c>
      <c r="D12" s="563">
        <v>41157.660000000003</v>
      </c>
      <c r="E12" s="124">
        <v>8029892.0999999996</v>
      </c>
      <c r="F12" s="563">
        <v>246331.08</v>
      </c>
      <c r="G12" s="124">
        <v>17790883.280000001</v>
      </c>
      <c r="H12" s="124">
        <v>26108264.119999997</v>
      </c>
      <c r="I12" s="124">
        <v>0</v>
      </c>
      <c r="J12" s="372"/>
      <c r="K12" s="563">
        <v>246331.08</v>
      </c>
      <c r="L12" s="124">
        <v>17790883.280000001</v>
      </c>
      <c r="N12" s="124">
        <v>8029892.0999999996</v>
      </c>
      <c r="P12" s="563">
        <v>41157.660000000003</v>
      </c>
      <c r="Q12" s="124">
        <v>0</v>
      </c>
      <c r="U12" s="122">
        <v>1200</v>
      </c>
      <c r="V12" s="121">
        <v>393807.67</v>
      </c>
      <c r="X12" s="121">
        <v>483943.4</v>
      </c>
      <c r="Z12" s="122">
        <v>0</v>
      </c>
      <c r="AA12" s="121">
        <v>0</v>
      </c>
    </row>
    <row r="13" spans="1:30" x14ac:dyDescent="0.3">
      <c r="A13" s="125">
        <v>2420</v>
      </c>
      <c r="B13" s="19" t="s">
        <v>26</v>
      </c>
      <c r="C13" t="s">
        <v>736</v>
      </c>
      <c r="D13" s="563"/>
      <c r="E13" s="124">
        <v>1650535.27</v>
      </c>
      <c r="F13" s="563"/>
      <c r="G13" s="124">
        <v>4540943.6400000006</v>
      </c>
      <c r="H13" s="124">
        <v>6191478.9100000001</v>
      </c>
      <c r="I13" s="124">
        <v>0</v>
      </c>
      <c r="J13" s="372"/>
      <c r="K13" s="563"/>
      <c r="L13" s="124">
        <v>4540943.6400000006</v>
      </c>
      <c r="N13" s="124">
        <v>1650535.27</v>
      </c>
      <c r="P13" s="563"/>
      <c r="Q13" s="124">
        <v>0</v>
      </c>
      <c r="U13" s="122"/>
      <c r="V13" s="121">
        <v>80001.19</v>
      </c>
      <c r="X13" s="121">
        <v>257490.74</v>
      </c>
      <c r="Z13" s="122"/>
      <c r="AA13" s="121">
        <v>0</v>
      </c>
    </row>
    <row r="14" spans="1:30" x14ac:dyDescent="0.3">
      <c r="A14" s="125">
        <v>3017</v>
      </c>
      <c r="B14" s="19" t="s">
        <v>26</v>
      </c>
      <c r="C14" t="s">
        <v>840</v>
      </c>
      <c r="D14" s="563">
        <v>25568.93</v>
      </c>
      <c r="E14" s="124">
        <v>45002689.119999997</v>
      </c>
      <c r="F14" s="563">
        <v>0</v>
      </c>
      <c r="G14" s="124">
        <v>141635393.19999999</v>
      </c>
      <c r="H14" s="124">
        <v>186663651.25</v>
      </c>
      <c r="I14" s="124">
        <v>0</v>
      </c>
      <c r="J14" s="372"/>
      <c r="K14" s="563">
        <v>0</v>
      </c>
      <c r="L14" s="124">
        <v>141635393.19999999</v>
      </c>
      <c r="N14" s="124">
        <v>45002689.119999997</v>
      </c>
      <c r="P14" s="563">
        <v>25568.93</v>
      </c>
      <c r="Q14" s="124">
        <v>0</v>
      </c>
      <c r="U14" s="122">
        <v>128188.66</v>
      </c>
      <c r="V14" s="121">
        <v>4428120.5</v>
      </c>
      <c r="X14" s="121">
        <v>3403848.61</v>
      </c>
      <c r="Z14" s="122">
        <v>0</v>
      </c>
      <c r="AA14" s="121">
        <v>0</v>
      </c>
    </row>
    <row r="15" spans="1:30" x14ac:dyDescent="0.3">
      <c r="A15" s="125">
        <v>3050</v>
      </c>
      <c r="B15" s="19" t="s">
        <v>26</v>
      </c>
      <c r="C15" t="s">
        <v>919</v>
      </c>
      <c r="D15" s="563"/>
      <c r="E15" s="124">
        <v>471444.66</v>
      </c>
      <c r="F15" s="563"/>
      <c r="G15" s="124">
        <v>1281439.1299999999</v>
      </c>
      <c r="H15" s="124">
        <v>1752883.79</v>
      </c>
      <c r="I15" s="124">
        <v>0</v>
      </c>
      <c r="J15" s="372"/>
      <c r="K15" s="563"/>
      <c r="L15" s="124">
        <v>1281439.1299999999</v>
      </c>
      <c r="N15" s="124">
        <v>471444.66</v>
      </c>
      <c r="P15" s="563"/>
      <c r="Q15" s="124">
        <v>0</v>
      </c>
      <c r="U15" s="122"/>
      <c r="V15" s="121">
        <v>16884.900000000001</v>
      </c>
      <c r="X15" s="121">
        <v>12469.35</v>
      </c>
      <c r="Z15" s="122"/>
      <c r="AA15" s="121">
        <v>0</v>
      </c>
    </row>
    <row r="16" spans="1:30" x14ac:dyDescent="0.3">
      <c r="A16" s="125">
        <v>3052</v>
      </c>
      <c r="B16" s="19" t="s">
        <v>26</v>
      </c>
      <c r="C16" t="s">
        <v>843</v>
      </c>
      <c r="D16" s="563"/>
      <c r="E16" s="124">
        <v>4031347.45</v>
      </c>
      <c r="F16" s="563">
        <v>0</v>
      </c>
      <c r="G16" s="124">
        <v>9958244.9000000004</v>
      </c>
      <c r="H16" s="124">
        <v>13989592.350000001</v>
      </c>
      <c r="I16" s="124">
        <v>0</v>
      </c>
      <c r="J16" s="372"/>
      <c r="K16" s="563">
        <v>0</v>
      </c>
      <c r="L16" s="124">
        <v>9958244.9000000004</v>
      </c>
      <c r="N16" s="124">
        <v>4031347.45</v>
      </c>
      <c r="P16" s="563"/>
      <c r="Q16" s="124">
        <v>0</v>
      </c>
      <c r="U16" s="122">
        <v>3600</v>
      </c>
      <c r="V16" s="121">
        <v>188084.28000000003</v>
      </c>
      <c r="X16" s="121">
        <v>458534.51</v>
      </c>
      <c r="Z16" s="122"/>
      <c r="AA16" s="121">
        <v>0</v>
      </c>
    </row>
    <row r="17" spans="1:27" x14ac:dyDescent="0.3">
      <c r="A17" s="125">
        <v>3053</v>
      </c>
      <c r="B17" s="19" t="s">
        <v>26</v>
      </c>
      <c r="C17" t="s">
        <v>813</v>
      </c>
      <c r="D17" s="563"/>
      <c r="E17" s="124">
        <v>2229997.94</v>
      </c>
      <c r="F17" s="563"/>
      <c r="G17" s="124">
        <v>6174056.6100000003</v>
      </c>
      <c r="H17" s="124">
        <v>8404054.5500000007</v>
      </c>
      <c r="I17" s="124">
        <v>0</v>
      </c>
      <c r="J17" s="372"/>
      <c r="K17" s="563"/>
      <c r="L17" s="124">
        <v>6174056.6100000003</v>
      </c>
      <c r="N17" s="124">
        <v>2229997.94</v>
      </c>
      <c r="P17" s="563"/>
      <c r="Q17" s="124">
        <v>0</v>
      </c>
      <c r="U17" s="122"/>
      <c r="V17" s="121">
        <v>193258.49</v>
      </c>
      <c r="X17" s="121">
        <v>169976.95999999999</v>
      </c>
      <c r="Z17" s="122"/>
      <c r="AA17" s="121">
        <v>0</v>
      </c>
    </row>
    <row r="18" spans="1:27" x14ac:dyDescent="0.3">
      <c r="A18" s="125">
        <v>3116</v>
      </c>
      <c r="B18" s="19" t="s">
        <v>26</v>
      </c>
      <c r="C18" t="s">
        <v>927</v>
      </c>
      <c r="D18" s="563"/>
      <c r="E18" s="124">
        <v>6633154.6600000001</v>
      </c>
      <c r="F18" s="563">
        <v>0</v>
      </c>
      <c r="G18" s="124">
        <v>16731274.67</v>
      </c>
      <c r="H18" s="124">
        <v>23364429.329999998</v>
      </c>
      <c r="I18" s="124">
        <v>0</v>
      </c>
      <c r="J18" s="372"/>
      <c r="K18" s="563">
        <v>0</v>
      </c>
      <c r="L18" s="124">
        <v>16731274.67</v>
      </c>
      <c r="N18" s="124">
        <v>6633154.6600000001</v>
      </c>
      <c r="P18" s="563"/>
      <c r="Q18" s="124">
        <v>0</v>
      </c>
      <c r="U18" s="122">
        <v>2973.74</v>
      </c>
      <c r="V18" s="121">
        <v>386715.15</v>
      </c>
      <c r="X18" s="121">
        <v>463511.57</v>
      </c>
      <c r="Z18" s="122"/>
      <c r="AA18" s="121">
        <v>0</v>
      </c>
    </row>
    <row r="19" spans="1:27" x14ac:dyDescent="0.3">
      <c r="A19" s="125">
        <v>3400</v>
      </c>
      <c r="B19" s="19" t="s">
        <v>26</v>
      </c>
      <c r="C19" t="s">
        <v>940</v>
      </c>
      <c r="D19" s="563">
        <v>209415.45</v>
      </c>
      <c r="E19" s="124">
        <v>34402452.409999996</v>
      </c>
      <c r="F19" s="563">
        <v>0</v>
      </c>
      <c r="G19" s="124">
        <v>119477550.25999999</v>
      </c>
      <c r="H19" s="124">
        <v>154089418.12</v>
      </c>
      <c r="I19" s="124">
        <v>0</v>
      </c>
      <c r="J19" s="372"/>
      <c r="K19" s="563">
        <v>0</v>
      </c>
      <c r="L19" s="124">
        <v>119477550.25999999</v>
      </c>
      <c r="N19" s="124">
        <v>34402452.409999996</v>
      </c>
      <c r="P19" s="563">
        <v>209415.45</v>
      </c>
      <c r="Q19" s="124">
        <v>0</v>
      </c>
      <c r="U19" s="122">
        <v>8536.25</v>
      </c>
      <c r="V19" s="121">
        <v>3425515.1199999996</v>
      </c>
      <c r="X19" s="121">
        <v>4272693.51</v>
      </c>
      <c r="Z19" s="122">
        <v>0</v>
      </c>
      <c r="AA19" s="121">
        <v>0</v>
      </c>
    </row>
    <row r="20" spans="1:27" x14ac:dyDescent="0.3">
      <c r="A20" s="125">
        <v>4019</v>
      </c>
      <c r="B20" s="19" t="s">
        <v>55</v>
      </c>
      <c r="C20" t="s">
        <v>862</v>
      </c>
      <c r="D20" s="563"/>
      <c r="E20" s="124">
        <v>1910482.01</v>
      </c>
      <c r="F20" s="563"/>
      <c r="G20" s="124">
        <v>4946470.41</v>
      </c>
      <c r="H20" s="124">
        <v>6856952.4199999999</v>
      </c>
      <c r="I20" s="124">
        <v>0</v>
      </c>
      <c r="J20" s="372"/>
      <c r="K20" s="563"/>
      <c r="L20" s="124">
        <v>4946470.41</v>
      </c>
      <c r="N20" s="124">
        <v>1910482.01</v>
      </c>
      <c r="P20" s="563"/>
      <c r="Q20" s="124">
        <v>0</v>
      </c>
      <c r="U20" s="122"/>
      <c r="V20" s="121">
        <v>106567.38</v>
      </c>
      <c r="X20" s="121">
        <v>141812.5</v>
      </c>
      <c r="Z20" s="122"/>
      <c r="AA20" s="121">
        <v>0</v>
      </c>
    </row>
    <row r="21" spans="1:27" x14ac:dyDescent="0.3">
      <c r="A21" s="125">
        <v>4069</v>
      </c>
      <c r="B21" s="19" t="s">
        <v>55</v>
      </c>
      <c r="C21" t="s">
        <v>1029</v>
      </c>
      <c r="D21" s="563"/>
      <c r="E21" s="124">
        <v>0</v>
      </c>
      <c r="F21" s="563">
        <v>0</v>
      </c>
      <c r="G21" s="124">
        <v>117742.51999999999</v>
      </c>
      <c r="H21" s="124">
        <v>117742.51999999999</v>
      </c>
      <c r="I21" s="124">
        <v>0</v>
      </c>
      <c r="J21" s="372"/>
      <c r="K21" s="563">
        <v>0</v>
      </c>
      <c r="L21" s="124">
        <v>117742.51999999999</v>
      </c>
      <c r="N21" s="124">
        <v>0</v>
      </c>
      <c r="P21" s="563"/>
      <c r="Q21" s="124">
        <v>0</v>
      </c>
      <c r="U21" s="122">
        <v>18191.72</v>
      </c>
      <c r="V21" s="121">
        <v>0</v>
      </c>
      <c r="X21" s="121">
        <v>63871.1</v>
      </c>
      <c r="Z21" s="122"/>
      <c r="AA21" s="121">
        <v>0</v>
      </c>
    </row>
    <row r="22" spans="1:27" x14ac:dyDescent="0.3">
      <c r="A22" s="125">
        <v>4127</v>
      </c>
      <c r="B22" s="19" t="s">
        <v>55</v>
      </c>
      <c r="C22" t="s">
        <v>804</v>
      </c>
      <c r="D22" s="563"/>
      <c r="E22" s="124">
        <v>1257366.26</v>
      </c>
      <c r="F22" s="563"/>
      <c r="G22" s="124">
        <v>2987146.5</v>
      </c>
      <c r="H22" s="124">
        <v>4244512.76</v>
      </c>
      <c r="I22" s="124">
        <v>0</v>
      </c>
      <c r="J22" s="372"/>
      <c r="K22" s="563"/>
      <c r="L22" s="124">
        <v>2987146.5</v>
      </c>
      <c r="N22" s="124">
        <v>1257366.26</v>
      </c>
      <c r="P22" s="563"/>
      <c r="Q22" s="124">
        <v>0</v>
      </c>
      <c r="U22" s="122"/>
      <c r="V22" s="121">
        <v>147687.41999999998</v>
      </c>
      <c r="X22" s="121">
        <v>119706.26</v>
      </c>
      <c r="Z22" s="122"/>
      <c r="AA22" s="121">
        <v>0</v>
      </c>
    </row>
    <row r="23" spans="1:27" x14ac:dyDescent="0.3">
      <c r="A23" s="125">
        <v>4129</v>
      </c>
      <c r="B23" s="19" t="s">
        <v>55</v>
      </c>
      <c r="C23" t="s">
        <v>848</v>
      </c>
      <c r="D23" s="563">
        <v>30801.3</v>
      </c>
      <c r="E23" s="124">
        <v>3934794.4299999997</v>
      </c>
      <c r="F23" s="563">
        <v>0</v>
      </c>
      <c r="G23" s="124">
        <v>9906769.0999999996</v>
      </c>
      <c r="H23" s="124">
        <v>13872364.829999998</v>
      </c>
      <c r="I23" s="124">
        <v>0</v>
      </c>
      <c r="J23" s="372"/>
      <c r="K23" s="563">
        <v>0</v>
      </c>
      <c r="L23" s="124">
        <v>9906769.0999999996</v>
      </c>
      <c r="N23" s="124">
        <v>3934794.4299999997</v>
      </c>
      <c r="P23" s="563">
        <v>30801.3</v>
      </c>
      <c r="Q23" s="124">
        <v>0</v>
      </c>
      <c r="U23" s="122">
        <v>7874.8</v>
      </c>
      <c r="V23" s="121">
        <v>66556.72</v>
      </c>
      <c r="X23" s="121">
        <v>343474.95999999996</v>
      </c>
      <c r="Z23" s="122">
        <v>0</v>
      </c>
      <c r="AA23" s="121">
        <v>0</v>
      </c>
    </row>
    <row r="24" spans="1:27" x14ac:dyDescent="0.3">
      <c r="A24" s="125">
        <v>4222</v>
      </c>
      <c r="B24" s="19" t="s">
        <v>55</v>
      </c>
      <c r="C24" t="s">
        <v>756</v>
      </c>
      <c r="D24" s="563"/>
      <c r="E24" s="124">
        <v>3898366.77</v>
      </c>
      <c r="F24" s="563"/>
      <c r="G24" s="124">
        <v>11798633.57</v>
      </c>
      <c r="H24" s="124">
        <v>15697000.34</v>
      </c>
      <c r="I24" s="124">
        <v>0</v>
      </c>
      <c r="J24" s="372"/>
      <c r="K24" s="563"/>
      <c r="L24" s="124">
        <v>11798633.57</v>
      </c>
      <c r="N24" s="124">
        <v>3898366.77</v>
      </c>
      <c r="P24" s="563"/>
      <c r="Q24" s="124">
        <v>0</v>
      </c>
      <c r="U24" s="122"/>
      <c r="V24" s="121">
        <v>295140.40999999997</v>
      </c>
      <c r="X24" s="121">
        <v>290700.48000000004</v>
      </c>
      <c r="Z24" s="122"/>
      <c r="AA24" s="121">
        <v>0</v>
      </c>
    </row>
    <row r="25" spans="1:27" x14ac:dyDescent="0.3">
      <c r="A25" s="125">
        <v>4228</v>
      </c>
      <c r="B25" s="19" t="s">
        <v>55</v>
      </c>
      <c r="C25" t="s">
        <v>755</v>
      </c>
      <c r="D25" s="563"/>
      <c r="E25" s="124">
        <v>3266643.3200000003</v>
      </c>
      <c r="F25" s="563"/>
      <c r="G25" s="124">
        <v>9448069.3599999994</v>
      </c>
      <c r="H25" s="124">
        <v>12714712.68</v>
      </c>
      <c r="I25" s="124">
        <v>0</v>
      </c>
      <c r="J25" s="372"/>
      <c r="K25" s="563"/>
      <c r="L25" s="124">
        <v>9448069.3599999994</v>
      </c>
      <c r="N25" s="124">
        <v>3266643.3200000003</v>
      </c>
      <c r="P25" s="563"/>
      <c r="Q25" s="124">
        <v>0</v>
      </c>
      <c r="U25" s="122"/>
      <c r="V25" s="121">
        <v>176216.57</v>
      </c>
      <c r="X25" s="121">
        <v>185453.32</v>
      </c>
      <c r="Z25" s="122"/>
      <c r="AA25" s="121">
        <v>0</v>
      </c>
    </row>
    <row r="26" spans="1:27" x14ac:dyDescent="0.3">
      <c r="A26" s="125">
        <v>4246</v>
      </c>
      <c r="B26" s="19" t="s">
        <v>55</v>
      </c>
      <c r="C26" t="s">
        <v>1007</v>
      </c>
      <c r="D26" s="563"/>
      <c r="E26" s="124">
        <v>20950411.16</v>
      </c>
      <c r="F26" s="563">
        <v>5625</v>
      </c>
      <c r="G26" s="124">
        <v>58513190.810000002</v>
      </c>
      <c r="H26" s="124">
        <v>79469226.969999999</v>
      </c>
      <c r="I26" s="124">
        <v>0</v>
      </c>
      <c r="J26" s="372"/>
      <c r="K26" s="563">
        <v>5625</v>
      </c>
      <c r="L26" s="124">
        <v>58513190.810000002</v>
      </c>
      <c r="N26" s="124">
        <v>20950411.16</v>
      </c>
      <c r="P26" s="563"/>
      <c r="Q26" s="124">
        <v>0</v>
      </c>
      <c r="U26" s="122">
        <v>44076.85</v>
      </c>
      <c r="V26" s="121">
        <v>1381445.19</v>
      </c>
      <c r="X26" s="121">
        <v>1845868.04</v>
      </c>
      <c r="Z26" s="122"/>
      <c r="AA26" s="121">
        <v>0</v>
      </c>
    </row>
    <row r="27" spans="1:27" x14ac:dyDescent="0.3">
      <c r="A27" s="125">
        <v>4801</v>
      </c>
      <c r="B27" s="19">
        <v>171</v>
      </c>
      <c r="C27" t="s">
        <v>1118</v>
      </c>
      <c r="D27" s="563"/>
      <c r="E27" s="124">
        <v>8042139.2799999993</v>
      </c>
      <c r="F27" s="563"/>
      <c r="G27" s="124">
        <v>7510013.3300000001</v>
      </c>
      <c r="H27" s="124">
        <v>15552152.609999999</v>
      </c>
      <c r="I27" s="124">
        <v>0</v>
      </c>
      <c r="J27" s="372"/>
      <c r="K27" s="563"/>
      <c r="L27" s="124">
        <v>7510013.3300000001</v>
      </c>
      <c r="N27" s="124">
        <v>8042139.2799999993</v>
      </c>
      <c r="P27" s="563"/>
      <c r="Q27" s="124">
        <v>0</v>
      </c>
      <c r="U27" s="122"/>
      <c r="V27" s="121">
        <v>41117.33</v>
      </c>
      <c r="X27" s="121">
        <v>223869.5</v>
      </c>
      <c r="Z27" s="122"/>
      <c r="AA27" s="121">
        <v>0</v>
      </c>
    </row>
    <row r="28" spans="1:27" x14ac:dyDescent="0.3">
      <c r="A28" s="125">
        <v>4901</v>
      </c>
      <c r="B28" s="19" t="s">
        <v>1039</v>
      </c>
      <c r="C28" t="s">
        <v>1215</v>
      </c>
      <c r="D28" s="563"/>
      <c r="E28" s="124">
        <v>638448.39999999991</v>
      </c>
      <c r="F28" s="563"/>
      <c r="G28" s="124">
        <v>1476824.3800000001</v>
      </c>
      <c r="H28" s="124">
        <v>2115272.7799999998</v>
      </c>
      <c r="I28" s="124">
        <v>0</v>
      </c>
      <c r="J28" s="372"/>
      <c r="K28" s="563"/>
      <c r="L28" s="124">
        <v>1476824.3800000001</v>
      </c>
      <c r="N28" s="124">
        <v>638448.39999999991</v>
      </c>
      <c r="P28" s="563"/>
      <c r="Q28" s="124">
        <v>0</v>
      </c>
      <c r="U28" s="122"/>
      <c r="V28" s="121">
        <v>117218.77</v>
      </c>
      <c r="X28" s="121">
        <v>70456.490000000005</v>
      </c>
      <c r="Z28" s="122"/>
      <c r="AA28" s="121">
        <v>0</v>
      </c>
    </row>
    <row r="29" spans="1:27" x14ac:dyDescent="0.3">
      <c r="A29" s="125">
        <v>5121</v>
      </c>
      <c r="B29" s="19" t="s">
        <v>52</v>
      </c>
      <c r="C29" t="s">
        <v>924</v>
      </c>
      <c r="D29" s="563"/>
      <c r="E29" s="124">
        <v>10369763.58</v>
      </c>
      <c r="F29" s="563">
        <v>0</v>
      </c>
      <c r="G29" s="124">
        <v>27119496.449999999</v>
      </c>
      <c r="H29" s="124">
        <v>37489260.030000001</v>
      </c>
      <c r="I29" s="124">
        <v>0</v>
      </c>
      <c r="J29" s="372"/>
      <c r="K29" s="563">
        <v>0</v>
      </c>
      <c r="L29" s="124">
        <v>27119496.449999999</v>
      </c>
      <c r="N29" s="124">
        <v>10369763.58</v>
      </c>
      <c r="P29" s="563"/>
      <c r="Q29" s="124">
        <v>0</v>
      </c>
      <c r="U29" s="122">
        <v>62499.18</v>
      </c>
      <c r="V29" s="121">
        <v>778140.09000000008</v>
      </c>
      <c r="X29" s="121">
        <v>700678.55</v>
      </c>
      <c r="Z29" s="122"/>
      <c r="AA29" s="121">
        <v>0</v>
      </c>
    </row>
    <row r="30" spans="1:27" x14ac:dyDescent="0.3">
      <c r="A30" s="125">
        <v>5313</v>
      </c>
      <c r="B30" s="19" t="s">
        <v>52</v>
      </c>
      <c r="C30" t="s">
        <v>780</v>
      </c>
      <c r="D30" s="563"/>
      <c r="E30" s="124">
        <v>1126956.17</v>
      </c>
      <c r="F30" s="563">
        <v>0</v>
      </c>
      <c r="G30" s="124">
        <v>2733692.98</v>
      </c>
      <c r="H30" s="124">
        <v>3860649.1499999994</v>
      </c>
      <c r="I30" s="124">
        <v>0</v>
      </c>
      <c r="J30" s="372"/>
      <c r="K30" s="563">
        <v>0</v>
      </c>
      <c r="L30" s="124">
        <v>2733692.98</v>
      </c>
      <c r="N30" s="124">
        <v>1126956.17</v>
      </c>
      <c r="P30" s="563"/>
      <c r="Q30" s="124">
        <v>0</v>
      </c>
      <c r="U30" s="122">
        <v>190.01</v>
      </c>
      <c r="V30" s="121">
        <v>66095.09</v>
      </c>
      <c r="X30" s="121">
        <v>163238.44999999998</v>
      </c>
      <c r="Z30" s="122"/>
      <c r="AA30" s="121">
        <v>0</v>
      </c>
    </row>
    <row r="31" spans="1:27" x14ac:dyDescent="0.3">
      <c r="A31" s="125">
        <v>5323</v>
      </c>
      <c r="B31" s="19" t="s">
        <v>52</v>
      </c>
      <c r="C31" t="s">
        <v>955</v>
      </c>
      <c r="D31" s="563"/>
      <c r="E31" s="124">
        <v>7583555.8700000001</v>
      </c>
      <c r="F31" s="563">
        <v>0</v>
      </c>
      <c r="G31" s="124">
        <v>19273369.369999997</v>
      </c>
      <c r="H31" s="124">
        <v>26856925.240000002</v>
      </c>
      <c r="I31" s="124">
        <v>0</v>
      </c>
      <c r="J31" s="372"/>
      <c r="K31" s="563">
        <v>0</v>
      </c>
      <c r="L31" s="124">
        <v>19273369.369999997</v>
      </c>
      <c r="N31" s="124">
        <v>7583555.8700000001</v>
      </c>
      <c r="P31" s="563"/>
      <c r="Q31" s="124">
        <v>0</v>
      </c>
      <c r="U31" s="122">
        <v>27325.32</v>
      </c>
      <c r="V31" s="121">
        <v>408440.03</v>
      </c>
      <c r="X31" s="121">
        <v>602301.61</v>
      </c>
      <c r="Z31" s="122"/>
      <c r="AA31" s="121">
        <v>0</v>
      </c>
    </row>
    <row r="32" spans="1:27" x14ac:dyDescent="0.3">
      <c r="A32" s="125">
        <v>5401</v>
      </c>
      <c r="B32" s="19" t="s">
        <v>52</v>
      </c>
      <c r="C32" t="s">
        <v>753</v>
      </c>
      <c r="D32" s="563">
        <v>7114.8</v>
      </c>
      <c r="E32" s="124">
        <v>2495920.98</v>
      </c>
      <c r="F32" s="563"/>
      <c r="G32" s="124">
        <v>4687522.41</v>
      </c>
      <c r="H32" s="124">
        <v>7190558.1899999995</v>
      </c>
      <c r="I32" s="124">
        <v>0</v>
      </c>
      <c r="J32" s="372"/>
      <c r="K32" s="563"/>
      <c r="L32" s="124">
        <v>4687522.41</v>
      </c>
      <c r="N32" s="124">
        <v>2495920.98</v>
      </c>
      <c r="P32" s="563">
        <v>7114.8</v>
      </c>
      <c r="Q32" s="124">
        <v>0</v>
      </c>
      <c r="U32" s="122"/>
      <c r="V32" s="121">
        <v>221380</v>
      </c>
      <c r="X32" s="121">
        <v>274415.31</v>
      </c>
      <c r="Z32" s="122">
        <v>0</v>
      </c>
      <c r="AA32" s="121">
        <v>0</v>
      </c>
    </row>
    <row r="33" spans="1:27" x14ac:dyDescent="0.3">
      <c r="A33" s="125">
        <v>5402</v>
      </c>
      <c r="B33" s="19" t="s">
        <v>52</v>
      </c>
      <c r="C33" t="s">
        <v>932</v>
      </c>
      <c r="D33" s="563"/>
      <c r="E33" s="124">
        <v>5005750.82</v>
      </c>
      <c r="F33" s="563">
        <v>0</v>
      </c>
      <c r="G33" s="124">
        <v>8339181.2300000004</v>
      </c>
      <c r="H33" s="124">
        <v>13344932.050000001</v>
      </c>
      <c r="I33" s="124">
        <v>0</v>
      </c>
      <c r="J33" s="372"/>
      <c r="K33" s="563">
        <v>0</v>
      </c>
      <c r="L33" s="124">
        <v>8339181.2300000004</v>
      </c>
      <c r="N33" s="124">
        <v>5005750.82</v>
      </c>
      <c r="P33" s="563"/>
      <c r="Q33" s="124">
        <v>0</v>
      </c>
      <c r="U33" s="122">
        <v>4396.38</v>
      </c>
      <c r="V33" s="121">
        <v>232695.11</v>
      </c>
      <c r="X33" s="121">
        <v>378787.82</v>
      </c>
      <c r="Z33" s="122"/>
      <c r="AA33" s="121">
        <v>0</v>
      </c>
    </row>
    <row r="34" spans="1:27" x14ac:dyDescent="0.3">
      <c r="A34" s="125">
        <v>5903</v>
      </c>
      <c r="B34" s="19" t="s">
        <v>52</v>
      </c>
      <c r="C34" t="s">
        <v>1102</v>
      </c>
      <c r="D34" s="563"/>
      <c r="E34" s="124">
        <v>1141309.5</v>
      </c>
      <c r="F34" s="563">
        <v>0</v>
      </c>
      <c r="G34" s="124">
        <v>615266.52</v>
      </c>
      <c r="H34" s="124">
        <v>1756576.02</v>
      </c>
      <c r="I34" s="124">
        <v>0</v>
      </c>
      <c r="J34" s="372"/>
      <c r="K34" s="563">
        <v>0</v>
      </c>
      <c r="L34" s="124">
        <v>615266.52</v>
      </c>
      <c r="N34" s="124">
        <v>1141309.5</v>
      </c>
      <c r="P34" s="563"/>
      <c r="Q34" s="124">
        <v>0</v>
      </c>
      <c r="U34" s="122">
        <v>62646.25</v>
      </c>
      <c r="V34" s="121">
        <v>0</v>
      </c>
      <c r="X34" s="121">
        <v>0</v>
      </c>
      <c r="Z34" s="122"/>
      <c r="AA34" s="121">
        <v>0</v>
      </c>
    </row>
    <row r="35" spans="1:27" x14ac:dyDescent="0.3">
      <c r="A35" s="125">
        <v>6037</v>
      </c>
      <c r="B35" s="19" t="s">
        <v>34</v>
      </c>
      <c r="C35" t="s">
        <v>995</v>
      </c>
      <c r="D35" s="563"/>
      <c r="E35" s="124">
        <v>70957372.540000007</v>
      </c>
      <c r="F35" s="563">
        <v>0</v>
      </c>
      <c r="G35" s="124">
        <v>180601269.15000001</v>
      </c>
      <c r="H35" s="124">
        <v>251558641.69</v>
      </c>
      <c r="I35" s="124">
        <v>0</v>
      </c>
      <c r="J35" s="372"/>
      <c r="K35" s="563">
        <v>0</v>
      </c>
      <c r="L35" s="124">
        <v>180601269.15000001</v>
      </c>
      <c r="N35" s="124">
        <v>70957372.540000007</v>
      </c>
      <c r="P35" s="563"/>
      <c r="Q35" s="124">
        <v>0</v>
      </c>
      <c r="U35" s="122">
        <v>222500.3</v>
      </c>
      <c r="V35" s="121">
        <v>6928700.8499999996</v>
      </c>
      <c r="X35" s="121">
        <v>4661576.1900000004</v>
      </c>
      <c r="Z35" s="122"/>
      <c r="AA35" s="121">
        <v>0</v>
      </c>
    </row>
    <row r="36" spans="1:27" x14ac:dyDescent="0.3">
      <c r="A36" s="125">
        <v>6098</v>
      </c>
      <c r="B36" s="19" t="s">
        <v>34</v>
      </c>
      <c r="C36" t="s">
        <v>830</v>
      </c>
      <c r="D36" s="563"/>
      <c r="E36" s="124">
        <v>4134493.8600000003</v>
      </c>
      <c r="F36" s="563">
        <v>0</v>
      </c>
      <c r="G36" s="124">
        <v>14056139.369999999</v>
      </c>
      <c r="H36" s="124">
        <v>18190633.23</v>
      </c>
      <c r="I36" s="124">
        <v>0</v>
      </c>
      <c r="J36" s="372"/>
      <c r="K36" s="563">
        <v>0</v>
      </c>
      <c r="L36" s="124">
        <v>14056139.369999999</v>
      </c>
      <c r="N36" s="124">
        <v>4134493.8600000003</v>
      </c>
      <c r="P36" s="563"/>
      <c r="Q36" s="124">
        <v>0</v>
      </c>
      <c r="U36" s="122">
        <v>2265</v>
      </c>
      <c r="V36" s="121">
        <v>477281.4</v>
      </c>
      <c r="X36" s="121">
        <v>442130.51</v>
      </c>
      <c r="Z36" s="122"/>
      <c r="AA36" s="121">
        <v>0</v>
      </c>
    </row>
    <row r="37" spans="1:27" x14ac:dyDescent="0.3">
      <c r="A37" s="125">
        <v>6101</v>
      </c>
      <c r="B37" s="19" t="s">
        <v>34</v>
      </c>
      <c r="C37" t="s">
        <v>846</v>
      </c>
      <c r="D37" s="563"/>
      <c r="E37" s="124">
        <v>3523397.8099999996</v>
      </c>
      <c r="F37" s="563">
        <v>102388.91</v>
      </c>
      <c r="G37" s="124">
        <v>12292640.460000001</v>
      </c>
      <c r="H37" s="124">
        <v>15918427.18</v>
      </c>
      <c r="I37" s="124">
        <v>0</v>
      </c>
      <c r="J37" s="372"/>
      <c r="K37" s="563">
        <v>102388.91</v>
      </c>
      <c r="L37" s="124">
        <v>12292640.460000001</v>
      </c>
      <c r="N37" s="124">
        <v>3523397.8099999996</v>
      </c>
      <c r="P37" s="563"/>
      <c r="Q37" s="124">
        <v>0</v>
      </c>
      <c r="U37" s="122">
        <v>0</v>
      </c>
      <c r="V37" s="121">
        <v>339623.62</v>
      </c>
      <c r="X37" s="121">
        <v>387879.33</v>
      </c>
      <c r="Z37" s="122"/>
      <c r="AA37" s="121">
        <v>0</v>
      </c>
    </row>
    <row r="38" spans="1:27" x14ac:dyDescent="0.3">
      <c r="A38" s="125">
        <v>6103</v>
      </c>
      <c r="B38" s="19" t="s">
        <v>34</v>
      </c>
      <c r="C38" t="s">
        <v>825</v>
      </c>
      <c r="D38" s="563"/>
      <c r="E38" s="124">
        <v>517264.82999999996</v>
      </c>
      <c r="F38" s="563">
        <v>0</v>
      </c>
      <c r="G38" s="124">
        <v>1081797.6299999999</v>
      </c>
      <c r="H38" s="124">
        <v>1599062.46</v>
      </c>
      <c r="I38" s="124">
        <v>0</v>
      </c>
      <c r="J38" s="372"/>
      <c r="K38" s="563">
        <v>0</v>
      </c>
      <c r="L38" s="124">
        <v>1081797.6299999999</v>
      </c>
      <c r="N38" s="124">
        <v>517264.82999999996</v>
      </c>
      <c r="P38" s="563"/>
      <c r="Q38" s="124">
        <v>0</v>
      </c>
      <c r="U38" s="122">
        <v>2000</v>
      </c>
      <c r="V38" s="121">
        <v>17645.759999999998</v>
      </c>
      <c r="X38" s="121">
        <v>40488.959999999999</v>
      </c>
      <c r="Z38" s="122"/>
      <c r="AA38" s="121">
        <v>0</v>
      </c>
    </row>
    <row r="39" spans="1:27" x14ac:dyDescent="0.3">
      <c r="A39" s="125">
        <v>6112</v>
      </c>
      <c r="B39" s="19" t="s">
        <v>34</v>
      </c>
      <c r="C39" t="s">
        <v>1003</v>
      </c>
      <c r="D39" s="563"/>
      <c r="E39" s="124">
        <v>7900013.6200000001</v>
      </c>
      <c r="F39" s="563"/>
      <c r="G39" s="124">
        <v>20420219.780000001</v>
      </c>
      <c r="H39" s="124">
        <v>28320233.399999999</v>
      </c>
      <c r="I39" s="124">
        <v>0</v>
      </c>
      <c r="J39" s="372"/>
      <c r="K39" s="563"/>
      <c r="L39" s="124">
        <v>20420219.780000001</v>
      </c>
      <c r="N39" s="124">
        <v>7900013.6200000001</v>
      </c>
      <c r="P39" s="563"/>
      <c r="Q39" s="124">
        <v>0</v>
      </c>
      <c r="U39" s="122"/>
      <c r="V39" s="121">
        <v>566191.4</v>
      </c>
      <c r="X39" s="121">
        <v>670151.14</v>
      </c>
      <c r="Z39" s="122"/>
      <c r="AA39" s="121">
        <v>0</v>
      </c>
    </row>
    <row r="40" spans="1:27" x14ac:dyDescent="0.3">
      <c r="A40" s="125">
        <v>6114</v>
      </c>
      <c r="B40" s="19" t="s">
        <v>34</v>
      </c>
      <c r="C40" t="s">
        <v>809</v>
      </c>
      <c r="D40" s="563">
        <v>29539.39</v>
      </c>
      <c r="E40" s="124">
        <v>62310826.700000003</v>
      </c>
      <c r="F40" s="563">
        <v>25885.47</v>
      </c>
      <c r="G40" s="124">
        <v>197719515.35999998</v>
      </c>
      <c r="H40" s="124">
        <v>260085766.91999999</v>
      </c>
      <c r="I40" s="124">
        <v>0</v>
      </c>
      <c r="J40" s="372"/>
      <c r="K40" s="563">
        <v>25885.47</v>
      </c>
      <c r="L40" s="124">
        <v>197719515.35999998</v>
      </c>
      <c r="N40" s="124">
        <v>62310826.700000003</v>
      </c>
      <c r="P40" s="563">
        <v>29539.39</v>
      </c>
      <c r="Q40" s="124">
        <v>0</v>
      </c>
      <c r="U40" s="122">
        <v>57159.92</v>
      </c>
      <c r="V40" s="121">
        <v>6430160.4100000001</v>
      </c>
      <c r="X40" s="121">
        <v>4097689.02</v>
      </c>
      <c r="Z40" s="122">
        <v>0</v>
      </c>
      <c r="AA40" s="121">
        <v>0</v>
      </c>
    </row>
    <row r="41" spans="1:27" x14ac:dyDescent="0.3">
      <c r="A41" s="125">
        <v>6117</v>
      </c>
      <c r="B41" s="19" t="s">
        <v>34</v>
      </c>
      <c r="C41" t="s">
        <v>752</v>
      </c>
      <c r="D41" s="563"/>
      <c r="E41" s="124">
        <v>21427425.700000003</v>
      </c>
      <c r="F41" s="563">
        <v>0</v>
      </c>
      <c r="G41" s="124">
        <v>58224795.829999998</v>
      </c>
      <c r="H41" s="124">
        <v>79652221.530000001</v>
      </c>
      <c r="I41" s="124">
        <v>0</v>
      </c>
      <c r="J41" s="372"/>
      <c r="K41" s="563">
        <v>0</v>
      </c>
      <c r="L41" s="124">
        <v>58224795.829999998</v>
      </c>
      <c r="N41" s="124">
        <v>21427425.700000003</v>
      </c>
      <c r="P41" s="563"/>
      <c r="Q41" s="124">
        <v>0</v>
      </c>
      <c r="U41" s="122">
        <v>30341.86</v>
      </c>
      <c r="V41" s="121">
        <v>1248278.3</v>
      </c>
      <c r="X41" s="121">
        <v>1757495.89</v>
      </c>
      <c r="Z41" s="122"/>
      <c r="AA41" s="121">
        <v>0</v>
      </c>
    </row>
    <row r="42" spans="1:27" x14ac:dyDescent="0.3">
      <c r="A42" s="125">
        <v>6119</v>
      </c>
      <c r="B42" s="19" t="s">
        <v>34</v>
      </c>
      <c r="C42" t="s">
        <v>739</v>
      </c>
      <c r="D42" s="563"/>
      <c r="E42" s="124">
        <v>33792167.660000004</v>
      </c>
      <c r="F42" s="563">
        <v>0</v>
      </c>
      <c r="G42" s="124">
        <v>97093197.409999996</v>
      </c>
      <c r="H42" s="124">
        <v>130885365.06999999</v>
      </c>
      <c r="I42" s="124">
        <v>0</v>
      </c>
      <c r="J42" s="372"/>
      <c r="K42" s="563">
        <v>0</v>
      </c>
      <c r="L42" s="124">
        <v>97093197.409999996</v>
      </c>
      <c r="N42" s="124">
        <v>33792167.660000004</v>
      </c>
      <c r="P42" s="563"/>
      <c r="Q42" s="124">
        <v>0</v>
      </c>
      <c r="U42" s="122">
        <v>5018.1099999999997</v>
      </c>
      <c r="V42" s="121">
        <v>2668777.0299999998</v>
      </c>
      <c r="X42" s="121">
        <v>2007057.02</v>
      </c>
      <c r="Z42" s="122"/>
      <c r="AA42" s="121">
        <v>0</v>
      </c>
    </row>
    <row r="43" spans="1:27" x14ac:dyDescent="0.3">
      <c r="A43" s="125">
        <v>6122</v>
      </c>
      <c r="B43" s="19" t="s">
        <v>34</v>
      </c>
      <c r="C43" t="s">
        <v>941</v>
      </c>
      <c r="D43" s="563"/>
      <c r="E43" s="124">
        <v>7625198.9299999997</v>
      </c>
      <c r="F43" s="563">
        <v>0</v>
      </c>
      <c r="G43" s="124">
        <v>28755008.27</v>
      </c>
      <c r="H43" s="124">
        <v>36380207.199999996</v>
      </c>
      <c r="I43" s="124">
        <v>0</v>
      </c>
      <c r="J43" s="372"/>
      <c r="K43" s="563">
        <v>0</v>
      </c>
      <c r="L43" s="124">
        <v>28755008.27</v>
      </c>
      <c r="N43" s="124">
        <v>7625198.9299999997</v>
      </c>
      <c r="P43" s="563"/>
      <c r="Q43" s="124">
        <v>0</v>
      </c>
      <c r="U43" s="122">
        <v>7808.36</v>
      </c>
      <c r="V43" s="121">
        <v>871931.31</v>
      </c>
      <c r="X43" s="121">
        <v>798587.9</v>
      </c>
      <c r="Z43" s="122"/>
      <c r="AA43" s="121">
        <v>0</v>
      </c>
    </row>
    <row r="44" spans="1:27" x14ac:dyDescent="0.3">
      <c r="A44" s="125">
        <v>6801</v>
      </c>
      <c r="B44" s="19" t="s">
        <v>34</v>
      </c>
      <c r="C44" t="s">
        <v>798</v>
      </c>
      <c r="D44" s="563"/>
      <c r="E44" s="124">
        <v>37989240.560000002</v>
      </c>
      <c r="F44" s="563"/>
      <c r="G44" s="124">
        <v>13536744.129999999</v>
      </c>
      <c r="H44" s="124">
        <v>51525984.689999998</v>
      </c>
      <c r="I44" s="124">
        <v>0</v>
      </c>
      <c r="J44" s="372"/>
      <c r="K44" s="563"/>
      <c r="L44" s="124">
        <v>13536744.129999999</v>
      </c>
      <c r="N44" s="124">
        <v>37989240.560000002</v>
      </c>
      <c r="P44" s="563"/>
      <c r="Q44" s="124">
        <v>0</v>
      </c>
      <c r="U44" s="122"/>
      <c r="V44" s="121">
        <v>34525.03</v>
      </c>
      <c r="X44" s="121">
        <v>997713.75</v>
      </c>
      <c r="Z44" s="122"/>
      <c r="AA44" s="121">
        <v>0</v>
      </c>
    </row>
    <row r="45" spans="1:27" x14ac:dyDescent="0.3">
      <c r="A45" s="125">
        <v>6901</v>
      </c>
      <c r="B45" s="19" t="s">
        <v>1039</v>
      </c>
      <c r="C45" t="s">
        <v>1201</v>
      </c>
      <c r="D45" s="563"/>
      <c r="E45" s="124">
        <v>290034.39</v>
      </c>
      <c r="F45" s="563"/>
      <c r="G45" s="124">
        <v>596280.71</v>
      </c>
      <c r="H45" s="124">
        <v>886315.10000000009</v>
      </c>
      <c r="I45" s="124">
        <v>0</v>
      </c>
      <c r="J45" s="372"/>
      <c r="K45" s="563"/>
      <c r="L45" s="124">
        <v>596280.71</v>
      </c>
      <c r="N45" s="124">
        <v>290034.39</v>
      </c>
      <c r="P45" s="563"/>
      <c r="Q45" s="124">
        <v>0</v>
      </c>
      <c r="U45" s="122"/>
      <c r="V45" s="121">
        <v>2966.44</v>
      </c>
      <c r="X45" s="121">
        <v>0</v>
      </c>
      <c r="Z45" s="122"/>
      <c r="AA45" s="121">
        <v>0</v>
      </c>
    </row>
    <row r="46" spans="1:27" x14ac:dyDescent="0.3">
      <c r="A46" s="125">
        <v>7002</v>
      </c>
      <c r="B46" s="19" t="s">
        <v>26</v>
      </c>
      <c r="C46" t="s">
        <v>787</v>
      </c>
      <c r="D46" s="563"/>
      <c r="E46" s="124">
        <v>1242598.06</v>
      </c>
      <c r="F46" s="563">
        <v>0</v>
      </c>
      <c r="G46" s="124">
        <v>2633333.36</v>
      </c>
      <c r="H46" s="124">
        <v>3875931.42</v>
      </c>
      <c r="I46" s="124">
        <v>0</v>
      </c>
      <c r="J46" s="372"/>
      <c r="K46" s="563">
        <v>0</v>
      </c>
      <c r="L46" s="124">
        <v>2633333.36</v>
      </c>
      <c r="N46" s="124">
        <v>1242598.06</v>
      </c>
      <c r="P46" s="563"/>
      <c r="Q46" s="124">
        <v>0</v>
      </c>
      <c r="U46" s="122">
        <v>11333</v>
      </c>
      <c r="V46" s="121">
        <v>49521.05</v>
      </c>
      <c r="X46" s="121">
        <v>170123.55</v>
      </c>
      <c r="Z46" s="122"/>
      <c r="AA46" s="121">
        <v>0</v>
      </c>
    </row>
    <row r="47" spans="1:27" x14ac:dyDescent="0.3">
      <c r="A47" s="125">
        <v>7035</v>
      </c>
      <c r="B47" s="19" t="s">
        <v>26</v>
      </c>
      <c r="C47" t="s">
        <v>972</v>
      </c>
      <c r="D47" s="563"/>
      <c r="E47" s="124">
        <v>138731.29999999999</v>
      </c>
      <c r="F47" s="563"/>
      <c r="G47" s="124">
        <v>394795.5</v>
      </c>
      <c r="H47" s="124">
        <v>533526.80000000005</v>
      </c>
      <c r="I47" s="124">
        <v>0</v>
      </c>
      <c r="J47" s="372"/>
      <c r="K47" s="563"/>
      <c r="L47" s="124">
        <v>394795.5</v>
      </c>
      <c r="N47" s="124">
        <v>138731.29999999999</v>
      </c>
      <c r="P47" s="563"/>
      <c r="Q47" s="124">
        <v>0</v>
      </c>
      <c r="U47" s="122"/>
      <c r="V47" s="121">
        <v>5867.31</v>
      </c>
      <c r="X47" s="121">
        <v>21518.36</v>
      </c>
      <c r="Z47" s="122"/>
      <c r="AA47" s="121">
        <v>0</v>
      </c>
    </row>
    <row r="48" spans="1:27" x14ac:dyDescent="0.3">
      <c r="A48" s="125">
        <v>8122</v>
      </c>
      <c r="B48" s="19" t="s">
        <v>34</v>
      </c>
      <c r="C48" t="s">
        <v>855</v>
      </c>
      <c r="D48" s="563">
        <v>70882.899999999994</v>
      </c>
      <c r="E48" s="124">
        <v>19634460.25</v>
      </c>
      <c r="F48" s="563">
        <v>0</v>
      </c>
      <c r="G48" s="124">
        <v>46531522.969999999</v>
      </c>
      <c r="H48" s="124">
        <v>66236866.120000005</v>
      </c>
      <c r="I48" s="124">
        <v>0</v>
      </c>
      <c r="J48" s="372"/>
      <c r="K48" s="563">
        <v>0</v>
      </c>
      <c r="L48" s="124">
        <v>46531522.969999999</v>
      </c>
      <c r="N48" s="124">
        <v>19634460.25</v>
      </c>
      <c r="P48" s="563">
        <v>70882.899999999994</v>
      </c>
      <c r="Q48" s="124">
        <v>0</v>
      </c>
      <c r="U48" s="122">
        <v>74113.2</v>
      </c>
      <c r="V48" s="121">
        <v>1434880.8099999998</v>
      </c>
      <c r="X48" s="121">
        <v>1686242.22</v>
      </c>
      <c r="Z48" s="122">
        <v>0</v>
      </c>
      <c r="AA48" s="121">
        <v>0</v>
      </c>
    </row>
    <row r="49" spans="1:27" x14ac:dyDescent="0.3">
      <c r="A49" s="125">
        <v>8130</v>
      </c>
      <c r="B49" s="19" t="s">
        <v>34</v>
      </c>
      <c r="C49" t="s">
        <v>989</v>
      </c>
      <c r="D49" s="563"/>
      <c r="E49" s="124">
        <v>1802332.5699999998</v>
      </c>
      <c r="F49" s="563"/>
      <c r="G49" s="124">
        <v>4038902.01</v>
      </c>
      <c r="H49" s="124">
        <v>5841234.5800000001</v>
      </c>
      <c r="I49" s="124">
        <v>0</v>
      </c>
      <c r="J49" s="372"/>
      <c r="K49" s="563"/>
      <c r="L49" s="124">
        <v>4038902.01</v>
      </c>
      <c r="N49" s="124">
        <v>1802332.5699999998</v>
      </c>
      <c r="P49" s="563"/>
      <c r="Q49" s="124">
        <v>0</v>
      </c>
      <c r="U49" s="122"/>
      <c r="V49" s="121">
        <v>123938.16</v>
      </c>
      <c r="X49" s="121">
        <v>183447.14</v>
      </c>
      <c r="Z49" s="122"/>
      <c r="AA49" s="121">
        <v>0</v>
      </c>
    </row>
    <row r="50" spans="1:27" x14ac:dyDescent="0.3">
      <c r="A50" s="125">
        <v>8401</v>
      </c>
      <c r="B50" s="19" t="s">
        <v>34</v>
      </c>
      <c r="C50" t="s">
        <v>757</v>
      </c>
      <c r="D50" s="563"/>
      <c r="E50" s="124">
        <v>3621768.06</v>
      </c>
      <c r="F50" s="563"/>
      <c r="G50" s="124">
        <v>9494787.3099999987</v>
      </c>
      <c r="H50" s="124">
        <v>13116555.370000001</v>
      </c>
      <c r="I50" s="124">
        <v>0</v>
      </c>
      <c r="J50" s="372"/>
      <c r="K50" s="563"/>
      <c r="L50" s="124">
        <v>9494787.3099999987</v>
      </c>
      <c r="N50" s="124">
        <v>3621768.06</v>
      </c>
      <c r="P50" s="563"/>
      <c r="Q50" s="124">
        <v>0</v>
      </c>
      <c r="U50" s="122"/>
      <c r="V50" s="121">
        <v>484688.69999999995</v>
      </c>
      <c r="X50" s="121">
        <v>293249.02999999997</v>
      </c>
      <c r="Z50" s="122"/>
      <c r="AA50" s="121">
        <v>0</v>
      </c>
    </row>
    <row r="51" spans="1:27" x14ac:dyDescent="0.3">
      <c r="A51" s="125">
        <v>8402</v>
      </c>
      <c r="B51" s="19" t="s">
        <v>34</v>
      </c>
      <c r="C51" t="s">
        <v>837</v>
      </c>
      <c r="D51" s="563"/>
      <c r="E51" s="124">
        <v>2274584.79</v>
      </c>
      <c r="F51" s="563"/>
      <c r="G51" s="124">
        <v>6527859.0299999993</v>
      </c>
      <c r="H51" s="124">
        <v>8802443.8200000003</v>
      </c>
      <c r="I51" s="124">
        <v>0</v>
      </c>
      <c r="J51" s="372"/>
      <c r="K51" s="563"/>
      <c r="L51" s="124">
        <v>6527859.0299999993</v>
      </c>
      <c r="N51" s="124">
        <v>2274584.79</v>
      </c>
      <c r="P51" s="563"/>
      <c r="Q51" s="124">
        <v>0</v>
      </c>
      <c r="U51" s="122"/>
      <c r="V51" s="121">
        <v>313221.74</v>
      </c>
      <c r="X51" s="121">
        <v>378893.83999999997</v>
      </c>
      <c r="Z51" s="122"/>
      <c r="AA51" s="121">
        <v>0</v>
      </c>
    </row>
    <row r="52" spans="1:27" x14ac:dyDescent="0.3">
      <c r="A52" s="125">
        <v>8404</v>
      </c>
      <c r="B52" s="19" t="s">
        <v>34</v>
      </c>
      <c r="C52" t="s">
        <v>1019</v>
      </c>
      <c r="D52" s="563"/>
      <c r="E52" s="124">
        <v>11007690.449999999</v>
      </c>
      <c r="F52" s="563">
        <v>0</v>
      </c>
      <c r="G52" s="124">
        <v>15957299.83</v>
      </c>
      <c r="H52" s="124">
        <v>26964990.280000001</v>
      </c>
      <c r="I52" s="124">
        <v>0</v>
      </c>
      <c r="J52" s="372"/>
      <c r="K52" s="563">
        <v>0</v>
      </c>
      <c r="L52" s="124">
        <v>15957299.83</v>
      </c>
      <c r="N52" s="124">
        <v>11007690.449999999</v>
      </c>
      <c r="P52" s="563"/>
      <c r="Q52" s="124">
        <v>0</v>
      </c>
      <c r="U52" s="122">
        <v>3622.4</v>
      </c>
      <c r="V52" s="121">
        <v>455117.69999999995</v>
      </c>
      <c r="X52" s="121">
        <v>595515.8600000001</v>
      </c>
      <c r="Z52" s="122"/>
      <c r="AA52" s="121">
        <v>0</v>
      </c>
    </row>
    <row r="53" spans="1:27" x14ac:dyDescent="0.3">
      <c r="A53" s="125">
        <v>8458</v>
      </c>
      <c r="B53" s="19" t="s">
        <v>34</v>
      </c>
      <c r="C53" t="s">
        <v>839</v>
      </c>
      <c r="D53" s="563">
        <v>14231.97</v>
      </c>
      <c r="E53" s="124">
        <v>14485245.09</v>
      </c>
      <c r="F53" s="563">
        <v>0</v>
      </c>
      <c r="G53" s="124">
        <v>35297023.039999999</v>
      </c>
      <c r="H53" s="124">
        <v>49796500.100000001</v>
      </c>
      <c r="I53" s="124">
        <v>0</v>
      </c>
      <c r="J53" s="372"/>
      <c r="K53" s="563">
        <v>0</v>
      </c>
      <c r="L53" s="124">
        <v>35297023.039999999</v>
      </c>
      <c r="N53" s="124">
        <v>14485245.09</v>
      </c>
      <c r="P53" s="563">
        <v>14231.97</v>
      </c>
      <c r="Q53" s="124">
        <v>0</v>
      </c>
      <c r="U53" s="122">
        <v>235746.59</v>
      </c>
      <c r="V53" s="121">
        <v>1139966.25</v>
      </c>
      <c r="X53" s="121">
        <v>1161432.2400000002</v>
      </c>
      <c r="Z53" s="122">
        <v>0</v>
      </c>
      <c r="AA53" s="121">
        <v>0</v>
      </c>
    </row>
    <row r="54" spans="1:27" x14ac:dyDescent="0.3">
      <c r="A54" s="125">
        <v>9013</v>
      </c>
      <c r="B54" s="19" t="s">
        <v>55</v>
      </c>
      <c r="C54" t="s">
        <v>911</v>
      </c>
      <c r="D54" s="563"/>
      <c r="E54" s="124">
        <v>757312.5</v>
      </c>
      <c r="F54" s="563">
        <v>0</v>
      </c>
      <c r="G54" s="124">
        <v>915583.2</v>
      </c>
      <c r="H54" s="124">
        <v>1672895.7</v>
      </c>
      <c r="I54" s="124">
        <v>0</v>
      </c>
      <c r="J54" s="372"/>
      <c r="K54" s="563">
        <v>0</v>
      </c>
      <c r="L54" s="124">
        <v>915583.2</v>
      </c>
      <c r="N54" s="124">
        <v>757312.5</v>
      </c>
      <c r="P54" s="563"/>
      <c r="Q54" s="124">
        <v>0</v>
      </c>
      <c r="U54" s="122">
        <v>5671.15</v>
      </c>
      <c r="V54" s="121">
        <v>16289.23</v>
      </c>
      <c r="X54" s="121">
        <v>44758.33</v>
      </c>
      <c r="Z54" s="122"/>
      <c r="AA54" s="121">
        <v>0</v>
      </c>
    </row>
    <row r="55" spans="1:27" x14ac:dyDescent="0.3">
      <c r="A55" s="125">
        <v>9075</v>
      </c>
      <c r="B55" s="19" t="s">
        <v>55</v>
      </c>
      <c r="C55" t="s">
        <v>749</v>
      </c>
      <c r="D55" s="563"/>
      <c r="E55" s="124">
        <v>2654762.6</v>
      </c>
      <c r="F55" s="563"/>
      <c r="G55" s="124">
        <v>4736641.93</v>
      </c>
      <c r="H55" s="124">
        <v>7391404.5300000003</v>
      </c>
      <c r="I55" s="124">
        <v>0</v>
      </c>
      <c r="J55" s="372"/>
      <c r="K55" s="563"/>
      <c r="L55" s="124">
        <v>4736641.93</v>
      </c>
      <c r="N55" s="124">
        <v>2654762.6</v>
      </c>
      <c r="P55" s="563"/>
      <c r="Q55" s="124">
        <v>0</v>
      </c>
      <c r="U55" s="122"/>
      <c r="V55" s="121">
        <v>200125.84000000003</v>
      </c>
      <c r="X55" s="121">
        <v>185867.19</v>
      </c>
      <c r="Z55" s="122"/>
      <c r="AA55" s="121">
        <v>0</v>
      </c>
    </row>
    <row r="56" spans="1:27" x14ac:dyDescent="0.3">
      <c r="A56" s="125">
        <v>9102</v>
      </c>
      <c r="B56" s="19" t="s">
        <v>55</v>
      </c>
      <c r="C56" t="s">
        <v>915</v>
      </c>
      <c r="D56" s="563"/>
      <c r="E56" s="124">
        <v>164712.35</v>
      </c>
      <c r="F56" s="563"/>
      <c r="G56" s="124">
        <v>194021.48</v>
      </c>
      <c r="H56" s="124">
        <v>358733.83</v>
      </c>
      <c r="I56" s="124">
        <v>0</v>
      </c>
      <c r="J56" s="372"/>
      <c r="K56" s="563"/>
      <c r="L56" s="124">
        <v>194021.48</v>
      </c>
      <c r="N56" s="124">
        <v>164712.35</v>
      </c>
      <c r="P56" s="563"/>
      <c r="Q56" s="124">
        <v>0</v>
      </c>
      <c r="U56" s="122"/>
      <c r="V56" s="121">
        <v>1025.8699999999999</v>
      </c>
      <c r="X56" s="121">
        <v>8351.61</v>
      </c>
      <c r="Z56" s="122"/>
      <c r="AA56" s="121">
        <v>0</v>
      </c>
    </row>
    <row r="57" spans="1:27" x14ac:dyDescent="0.3">
      <c r="A57" s="125">
        <v>9206</v>
      </c>
      <c r="B57" s="19" t="s">
        <v>55</v>
      </c>
      <c r="C57" t="s">
        <v>792</v>
      </c>
      <c r="D57" s="563">
        <v>44263.78</v>
      </c>
      <c r="E57" s="124">
        <v>14864791.559999999</v>
      </c>
      <c r="F57" s="563">
        <v>0</v>
      </c>
      <c r="G57" s="124">
        <v>45846906.870000005</v>
      </c>
      <c r="H57" s="124">
        <v>60755962.209999993</v>
      </c>
      <c r="I57" s="124">
        <v>0</v>
      </c>
      <c r="J57" s="372"/>
      <c r="K57" s="563">
        <v>0</v>
      </c>
      <c r="L57" s="124">
        <v>45846906.870000005</v>
      </c>
      <c r="N57" s="124">
        <v>14864791.559999999</v>
      </c>
      <c r="P57" s="563">
        <v>44263.78</v>
      </c>
      <c r="Q57" s="124">
        <v>0</v>
      </c>
      <c r="U57" s="122">
        <v>1622.06</v>
      </c>
      <c r="V57" s="121">
        <v>1296851.08</v>
      </c>
      <c r="X57" s="121">
        <v>1137235.8499999999</v>
      </c>
      <c r="Z57" s="122">
        <v>0</v>
      </c>
      <c r="AA57" s="121">
        <v>0</v>
      </c>
    </row>
    <row r="58" spans="1:27" x14ac:dyDescent="0.3">
      <c r="A58" s="125">
        <v>9207</v>
      </c>
      <c r="B58" s="19" t="s">
        <v>55</v>
      </c>
      <c r="C58" t="s">
        <v>861</v>
      </c>
      <c r="D58" s="563"/>
      <c r="E58" s="124">
        <v>465554.08</v>
      </c>
      <c r="F58" s="563">
        <v>0</v>
      </c>
      <c r="G58" s="124">
        <v>1166449.8399999999</v>
      </c>
      <c r="H58" s="124">
        <v>1632003.92</v>
      </c>
      <c r="I58" s="124">
        <v>0</v>
      </c>
      <c r="J58" s="372"/>
      <c r="K58" s="563">
        <v>0</v>
      </c>
      <c r="L58" s="124">
        <v>1166449.8399999999</v>
      </c>
      <c r="N58" s="124">
        <v>465554.08</v>
      </c>
      <c r="P58" s="563"/>
      <c r="Q58" s="124">
        <v>0</v>
      </c>
      <c r="U58" s="122">
        <v>2028</v>
      </c>
      <c r="V58" s="121">
        <v>36997.83</v>
      </c>
      <c r="X58" s="121">
        <v>49498.240000000005</v>
      </c>
      <c r="Z58" s="122"/>
      <c r="AA58" s="121">
        <v>0</v>
      </c>
    </row>
    <row r="59" spans="1:27" x14ac:dyDescent="0.3">
      <c r="A59" s="125">
        <v>9209</v>
      </c>
      <c r="B59" s="19" t="s">
        <v>55</v>
      </c>
      <c r="C59" t="s">
        <v>1005</v>
      </c>
      <c r="D59" s="563"/>
      <c r="E59" s="124">
        <v>834799.19000000006</v>
      </c>
      <c r="F59" s="563"/>
      <c r="G59" s="124">
        <v>1692650.15</v>
      </c>
      <c r="H59" s="124">
        <v>2527449.34</v>
      </c>
      <c r="I59" s="124">
        <v>0</v>
      </c>
      <c r="J59" s="372"/>
      <c r="K59" s="563"/>
      <c r="L59" s="124">
        <v>1692650.15</v>
      </c>
      <c r="N59" s="124">
        <v>834799.19000000006</v>
      </c>
      <c r="P59" s="563"/>
      <c r="Q59" s="124">
        <v>0</v>
      </c>
      <c r="U59" s="122"/>
      <c r="V59" s="121">
        <v>27163.1</v>
      </c>
      <c r="X59" s="121">
        <v>195135.79</v>
      </c>
      <c r="Z59" s="122"/>
      <c r="AA59" s="121">
        <v>0</v>
      </c>
    </row>
    <row r="60" spans="1:27" x14ac:dyDescent="0.3">
      <c r="A60" s="125">
        <v>10003</v>
      </c>
      <c r="B60" s="19" t="s">
        <v>18</v>
      </c>
      <c r="C60" t="s">
        <v>838</v>
      </c>
      <c r="D60" s="563"/>
      <c r="E60" s="124">
        <v>306778.5</v>
      </c>
      <c r="F60" s="563"/>
      <c r="G60" s="124">
        <v>249376.21</v>
      </c>
      <c r="H60" s="124">
        <v>556154.71</v>
      </c>
      <c r="I60" s="124">
        <v>0</v>
      </c>
      <c r="J60" s="372"/>
      <c r="K60" s="563"/>
      <c r="L60" s="124">
        <v>249376.21</v>
      </c>
      <c r="N60" s="124">
        <v>306778.5</v>
      </c>
      <c r="P60" s="563"/>
      <c r="Q60" s="124">
        <v>0</v>
      </c>
      <c r="U60" s="122"/>
      <c r="V60" s="121">
        <v>0</v>
      </c>
      <c r="X60" s="121">
        <v>47930.06</v>
      </c>
      <c r="Z60" s="122"/>
      <c r="AA60" s="121">
        <v>0</v>
      </c>
    </row>
    <row r="61" spans="1:27" x14ac:dyDescent="0.3">
      <c r="A61" s="125">
        <v>10050</v>
      </c>
      <c r="B61" s="19" t="s">
        <v>18</v>
      </c>
      <c r="C61" t="s">
        <v>782</v>
      </c>
      <c r="D61" s="563"/>
      <c r="E61" s="124">
        <v>924397.32000000007</v>
      </c>
      <c r="F61" s="563"/>
      <c r="G61" s="124">
        <v>1933766.54</v>
      </c>
      <c r="H61" s="124">
        <v>2858163.8600000003</v>
      </c>
      <c r="I61" s="124">
        <v>0</v>
      </c>
      <c r="J61" s="372"/>
      <c r="K61" s="563"/>
      <c r="L61" s="124">
        <v>1933766.54</v>
      </c>
      <c r="N61" s="124">
        <v>924397.32000000007</v>
      </c>
      <c r="P61" s="563"/>
      <c r="Q61" s="124">
        <v>0</v>
      </c>
      <c r="U61" s="122"/>
      <c r="V61" s="121">
        <v>19668.989999999998</v>
      </c>
      <c r="X61" s="121">
        <v>190611.69999999998</v>
      </c>
      <c r="Z61" s="122"/>
      <c r="AA61" s="121">
        <v>0</v>
      </c>
    </row>
    <row r="62" spans="1:27" x14ac:dyDescent="0.3">
      <c r="A62" s="125">
        <v>10065</v>
      </c>
      <c r="B62" s="19" t="s">
        <v>18</v>
      </c>
      <c r="C62" t="s">
        <v>910</v>
      </c>
      <c r="D62" s="563"/>
      <c r="E62" s="124">
        <v>219526.99</v>
      </c>
      <c r="F62" s="563"/>
      <c r="G62" s="124">
        <v>307478.3</v>
      </c>
      <c r="H62" s="124">
        <v>527005.29</v>
      </c>
      <c r="I62" s="124">
        <v>0</v>
      </c>
      <c r="J62" s="372"/>
      <c r="K62" s="563"/>
      <c r="L62" s="124">
        <v>307478.3</v>
      </c>
      <c r="N62" s="124">
        <v>219526.99</v>
      </c>
      <c r="P62" s="563"/>
      <c r="Q62" s="124">
        <v>0</v>
      </c>
      <c r="U62" s="122"/>
      <c r="V62" s="121">
        <v>160175.60999999999</v>
      </c>
      <c r="X62" s="121">
        <v>50279.519999999997</v>
      </c>
      <c r="Z62" s="122"/>
      <c r="AA62" s="121">
        <v>0</v>
      </c>
    </row>
    <row r="63" spans="1:27" x14ac:dyDescent="0.3">
      <c r="A63" s="125">
        <v>10070</v>
      </c>
      <c r="B63" s="19" t="s">
        <v>18</v>
      </c>
      <c r="C63" t="s">
        <v>833</v>
      </c>
      <c r="D63" s="563"/>
      <c r="E63" s="124">
        <v>980928.42</v>
      </c>
      <c r="F63" s="563"/>
      <c r="G63" s="124">
        <v>2484126.81</v>
      </c>
      <c r="H63" s="124">
        <v>3465055.23</v>
      </c>
      <c r="I63" s="124">
        <v>0</v>
      </c>
      <c r="J63" s="372"/>
      <c r="K63" s="563"/>
      <c r="L63" s="124">
        <v>2484126.81</v>
      </c>
      <c r="N63" s="124">
        <v>980928.42</v>
      </c>
      <c r="P63" s="563"/>
      <c r="Q63" s="124">
        <v>0</v>
      </c>
      <c r="U63" s="122"/>
      <c r="V63" s="121">
        <v>75099.23000000001</v>
      </c>
      <c r="X63" s="121">
        <v>146749.34999999998</v>
      </c>
      <c r="Z63" s="122"/>
      <c r="AA63" s="121">
        <v>0</v>
      </c>
    </row>
    <row r="64" spans="1:27" x14ac:dyDescent="0.3">
      <c r="A64" s="125">
        <v>10309</v>
      </c>
      <c r="B64" s="19" t="s">
        <v>18</v>
      </c>
      <c r="C64" t="s">
        <v>939</v>
      </c>
      <c r="D64" s="563"/>
      <c r="E64" s="124">
        <v>1314324.0699999998</v>
      </c>
      <c r="F64" s="563"/>
      <c r="G64" s="124">
        <v>2582219.9699999997</v>
      </c>
      <c r="H64" s="124">
        <v>3896544.04</v>
      </c>
      <c r="I64" s="124">
        <v>0</v>
      </c>
      <c r="J64" s="372"/>
      <c r="K64" s="563"/>
      <c r="L64" s="124">
        <v>2582219.9699999997</v>
      </c>
      <c r="N64" s="124">
        <v>1314324.0699999998</v>
      </c>
      <c r="P64" s="563"/>
      <c r="Q64" s="124">
        <v>0</v>
      </c>
      <c r="U64" s="122"/>
      <c r="V64" s="121">
        <v>35928.51</v>
      </c>
      <c r="X64" s="121">
        <v>223834.66999999998</v>
      </c>
      <c r="Z64" s="122"/>
      <c r="AA64" s="121">
        <v>0</v>
      </c>
    </row>
    <row r="65" spans="1:27" x14ac:dyDescent="0.3">
      <c r="A65" s="125">
        <v>11001</v>
      </c>
      <c r="B65" s="19" t="s">
        <v>26</v>
      </c>
      <c r="C65" t="s">
        <v>917</v>
      </c>
      <c r="D65" s="563"/>
      <c r="E65" s="124">
        <v>45591783.840000004</v>
      </c>
      <c r="F65" s="563">
        <v>0</v>
      </c>
      <c r="G65" s="124">
        <v>149891517.54000002</v>
      </c>
      <c r="H65" s="124">
        <v>195483301.38</v>
      </c>
      <c r="I65" s="124">
        <v>0</v>
      </c>
      <c r="J65" s="372"/>
      <c r="K65" s="563">
        <v>0</v>
      </c>
      <c r="L65" s="124">
        <v>149891517.54000002</v>
      </c>
      <c r="N65" s="124">
        <v>45591783.840000004</v>
      </c>
      <c r="P65" s="563"/>
      <c r="Q65" s="124">
        <v>0</v>
      </c>
      <c r="U65" s="122">
        <v>14812.19</v>
      </c>
      <c r="V65" s="121">
        <v>5118143.43</v>
      </c>
      <c r="X65" s="121">
        <v>3708708.89</v>
      </c>
      <c r="Z65" s="122"/>
      <c r="AA65" s="121">
        <v>0</v>
      </c>
    </row>
    <row r="66" spans="1:27" x14ac:dyDescent="0.3">
      <c r="A66" s="125">
        <v>11051</v>
      </c>
      <c r="B66" s="19" t="s">
        <v>26</v>
      </c>
      <c r="C66" t="s">
        <v>892</v>
      </c>
      <c r="D66" s="563"/>
      <c r="E66" s="124">
        <v>6063087.3599999994</v>
      </c>
      <c r="F66" s="563">
        <v>358284.49</v>
      </c>
      <c r="G66" s="124">
        <v>16695711.760000002</v>
      </c>
      <c r="H66" s="124">
        <v>23117083.609999999</v>
      </c>
      <c r="I66" s="124">
        <v>0</v>
      </c>
      <c r="J66" s="372"/>
      <c r="K66" s="563">
        <v>358284.49</v>
      </c>
      <c r="L66" s="124">
        <v>16695711.760000002</v>
      </c>
      <c r="N66" s="124">
        <v>6063087.3599999994</v>
      </c>
      <c r="P66" s="563"/>
      <c r="Q66" s="124">
        <v>0</v>
      </c>
      <c r="U66" s="122">
        <v>852.5</v>
      </c>
      <c r="V66" s="121">
        <v>346922.35000000003</v>
      </c>
      <c r="X66" s="121">
        <v>471807.33</v>
      </c>
      <c r="Z66" s="122"/>
      <c r="AA66" s="121">
        <v>0</v>
      </c>
    </row>
    <row r="67" spans="1:27" x14ac:dyDescent="0.3">
      <c r="A67" s="125">
        <v>11054</v>
      </c>
      <c r="B67" s="19" t="s">
        <v>26</v>
      </c>
      <c r="C67" t="s">
        <v>971</v>
      </c>
      <c r="D67" s="563"/>
      <c r="E67" s="124">
        <v>60941.9</v>
      </c>
      <c r="F67" s="563">
        <v>0</v>
      </c>
      <c r="G67" s="124">
        <v>190946.31</v>
      </c>
      <c r="H67" s="124">
        <v>251888.21</v>
      </c>
      <c r="I67" s="124">
        <v>0</v>
      </c>
      <c r="J67" s="372"/>
      <c r="K67" s="563">
        <v>0</v>
      </c>
      <c r="L67" s="124">
        <v>190946.31</v>
      </c>
      <c r="N67" s="124">
        <v>60941.9</v>
      </c>
      <c r="P67" s="563"/>
      <c r="Q67" s="124">
        <v>0</v>
      </c>
      <c r="U67" s="122">
        <v>159.38</v>
      </c>
      <c r="V67" s="121">
        <v>1583.13</v>
      </c>
      <c r="X67" s="121">
        <v>61705.61</v>
      </c>
      <c r="Z67" s="122"/>
      <c r="AA67" s="121">
        <v>0</v>
      </c>
    </row>
    <row r="68" spans="1:27" x14ac:dyDescent="0.3">
      <c r="A68" s="125">
        <v>11056</v>
      </c>
      <c r="B68" s="19" t="s">
        <v>26</v>
      </c>
      <c r="C68" t="s">
        <v>836</v>
      </c>
      <c r="D68" s="563"/>
      <c r="E68" s="124">
        <v>380559.14</v>
      </c>
      <c r="F68" s="563"/>
      <c r="G68" s="124">
        <v>1170289.6400000001</v>
      </c>
      <c r="H68" s="124">
        <v>1550848.78</v>
      </c>
      <c r="I68" s="124">
        <v>0</v>
      </c>
      <c r="J68" s="372"/>
      <c r="K68" s="563"/>
      <c r="L68" s="124">
        <v>1170289.6400000001</v>
      </c>
      <c r="N68" s="124">
        <v>380559.14</v>
      </c>
      <c r="P68" s="563"/>
      <c r="Q68" s="124">
        <v>0</v>
      </c>
      <c r="U68" s="122"/>
      <c r="V68" s="121">
        <v>25518.55</v>
      </c>
      <c r="X68" s="121">
        <v>21465.55</v>
      </c>
      <c r="Z68" s="122"/>
      <c r="AA68" s="121">
        <v>0</v>
      </c>
    </row>
    <row r="69" spans="1:27" x14ac:dyDescent="0.3">
      <c r="A69" s="125">
        <v>11801</v>
      </c>
      <c r="B69" s="19">
        <v>123</v>
      </c>
      <c r="C69" t="s">
        <v>800</v>
      </c>
      <c r="D69" s="563"/>
      <c r="E69" s="124">
        <v>12467106.220000001</v>
      </c>
      <c r="F69" s="563"/>
      <c r="G69" s="124">
        <v>3758904.6399999997</v>
      </c>
      <c r="H69" s="124">
        <v>16226010.860000001</v>
      </c>
      <c r="I69" s="124">
        <v>0</v>
      </c>
      <c r="J69" s="372"/>
      <c r="K69" s="563"/>
      <c r="L69" s="124">
        <v>3758904.6399999997</v>
      </c>
      <c r="N69" s="124">
        <v>12467106.220000001</v>
      </c>
      <c r="P69" s="563"/>
      <c r="Q69" s="124">
        <v>0</v>
      </c>
      <c r="U69" s="122"/>
      <c r="V69" s="121">
        <v>263488.73</v>
      </c>
      <c r="X69" s="121">
        <v>443409.49</v>
      </c>
      <c r="Z69" s="122"/>
      <c r="AA69" s="121">
        <v>0</v>
      </c>
    </row>
    <row r="70" spans="1:27" x14ac:dyDescent="0.3">
      <c r="A70" s="125">
        <v>12110</v>
      </c>
      <c r="B70" s="19" t="s">
        <v>26</v>
      </c>
      <c r="C70" t="s">
        <v>923</v>
      </c>
      <c r="D70" s="563"/>
      <c r="E70" s="124">
        <v>1453831.07</v>
      </c>
      <c r="F70" s="563">
        <v>0</v>
      </c>
      <c r="G70" s="124">
        <v>2340627.2000000002</v>
      </c>
      <c r="H70" s="124">
        <v>3794458.2700000005</v>
      </c>
      <c r="I70" s="124">
        <v>0</v>
      </c>
      <c r="J70" s="372"/>
      <c r="K70" s="563">
        <v>0</v>
      </c>
      <c r="L70" s="124">
        <v>2340627.2000000002</v>
      </c>
      <c r="N70" s="124">
        <v>1453831.07</v>
      </c>
      <c r="P70" s="563"/>
      <c r="Q70" s="124">
        <v>0</v>
      </c>
      <c r="U70" s="122">
        <v>3345.5</v>
      </c>
      <c r="V70" s="121">
        <v>54991.8</v>
      </c>
      <c r="X70" s="121">
        <v>129957.95999999999</v>
      </c>
      <c r="Z70" s="122"/>
      <c r="AA70" s="121">
        <v>0</v>
      </c>
    </row>
    <row r="71" spans="1:27" x14ac:dyDescent="0.3">
      <c r="A71" s="125">
        <v>13073</v>
      </c>
      <c r="B71" s="19" t="s">
        <v>45</v>
      </c>
      <c r="C71" t="s">
        <v>998</v>
      </c>
      <c r="D71" s="563"/>
      <c r="E71" s="124">
        <v>8185037.040000001</v>
      </c>
      <c r="F71" s="563"/>
      <c r="G71" s="124">
        <v>16171563.459999999</v>
      </c>
      <c r="H71" s="124">
        <v>24356600.5</v>
      </c>
      <c r="I71" s="124">
        <v>0</v>
      </c>
      <c r="J71" s="372"/>
      <c r="K71" s="563"/>
      <c r="L71" s="124">
        <v>16171563.459999999</v>
      </c>
      <c r="N71" s="124">
        <v>8185037.040000001</v>
      </c>
      <c r="P71" s="563"/>
      <c r="Q71" s="124">
        <v>0</v>
      </c>
      <c r="U71" s="122"/>
      <c r="V71" s="121">
        <v>611754.73</v>
      </c>
      <c r="X71" s="121">
        <v>490925.82</v>
      </c>
      <c r="Z71" s="122"/>
      <c r="AA71" s="121">
        <v>0</v>
      </c>
    </row>
    <row r="72" spans="1:27" x14ac:dyDescent="0.3">
      <c r="A72" s="125">
        <v>13144</v>
      </c>
      <c r="B72" s="19" t="s">
        <v>55</v>
      </c>
      <c r="C72" t="s">
        <v>934</v>
      </c>
      <c r="D72" s="563"/>
      <c r="E72" s="124">
        <v>9327664.3499999996</v>
      </c>
      <c r="F72" s="563"/>
      <c r="G72" s="124">
        <v>25217471.850000001</v>
      </c>
      <c r="H72" s="124">
        <v>34545136.200000003</v>
      </c>
      <c r="I72" s="124">
        <v>0</v>
      </c>
      <c r="J72" s="372"/>
      <c r="K72" s="563"/>
      <c r="L72" s="124">
        <v>25217471.850000001</v>
      </c>
      <c r="N72" s="124">
        <v>9327664.3499999996</v>
      </c>
      <c r="P72" s="563"/>
      <c r="Q72" s="124">
        <v>0</v>
      </c>
      <c r="U72" s="122"/>
      <c r="V72" s="121">
        <v>539982.6</v>
      </c>
      <c r="X72" s="121">
        <v>1416511</v>
      </c>
      <c r="Z72" s="122"/>
      <c r="AA72" s="121">
        <v>0</v>
      </c>
    </row>
    <row r="73" spans="1:27" x14ac:dyDescent="0.3">
      <c r="A73" s="125">
        <v>13146</v>
      </c>
      <c r="B73" s="19" t="s">
        <v>55</v>
      </c>
      <c r="C73" t="s">
        <v>1002</v>
      </c>
      <c r="D73" s="563">
        <v>40595.730000000003</v>
      </c>
      <c r="E73" s="124">
        <v>2607246.56</v>
      </c>
      <c r="F73" s="563"/>
      <c r="G73" s="124">
        <v>6735638.0299999993</v>
      </c>
      <c r="H73" s="124">
        <v>9383480.3200000003</v>
      </c>
      <c r="I73" s="124">
        <v>0</v>
      </c>
      <c r="J73" s="372"/>
      <c r="K73" s="563"/>
      <c r="L73" s="124">
        <v>6735638.0299999993</v>
      </c>
      <c r="N73" s="124">
        <v>2607246.56</v>
      </c>
      <c r="P73" s="563">
        <v>40595.730000000003</v>
      </c>
      <c r="Q73" s="124">
        <v>0</v>
      </c>
      <c r="U73" s="122"/>
      <c r="V73" s="121">
        <v>190510.78000000003</v>
      </c>
      <c r="X73" s="121">
        <v>359921</v>
      </c>
      <c r="Z73" s="122">
        <v>0</v>
      </c>
      <c r="AA73" s="121">
        <v>0</v>
      </c>
    </row>
    <row r="74" spans="1:27" x14ac:dyDescent="0.3">
      <c r="A74" s="125">
        <v>13151</v>
      </c>
      <c r="B74" s="19" t="s">
        <v>55</v>
      </c>
      <c r="C74" t="s">
        <v>778</v>
      </c>
      <c r="D74" s="563">
        <v>25439.19</v>
      </c>
      <c r="E74" s="124">
        <v>692706.61</v>
      </c>
      <c r="F74" s="563"/>
      <c r="G74" s="124">
        <v>1744030.65</v>
      </c>
      <c r="H74" s="124">
        <v>2462176.4499999997</v>
      </c>
      <c r="I74" s="124">
        <v>0</v>
      </c>
      <c r="J74" s="372"/>
      <c r="K74" s="563"/>
      <c r="L74" s="124">
        <v>1744030.65</v>
      </c>
      <c r="N74" s="124">
        <v>692706.61</v>
      </c>
      <c r="P74" s="563">
        <v>25439.19</v>
      </c>
      <c r="Q74" s="124">
        <v>0</v>
      </c>
      <c r="U74" s="122"/>
      <c r="V74" s="121">
        <v>15487.55</v>
      </c>
      <c r="X74" s="121">
        <v>95008.84</v>
      </c>
      <c r="Z74" s="122">
        <v>0</v>
      </c>
      <c r="AA74" s="121">
        <v>0</v>
      </c>
    </row>
    <row r="75" spans="1:27" x14ac:dyDescent="0.3">
      <c r="A75" s="125">
        <v>13156</v>
      </c>
      <c r="B75" s="19" t="s">
        <v>55</v>
      </c>
      <c r="C75" t="s">
        <v>964</v>
      </c>
      <c r="D75" s="563"/>
      <c r="E75" s="124">
        <v>1939541.49</v>
      </c>
      <c r="F75" s="563">
        <v>0</v>
      </c>
      <c r="G75" s="124">
        <v>3574133.64</v>
      </c>
      <c r="H75" s="124">
        <v>5513675.1299999999</v>
      </c>
      <c r="I75" s="124">
        <v>0</v>
      </c>
      <c r="J75" s="372"/>
      <c r="K75" s="563">
        <v>0</v>
      </c>
      <c r="L75" s="124">
        <v>3574133.64</v>
      </c>
      <c r="N75" s="124">
        <v>1939541.49</v>
      </c>
      <c r="P75" s="563"/>
      <c r="Q75" s="124">
        <v>0</v>
      </c>
      <c r="U75" s="122">
        <v>32415.919999999998</v>
      </c>
      <c r="V75" s="121">
        <v>154230.22</v>
      </c>
      <c r="X75" s="121">
        <v>220694.44999999998</v>
      </c>
      <c r="Z75" s="122"/>
      <c r="AA75" s="121">
        <v>0</v>
      </c>
    </row>
    <row r="76" spans="1:27" x14ac:dyDescent="0.3">
      <c r="A76" s="125">
        <v>13160</v>
      </c>
      <c r="B76" s="19" t="s">
        <v>45</v>
      </c>
      <c r="C76" t="s">
        <v>948</v>
      </c>
      <c r="D76" s="563">
        <v>5485.92</v>
      </c>
      <c r="E76" s="124">
        <v>5290308.62</v>
      </c>
      <c r="F76" s="563">
        <v>147215.71</v>
      </c>
      <c r="G76" s="124">
        <v>12790423.740000002</v>
      </c>
      <c r="H76" s="124">
        <v>18233433.990000002</v>
      </c>
      <c r="I76" s="124">
        <v>0</v>
      </c>
      <c r="J76" s="372"/>
      <c r="K76" s="563">
        <v>147215.71</v>
      </c>
      <c r="L76" s="124">
        <v>12790423.740000002</v>
      </c>
      <c r="N76" s="124">
        <v>5290308.62</v>
      </c>
      <c r="P76" s="563">
        <v>5485.92</v>
      </c>
      <c r="Q76" s="124">
        <v>0</v>
      </c>
      <c r="U76" s="122">
        <v>9633.9</v>
      </c>
      <c r="V76" s="121">
        <v>559821.02</v>
      </c>
      <c r="X76" s="121">
        <v>265518.94</v>
      </c>
      <c r="Z76" s="122">
        <v>0</v>
      </c>
      <c r="AA76" s="121">
        <v>0</v>
      </c>
    </row>
    <row r="77" spans="1:27" x14ac:dyDescent="0.3">
      <c r="A77" s="125">
        <v>13161</v>
      </c>
      <c r="B77" s="19" t="s">
        <v>55</v>
      </c>
      <c r="C77" t="s">
        <v>876</v>
      </c>
      <c r="D77" s="563"/>
      <c r="E77" s="124">
        <v>19069361.509999998</v>
      </c>
      <c r="F77" s="563">
        <v>110407.85</v>
      </c>
      <c r="G77" s="124">
        <v>59870978.180000007</v>
      </c>
      <c r="H77" s="124">
        <v>79050747.540000007</v>
      </c>
      <c r="I77" s="124">
        <v>0</v>
      </c>
      <c r="J77" s="372"/>
      <c r="K77" s="563">
        <v>110407.85</v>
      </c>
      <c r="L77" s="124">
        <v>59870978.180000007</v>
      </c>
      <c r="N77" s="124">
        <v>19069361.509999998</v>
      </c>
      <c r="P77" s="563"/>
      <c r="Q77" s="124">
        <v>0</v>
      </c>
      <c r="U77" s="122">
        <v>28269.81</v>
      </c>
      <c r="V77" s="121">
        <v>1311184.23</v>
      </c>
      <c r="X77" s="121">
        <v>986702.66999999993</v>
      </c>
      <c r="Z77" s="122"/>
      <c r="AA77" s="121">
        <v>0</v>
      </c>
    </row>
    <row r="78" spans="1:27" x14ac:dyDescent="0.3">
      <c r="A78" s="125">
        <v>13165</v>
      </c>
      <c r="B78" s="19" t="s">
        <v>55</v>
      </c>
      <c r="C78" t="s">
        <v>806</v>
      </c>
      <c r="D78" s="563"/>
      <c r="E78" s="124">
        <v>7347062.5</v>
      </c>
      <c r="F78" s="563">
        <v>0</v>
      </c>
      <c r="G78" s="124">
        <v>19322684.329999998</v>
      </c>
      <c r="H78" s="124">
        <v>26669746.829999998</v>
      </c>
      <c r="I78" s="124">
        <v>0</v>
      </c>
      <c r="J78" s="372"/>
      <c r="K78" s="563">
        <v>0</v>
      </c>
      <c r="L78" s="124">
        <v>19322684.329999998</v>
      </c>
      <c r="N78" s="124">
        <v>7347062.5</v>
      </c>
      <c r="P78" s="563"/>
      <c r="Q78" s="124">
        <v>0</v>
      </c>
      <c r="U78" s="122">
        <v>23073.19</v>
      </c>
      <c r="V78" s="121">
        <v>332745.23</v>
      </c>
      <c r="X78" s="121">
        <v>784499.5</v>
      </c>
      <c r="Z78" s="122"/>
      <c r="AA78" s="121">
        <v>0</v>
      </c>
    </row>
    <row r="79" spans="1:27" x14ac:dyDescent="0.3">
      <c r="A79" s="125">
        <v>13167</v>
      </c>
      <c r="B79" s="19" t="s">
        <v>55</v>
      </c>
      <c r="C79" t="s">
        <v>1015</v>
      </c>
      <c r="D79" s="563"/>
      <c r="E79" s="124">
        <v>713704.5</v>
      </c>
      <c r="F79" s="563"/>
      <c r="G79" s="124">
        <v>1120581.6499999999</v>
      </c>
      <c r="H79" s="124">
        <v>1834286.15</v>
      </c>
      <c r="I79" s="124">
        <v>0</v>
      </c>
      <c r="J79" s="372"/>
      <c r="K79" s="563"/>
      <c r="L79" s="124">
        <v>1120581.6499999999</v>
      </c>
      <c r="N79" s="124">
        <v>713704.5</v>
      </c>
      <c r="P79" s="563"/>
      <c r="Q79" s="124">
        <v>0</v>
      </c>
      <c r="U79" s="122"/>
      <c r="V79" s="121">
        <v>52833.02</v>
      </c>
      <c r="X79" s="121">
        <v>98515.34</v>
      </c>
      <c r="Z79" s="122"/>
      <c r="AA79" s="121">
        <v>0</v>
      </c>
    </row>
    <row r="80" spans="1:27" x14ac:dyDescent="0.3">
      <c r="A80" s="125">
        <v>13301</v>
      </c>
      <c r="B80" s="19" t="s">
        <v>55</v>
      </c>
      <c r="C80" t="s">
        <v>819</v>
      </c>
      <c r="D80" s="563">
        <v>102477.39</v>
      </c>
      <c r="E80" s="124">
        <v>2350340.5099999998</v>
      </c>
      <c r="F80" s="563"/>
      <c r="G80" s="124">
        <v>4610461.67</v>
      </c>
      <c r="H80" s="124">
        <v>7063279.5700000003</v>
      </c>
      <c r="I80" s="124">
        <v>0</v>
      </c>
      <c r="J80" s="372"/>
      <c r="K80" s="563"/>
      <c r="L80" s="124">
        <v>4610461.67</v>
      </c>
      <c r="N80" s="124">
        <v>2350340.5099999998</v>
      </c>
      <c r="P80" s="563">
        <v>102477.39</v>
      </c>
      <c r="Q80" s="124">
        <v>0</v>
      </c>
      <c r="U80" s="122"/>
      <c r="V80" s="121">
        <v>69873.17</v>
      </c>
      <c r="X80" s="121">
        <v>309982.42000000004</v>
      </c>
      <c r="Z80" s="122">
        <v>0</v>
      </c>
      <c r="AA80" s="121">
        <v>0</v>
      </c>
    </row>
    <row r="81" spans="1:27" x14ac:dyDescent="0.3">
      <c r="A81" s="125">
        <v>14005</v>
      </c>
      <c r="B81" s="19" t="s">
        <v>13</v>
      </c>
      <c r="C81" t="s">
        <v>731</v>
      </c>
      <c r="D81" s="563"/>
      <c r="E81" s="124">
        <v>12269582.300000001</v>
      </c>
      <c r="F81" s="563">
        <v>0</v>
      </c>
      <c r="G81" s="124">
        <v>25025217.43</v>
      </c>
      <c r="H81" s="124">
        <v>37294799.730000004</v>
      </c>
      <c r="I81" s="124">
        <v>0</v>
      </c>
      <c r="J81" s="372"/>
      <c r="K81" s="563">
        <v>0</v>
      </c>
      <c r="L81" s="124">
        <v>25025217.43</v>
      </c>
      <c r="N81" s="124">
        <v>12269582.300000001</v>
      </c>
      <c r="P81" s="563"/>
      <c r="Q81" s="124">
        <v>0</v>
      </c>
      <c r="U81" s="122">
        <v>59050.78</v>
      </c>
      <c r="V81" s="121">
        <v>659153.76</v>
      </c>
      <c r="X81" s="121">
        <v>877649.97000000009</v>
      </c>
      <c r="Z81" s="122"/>
      <c r="AA81" s="121">
        <v>0</v>
      </c>
    </row>
    <row r="82" spans="1:27" x14ac:dyDescent="0.3">
      <c r="A82" s="125">
        <v>14028</v>
      </c>
      <c r="B82" s="19" t="s">
        <v>13</v>
      </c>
      <c r="C82" t="s">
        <v>832</v>
      </c>
      <c r="D82" s="563"/>
      <c r="E82" s="124">
        <v>5628617.0800000001</v>
      </c>
      <c r="F82" s="563">
        <v>122801.18</v>
      </c>
      <c r="G82" s="124">
        <v>11976509.48</v>
      </c>
      <c r="H82" s="124">
        <v>17727927.740000002</v>
      </c>
      <c r="I82" s="124">
        <v>0</v>
      </c>
      <c r="J82" s="372"/>
      <c r="K82" s="563">
        <v>122801.18</v>
      </c>
      <c r="L82" s="124">
        <v>11976509.48</v>
      </c>
      <c r="N82" s="124">
        <v>5628617.0800000001</v>
      </c>
      <c r="P82" s="563"/>
      <c r="Q82" s="124">
        <v>0</v>
      </c>
      <c r="U82" s="122">
        <v>4024.46</v>
      </c>
      <c r="V82" s="121">
        <v>350193.39</v>
      </c>
      <c r="X82" s="121">
        <v>358716.85</v>
      </c>
      <c r="Z82" s="122"/>
      <c r="AA82" s="121">
        <v>0</v>
      </c>
    </row>
    <row r="83" spans="1:27" x14ac:dyDescent="0.3">
      <c r="A83" s="125">
        <v>14064</v>
      </c>
      <c r="B83" s="19" t="s">
        <v>13</v>
      </c>
      <c r="C83" t="s">
        <v>891</v>
      </c>
      <c r="D83" s="563"/>
      <c r="E83" s="124">
        <v>2502236.6900000004</v>
      </c>
      <c r="F83" s="563">
        <v>0</v>
      </c>
      <c r="G83" s="124">
        <v>4937953.9700000007</v>
      </c>
      <c r="H83" s="124">
        <v>7440190.6600000001</v>
      </c>
      <c r="I83" s="124">
        <v>0</v>
      </c>
      <c r="J83" s="372"/>
      <c r="K83" s="563">
        <v>0</v>
      </c>
      <c r="L83" s="124">
        <v>4937953.9700000007</v>
      </c>
      <c r="N83" s="124">
        <v>2502236.6900000004</v>
      </c>
      <c r="P83" s="563"/>
      <c r="Q83" s="124">
        <v>0</v>
      </c>
      <c r="U83" s="122">
        <v>3600</v>
      </c>
      <c r="V83" s="121">
        <v>108236.3</v>
      </c>
      <c r="X83" s="121">
        <v>237675.59</v>
      </c>
      <c r="Z83" s="122"/>
      <c r="AA83" s="121">
        <v>0</v>
      </c>
    </row>
    <row r="84" spans="1:27" x14ac:dyDescent="0.3">
      <c r="A84" s="125">
        <v>14065</v>
      </c>
      <c r="B84" s="19" t="s">
        <v>13</v>
      </c>
      <c r="C84" t="s">
        <v>866</v>
      </c>
      <c r="D84" s="563"/>
      <c r="E84" s="124">
        <v>1131944.57</v>
      </c>
      <c r="F84" s="563"/>
      <c r="G84" s="124">
        <v>2711926.59</v>
      </c>
      <c r="H84" s="124">
        <v>3843871.16</v>
      </c>
      <c r="I84" s="124">
        <v>0</v>
      </c>
      <c r="J84" s="372"/>
      <c r="K84" s="563"/>
      <c r="L84" s="124">
        <v>2711926.59</v>
      </c>
      <c r="N84" s="124">
        <v>1131944.57</v>
      </c>
      <c r="P84" s="563"/>
      <c r="Q84" s="124">
        <v>0</v>
      </c>
      <c r="U84" s="122"/>
      <c r="V84" s="121">
        <v>39281.230000000003</v>
      </c>
      <c r="X84" s="121">
        <v>82445.61</v>
      </c>
      <c r="Z84" s="122"/>
      <c r="AA84" s="121">
        <v>0</v>
      </c>
    </row>
    <row r="85" spans="1:27" x14ac:dyDescent="0.3">
      <c r="A85" s="125">
        <v>14066</v>
      </c>
      <c r="B85" s="19" t="s">
        <v>13</v>
      </c>
      <c r="C85" t="s">
        <v>874</v>
      </c>
      <c r="D85" s="563"/>
      <c r="E85" s="124">
        <v>3650988.2299999995</v>
      </c>
      <c r="F85" s="563">
        <v>0</v>
      </c>
      <c r="G85" s="124">
        <v>11172918.25</v>
      </c>
      <c r="H85" s="124">
        <v>14823906.48</v>
      </c>
      <c r="I85" s="124">
        <v>0</v>
      </c>
      <c r="J85" s="372"/>
      <c r="K85" s="563">
        <v>0</v>
      </c>
      <c r="L85" s="124">
        <v>11172918.25</v>
      </c>
      <c r="N85" s="124">
        <v>3650988.2299999995</v>
      </c>
      <c r="P85" s="563"/>
      <c r="Q85" s="124">
        <v>0</v>
      </c>
      <c r="U85" s="122">
        <v>6660</v>
      </c>
      <c r="V85" s="121">
        <v>159774.42000000001</v>
      </c>
      <c r="X85" s="121">
        <v>325176.42</v>
      </c>
      <c r="Z85" s="122"/>
      <c r="AA85" s="121">
        <v>0</v>
      </c>
    </row>
    <row r="86" spans="1:27" x14ac:dyDescent="0.3">
      <c r="A86" s="125">
        <v>14068</v>
      </c>
      <c r="B86" s="19" t="s">
        <v>13</v>
      </c>
      <c r="C86" t="s">
        <v>802</v>
      </c>
      <c r="D86" s="563"/>
      <c r="E86" s="124">
        <v>4392543.5999999996</v>
      </c>
      <c r="F86" s="563">
        <v>0</v>
      </c>
      <c r="G86" s="124">
        <v>11798709.42</v>
      </c>
      <c r="H86" s="124">
        <v>16191253.02</v>
      </c>
      <c r="I86" s="124">
        <v>0</v>
      </c>
      <c r="J86" s="372"/>
      <c r="K86" s="563">
        <v>0</v>
      </c>
      <c r="L86" s="124">
        <v>11798709.42</v>
      </c>
      <c r="N86" s="124">
        <v>4392543.5999999996</v>
      </c>
      <c r="P86" s="563"/>
      <c r="Q86" s="124">
        <v>0</v>
      </c>
      <c r="U86" s="122">
        <v>27211.02</v>
      </c>
      <c r="V86" s="121">
        <v>195045.52000000002</v>
      </c>
      <c r="X86" s="121">
        <v>422378.01999999996</v>
      </c>
      <c r="Z86" s="122"/>
      <c r="AA86" s="121">
        <v>0</v>
      </c>
    </row>
    <row r="87" spans="1:27" x14ac:dyDescent="0.3">
      <c r="A87" s="125">
        <v>14077</v>
      </c>
      <c r="B87" s="19" t="s">
        <v>13</v>
      </c>
      <c r="C87" t="s">
        <v>980</v>
      </c>
      <c r="D87" s="563"/>
      <c r="E87" s="124">
        <v>937984.67999999993</v>
      </c>
      <c r="F87" s="563"/>
      <c r="G87" s="124">
        <v>1757470.2</v>
      </c>
      <c r="H87" s="124">
        <v>2695454.88</v>
      </c>
      <c r="I87" s="124">
        <v>0</v>
      </c>
      <c r="J87" s="372"/>
      <c r="K87" s="563"/>
      <c r="L87" s="124">
        <v>1757470.2</v>
      </c>
      <c r="N87" s="124">
        <v>937984.67999999993</v>
      </c>
      <c r="P87" s="563"/>
      <c r="Q87" s="124">
        <v>0</v>
      </c>
      <c r="U87" s="122"/>
      <c r="V87" s="121">
        <v>33508.69</v>
      </c>
      <c r="X87" s="121">
        <v>84611.799999999988</v>
      </c>
      <c r="Z87" s="122"/>
      <c r="AA87" s="121">
        <v>0</v>
      </c>
    </row>
    <row r="88" spans="1:27" x14ac:dyDescent="0.3">
      <c r="A88" s="125">
        <v>14097</v>
      </c>
      <c r="B88" s="19" t="s">
        <v>13</v>
      </c>
      <c r="C88" t="s">
        <v>933</v>
      </c>
      <c r="D88" s="563"/>
      <c r="E88" s="124">
        <v>860341.02</v>
      </c>
      <c r="F88" s="563"/>
      <c r="G88" s="124">
        <v>1602246.3</v>
      </c>
      <c r="H88" s="124">
        <v>2462587.3200000003</v>
      </c>
      <c r="I88" s="124">
        <v>0</v>
      </c>
      <c r="J88" s="372"/>
      <c r="K88" s="563"/>
      <c r="L88" s="124">
        <v>1602246.3</v>
      </c>
      <c r="N88" s="124">
        <v>860341.02</v>
      </c>
      <c r="P88" s="563"/>
      <c r="Q88" s="124">
        <v>0</v>
      </c>
      <c r="U88" s="122"/>
      <c r="V88" s="121">
        <v>128912.13</v>
      </c>
      <c r="X88" s="121">
        <v>47990.33</v>
      </c>
      <c r="Z88" s="122"/>
      <c r="AA88" s="121">
        <v>0</v>
      </c>
    </row>
    <row r="89" spans="1:27" x14ac:dyDescent="0.3">
      <c r="A89" s="125">
        <v>14099</v>
      </c>
      <c r="B89" s="19" t="s">
        <v>13</v>
      </c>
      <c r="C89" t="s">
        <v>777</v>
      </c>
      <c r="D89" s="563"/>
      <c r="E89" s="124">
        <v>712465.41999999993</v>
      </c>
      <c r="F89" s="563">
        <v>0</v>
      </c>
      <c r="G89" s="124">
        <v>1273229.72</v>
      </c>
      <c r="H89" s="124">
        <v>1985695.1399999997</v>
      </c>
      <c r="I89" s="124">
        <v>0</v>
      </c>
      <c r="J89" s="372"/>
      <c r="K89" s="563">
        <v>0</v>
      </c>
      <c r="L89" s="124">
        <v>1273229.72</v>
      </c>
      <c r="N89" s="124">
        <v>712465.41999999993</v>
      </c>
      <c r="P89" s="563"/>
      <c r="Q89" s="124">
        <v>0</v>
      </c>
      <c r="U89" s="122">
        <v>4981.2299999999996</v>
      </c>
      <c r="V89" s="121">
        <v>24842.85</v>
      </c>
      <c r="X89" s="121">
        <v>16375.29</v>
      </c>
      <c r="Z89" s="122"/>
      <c r="AA89" s="121">
        <v>0</v>
      </c>
    </row>
    <row r="90" spans="1:27" x14ac:dyDescent="0.3">
      <c r="A90" s="125">
        <v>14104</v>
      </c>
      <c r="B90" s="19" t="s">
        <v>13</v>
      </c>
      <c r="C90" t="s">
        <v>950</v>
      </c>
      <c r="D90" s="563"/>
      <c r="E90" s="124">
        <v>263750.45</v>
      </c>
      <c r="F90" s="563"/>
      <c r="G90" s="124">
        <v>427986.87</v>
      </c>
      <c r="H90" s="124">
        <v>691737.32000000007</v>
      </c>
      <c r="I90" s="124">
        <v>0</v>
      </c>
      <c r="J90" s="372"/>
      <c r="K90" s="563"/>
      <c r="L90" s="124">
        <v>427986.87</v>
      </c>
      <c r="N90" s="124">
        <v>263750.45</v>
      </c>
      <c r="P90" s="563"/>
      <c r="Q90" s="124">
        <v>0</v>
      </c>
      <c r="U90" s="122"/>
      <c r="V90" s="121">
        <v>11957.3</v>
      </c>
      <c r="X90" s="121">
        <v>0</v>
      </c>
      <c r="Z90" s="122"/>
      <c r="AA90" s="121">
        <v>0</v>
      </c>
    </row>
    <row r="91" spans="1:27" x14ac:dyDescent="0.3">
      <c r="A91" s="125">
        <v>14117</v>
      </c>
      <c r="B91" s="19" t="s">
        <v>13</v>
      </c>
      <c r="C91" t="s">
        <v>1017</v>
      </c>
      <c r="D91" s="563"/>
      <c r="E91" s="124">
        <v>695035.24</v>
      </c>
      <c r="F91" s="563">
        <v>0</v>
      </c>
      <c r="G91" s="124">
        <v>1624382.28</v>
      </c>
      <c r="H91" s="124">
        <v>2319417.52</v>
      </c>
      <c r="I91" s="124">
        <v>0</v>
      </c>
      <c r="J91" s="372"/>
      <c r="K91" s="563">
        <v>0</v>
      </c>
      <c r="L91" s="124">
        <v>1624382.28</v>
      </c>
      <c r="N91" s="124">
        <v>695035.24</v>
      </c>
      <c r="P91" s="563"/>
      <c r="Q91" s="124">
        <v>0</v>
      </c>
      <c r="U91" s="122">
        <v>672.16</v>
      </c>
      <c r="V91" s="121">
        <v>0</v>
      </c>
      <c r="X91" s="121">
        <v>0</v>
      </c>
      <c r="Z91" s="122"/>
      <c r="AA91" s="121">
        <v>0</v>
      </c>
    </row>
    <row r="92" spans="1:27" x14ac:dyDescent="0.3">
      <c r="A92" s="125">
        <v>14172</v>
      </c>
      <c r="B92" s="19" t="s">
        <v>13</v>
      </c>
      <c r="C92" t="s">
        <v>901</v>
      </c>
      <c r="D92" s="563"/>
      <c r="E92" s="124">
        <v>1983607.7799999998</v>
      </c>
      <c r="F92" s="563"/>
      <c r="G92" s="124">
        <v>4690808.0599999996</v>
      </c>
      <c r="H92" s="124">
        <v>6674415.8399999999</v>
      </c>
      <c r="I92" s="124">
        <v>0</v>
      </c>
      <c r="J92" s="372"/>
      <c r="K92" s="563"/>
      <c r="L92" s="124">
        <v>4690808.0599999996</v>
      </c>
      <c r="N92" s="124">
        <v>1983607.7799999998</v>
      </c>
      <c r="P92" s="563"/>
      <c r="Q92" s="124">
        <v>0</v>
      </c>
      <c r="U92" s="122"/>
      <c r="V92" s="121">
        <v>69430.16</v>
      </c>
      <c r="X92" s="121">
        <v>124439.43</v>
      </c>
      <c r="Z92" s="122"/>
      <c r="AA92" s="121">
        <v>0</v>
      </c>
    </row>
    <row r="93" spans="1:27" x14ac:dyDescent="0.3">
      <c r="A93" s="125">
        <v>14400</v>
      </c>
      <c r="B93" s="19" t="s">
        <v>13</v>
      </c>
      <c r="C93" t="s">
        <v>899</v>
      </c>
      <c r="D93" s="563"/>
      <c r="E93" s="124">
        <v>1149703.93</v>
      </c>
      <c r="F93" s="563"/>
      <c r="G93" s="124">
        <v>2583746.96</v>
      </c>
      <c r="H93" s="124">
        <v>3733450.8899999997</v>
      </c>
      <c r="I93" s="124">
        <v>0</v>
      </c>
      <c r="J93" s="372"/>
      <c r="K93" s="563"/>
      <c r="L93" s="124">
        <v>2583746.96</v>
      </c>
      <c r="N93" s="124">
        <v>1149703.93</v>
      </c>
      <c r="P93" s="563"/>
      <c r="Q93" s="124">
        <v>0</v>
      </c>
      <c r="U93" s="122"/>
      <c r="V93" s="121">
        <v>46907.710000000006</v>
      </c>
      <c r="X93" s="121">
        <v>77803.459999999992</v>
      </c>
      <c r="Z93" s="122"/>
      <c r="AA93" s="121">
        <v>0</v>
      </c>
    </row>
    <row r="94" spans="1:27" x14ac:dyDescent="0.3">
      <c r="A94" s="125">
        <v>15201</v>
      </c>
      <c r="B94" s="19" t="s">
        <v>21</v>
      </c>
      <c r="C94" t="s">
        <v>897</v>
      </c>
      <c r="D94" s="563"/>
      <c r="E94" s="124">
        <v>19264731.73</v>
      </c>
      <c r="F94" s="563">
        <v>0</v>
      </c>
      <c r="G94" s="124">
        <v>47399697.079999998</v>
      </c>
      <c r="H94" s="124">
        <v>66664428.810000002</v>
      </c>
      <c r="I94" s="124">
        <v>0</v>
      </c>
      <c r="J94" s="372"/>
      <c r="K94" s="563">
        <v>0</v>
      </c>
      <c r="L94" s="124">
        <v>47399697.079999998</v>
      </c>
      <c r="N94" s="124">
        <v>19264731.73</v>
      </c>
      <c r="P94" s="563"/>
      <c r="Q94" s="124">
        <v>0</v>
      </c>
      <c r="U94" s="122">
        <v>88917.5</v>
      </c>
      <c r="V94" s="121">
        <v>1854126.65</v>
      </c>
      <c r="X94" s="121">
        <v>1762591.47</v>
      </c>
      <c r="Z94" s="122"/>
      <c r="AA94" s="121">
        <v>0</v>
      </c>
    </row>
    <row r="95" spans="1:27" x14ac:dyDescent="0.3">
      <c r="A95" s="125">
        <v>15204</v>
      </c>
      <c r="B95" s="19" t="s">
        <v>21</v>
      </c>
      <c r="C95" t="s">
        <v>779</v>
      </c>
      <c r="D95" s="563"/>
      <c r="E95" s="124">
        <v>3310329.04</v>
      </c>
      <c r="F95" s="563">
        <v>0</v>
      </c>
      <c r="G95" s="124">
        <v>7839471.4199999999</v>
      </c>
      <c r="H95" s="124">
        <v>11149800.460000001</v>
      </c>
      <c r="I95" s="124">
        <v>0</v>
      </c>
      <c r="J95" s="372"/>
      <c r="K95" s="563">
        <v>0</v>
      </c>
      <c r="L95" s="124">
        <v>7839471.4199999999</v>
      </c>
      <c r="N95" s="124">
        <v>3310329.04</v>
      </c>
      <c r="P95" s="563"/>
      <c r="Q95" s="124">
        <v>0</v>
      </c>
      <c r="U95" s="122">
        <v>4016.44</v>
      </c>
      <c r="V95" s="121">
        <v>338300.76</v>
      </c>
      <c r="X95" s="121">
        <v>165341.04999999999</v>
      </c>
      <c r="Z95" s="122"/>
      <c r="AA95" s="121">
        <v>0</v>
      </c>
    </row>
    <row r="96" spans="1:27" x14ac:dyDescent="0.3">
      <c r="A96" s="125">
        <v>15206</v>
      </c>
      <c r="B96" s="19" t="s">
        <v>21</v>
      </c>
      <c r="C96" t="s">
        <v>963</v>
      </c>
      <c r="D96" s="563"/>
      <c r="E96" s="124">
        <v>3486416.63</v>
      </c>
      <c r="F96" s="563">
        <v>0</v>
      </c>
      <c r="G96" s="124">
        <v>9821025.5700000003</v>
      </c>
      <c r="H96" s="124">
        <v>13307442.199999999</v>
      </c>
      <c r="I96" s="124">
        <v>0</v>
      </c>
      <c r="J96" s="372"/>
      <c r="K96" s="563">
        <v>0</v>
      </c>
      <c r="L96" s="124">
        <v>9821025.5700000003</v>
      </c>
      <c r="N96" s="124">
        <v>3486416.63</v>
      </c>
      <c r="P96" s="563"/>
      <c r="Q96" s="124">
        <v>0</v>
      </c>
      <c r="U96" s="122">
        <v>8200</v>
      </c>
      <c r="V96" s="121">
        <v>275977.18</v>
      </c>
      <c r="X96" s="121">
        <v>323749.37</v>
      </c>
      <c r="Z96" s="122"/>
      <c r="AA96" s="121">
        <v>0</v>
      </c>
    </row>
    <row r="97" spans="1:27" x14ac:dyDescent="0.3">
      <c r="A97" s="125">
        <v>16020</v>
      </c>
      <c r="B97" s="19" t="s">
        <v>52</v>
      </c>
      <c r="C97" t="s">
        <v>930</v>
      </c>
      <c r="D97" s="563"/>
      <c r="E97" s="124">
        <v>141742.1</v>
      </c>
      <c r="F97" s="563"/>
      <c r="G97" s="124">
        <v>312308.51</v>
      </c>
      <c r="H97" s="124">
        <v>454050.61</v>
      </c>
      <c r="I97" s="124">
        <v>0</v>
      </c>
      <c r="J97" s="372"/>
      <c r="K97" s="563"/>
      <c r="L97" s="124">
        <v>312308.51</v>
      </c>
      <c r="N97" s="124">
        <v>141742.1</v>
      </c>
      <c r="P97" s="563"/>
      <c r="Q97" s="124">
        <v>0</v>
      </c>
      <c r="U97" s="122"/>
      <c r="V97" s="121">
        <v>0</v>
      </c>
      <c r="X97" s="121">
        <v>5288.16</v>
      </c>
      <c r="Z97" s="122"/>
      <c r="AA97" s="121">
        <v>0</v>
      </c>
    </row>
    <row r="98" spans="1:27" x14ac:dyDescent="0.3">
      <c r="A98" s="125">
        <v>16046</v>
      </c>
      <c r="B98" s="19" t="s">
        <v>52</v>
      </c>
      <c r="C98" t="s">
        <v>750</v>
      </c>
      <c r="D98" s="563"/>
      <c r="E98" s="124">
        <v>310164.8</v>
      </c>
      <c r="F98" s="563"/>
      <c r="G98" s="124">
        <v>524815.24</v>
      </c>
      <c r="H98" s="124">
        <v>834980.04</v>
      </c>
      <c r="I98" s="124">
        <v>0</v>
      </c>
      <c r="J98" s="372"/>
      <c r="K98" s="563"/>
      <c r="L98" s="124">
        <v>524815.24</v>
      </c>
      <c r="N98" s="124">
        <v>310164.8</v>
      </c>
      <c r="P98" s="563"/>
      <c r="Q98" s="124">
        <v>0</v>
      </c>
      <c r="U98" s="122"/>
      <c r="V98" s="121">
        <v>52338.240000000005</v>
      </c>
      <c r="X98" s="121">
        <v>102708.82</v>
      </c>
      <c r="Z98" s="122"/>
      <c r="AA98" s="121">
        <v>0</v>
      </c>
    </row>
    <row r="99" spans="1:27" x14ac:dyDescent="0.3">
      <c r="A99" s="125">
        <v>16048</v>
      </c>
      <c r="B99" s="19" t="s">
        <v>52</v>
      </c>
      <c r="C99" t="s">
        <v>931</v>
      </c>
      <c r="D99" s="563"/>
      <c r="E99" s="124">
        <v>1742557.7399999998</v>
      </c>
      <c r="F99" s="563"/>
      <c r="G99" s="124">
        <v>4044059.21</v>
      </c>
      <c r="H99" s="124">
        <v>5786616.9499999993</v>
      </c>
      <c r="I99" s="124">
        <v>0</v>
      </c>
      <c r="J99" s="372"/>
      <c r="K99" s="563"/>
      <c r="L99" s="124">
        <v>4044059.21</v>
      </c>
      <c r="N99" s="124">
        <v>1742557.7399999998</v>
      </c>
      <c r="P99" s="563"/>
      <c r="Q99" s="124">
        <v>0</v>
      </c>
      <c r="U99" s="122"/>
      <c r="V99" s="121">
        <v>83538.990000000005</v>
      </c>
      <c r="X99" s="121">
        <v>110230.3</v>
      </c>
      <c r="Z99" s="122"/>
      <c r="AA99" s="121">
        <v>0</v>
      </c>
    </row>
    <row r="100" spans="1:27" x14ac:dyDescent="0.3">
      <c r="A100" s="125">
        <v>16049</v>
      </c>
      <c r="B100" s="19" t="s">
        <v>52</v>
      </c>
      <c r="C100" t="s">
        <v>765</v>
      </c>
      <c r="D100" s="563">
        <v>87185.71</v>
      </c>
      <c r="E100" s="124">
        <v>2747900.55</v>
      </c>
      <c r="F100" s="563">
        <v>0</v>
      </c>
      <c r="G100" s="124">
        <v>5833123.7199999997</v>
      </c>
      <c r="H100" s="124">
        <v>8668209.9800000004</v>
      </c>
      <c r="I100" s="124">
        <v>0</v>
      </c>
      <c r="J100" s="372"/>
      <c r="K100" s="563">
        <v>0</v>
      </c>
      <c r="L100" s="124">
        <v>5833123.7199999997</v>
      </c>
      <c r="N100" s="124">
        <v>2747900.55</v>
      </c>
      <c r="P100" s="563">
        <v>87185.71</v>
      </c>
      <c r="Q100" s="124">
        <v>0</v>
      </c>
      <c r="U100" s="122">
        <v>25753.73</v>
      </c>
      <c r="V100" s="121">
        <v>89433.4</v>
      </c>
      <c r="X100" s="121">
        <v>120389.94</v>
      </c>
      <c r="Z100" s="122">
        <v>0</v>
      </c>
      <c r="AA100" s="121">
        <v>0</v>
      </c>
    </row>
    <row r="101" spans="1:27" x14ac:dyDescent="0.3">
      <c r="A101" s="125">
        <v>16050</v>
      </c>
      <c r="B101" s="19" t="s">
        <v>52</v>
      </c>
      <c r="C101" t="s">
        <v>925</v>
      </c>
      <c r="D101" s="563"/>
      <c r="E101" s="124">
        <v>3491774.9400000004</v>
      </c>
      <c r="F101" s="563">
        <v>0</v>
      </c>
      <c r="G101" s="124">
        <v>9851352.1099999994</v>
      </c>
      <c r="H101" s="124">
        <v>13343127.050000001</v>
      </c>
      <c r="I101" s="124">
        <v>0</v>
      </c>
      <c r="J101" s="372"/>
      <c r="K101" s="563">
        <v>0</v>
      </c>
      <c r="L101" s="124">
        <v>9851352.1099999994</v>
      </c>
      <c r="N101" s="124">
        <v>3491774.9400000004</v>
      </c>
      <c r="P101" s="563"/>
      <c r="Q101" s="124">
        <v>0</v>
      </c>
      <c r="U101" s="122">
        <v>3104.64</v>
      </c>
      <c r="V101" s="121">
        <v>260600.72999999998</v>
      </c>
      <c r="X101" s="121">
        <v>246336.8</v>
      </c>
      <c r="Z101" s="122"/>
      <c r="AA101" s="121">
        <v>0</v>
      </c>
    </row>
    <row r="102" spans="1:27" x14ac:dyDescent="0.3">
      <c r="A102" s="125">
        <v>17001</v>
      </c>
      <c r="B102" s="19" t="s">
        <v>29</v>
      </c>
      <c r="C102" t="s">
        <v>951</v>
      </c>
      <c r="D102" s="563">
        <v>351237.25</v>
      </c>
      <c r="E102" s="124">
        <v>216253094.22</v>
      </c>
      <c r="F102" s="563">
        <v>387074.19</v>
      </c>
      <c r="G102" s="124">
        <v>493260456.38</v>
      </c>
      <c r="H102" s="124">
        <v>710251862.03999996</v>
      </c>
      <c r="I102" s="124">
        <v>0</v>
      </c>
      <c r="J102" s="372"/>
      <c r="K102" s="563">
        <v>387074.19</v>
      </c>
      <c r="L102" s="124">
        <v>493260456.38</v>
      </c>
      <c r="N102" s="124">
        <v>216253094.22</v>
      </c>
      <c r="P102" s="563">
        <v>351237.25</v>
      </c>
      <c r="Q102" s="124">
        <v>0</v>
      </c>
      <c r="U102" s="122">
        <v>1131452.94</v>
      </c>
      <c r="V102" s="121">
        <v>15199515.879999999</v>
      </c>
      <c r="X102" s="121">
        <v>12437946.91</v>
      </c>
      <c r="Z102" s="122">
        <v>13490.86</v>
      </c>
      <c r="AA102" s="121">
        <v>0</v>
      </c>
    </row>
    <row r="103" spans="1:27" x14ac:dyDescent="0.3">
      <c r="A103" s="125">
        <v>17210</v>
      </c>
      <c r="B103" s="19" t="s">
        <v>29</v>
      </c>
      <c r="C103" t="s">
        <v>811</v>
      </c>
      <c r="D103" s="563">
        <v>34088.47</v>
      </c>
      <c r="E103" s="124">
        <v>64735399.400000006</v>
      </c>
      <c r="F103" s="563">
        <v>154333.44</v>
      </c>
      <c r="G103" s="124">
        <v>182906402.14999998</v>
      </c>
      <c r="H103" s="124">
        <v>247830223.45999998</v>
      </c>
      <c r="I103" s="124">
        <v>0</v>
      </c>
      <c r="J103" s="372"/>
      <c r="K103" s="563">
        <v>154333.44</v>
      </c>
      <c r="L103" s="124">
        <v>182906402.14999998</v>
      </c>
      <c r="N103" s="124">
        <v>64735399.400000006</v>
      </c>
      <c r="P103" s="563">
        <v>34088.47</v>
      </c>
      <c r="Q103" s="124">
        <v>0</v>
      </c>
      <c r="U103" s="122">
        <v>129613.87</v>
      </c>
      <c r="V103" s="121">
        <v>5306213.2699999996</v>
      </c>
      <c r="X103" s="121">
        <v>4133787.39</v>
      </c>
      <c r="Z103" s="122">
        <v>0</v>
      </c>
      <c r="AA103" s="121">
        <v>0</v>
      </c>
    </row>
    <row r="104" spans="1:27" x14ac:dyDescent="0.3">
      <c r="A104" s="125">
        <v>17216</v>
      </c>
      <c r="B104" s="19" t="s">
        <v>29</v>
      </c>
      <c r="C104" t="s">
        <v>805</v>
      </c>
      <c r="D104" s="563"/>
      <c r="E104" s="124">
        <v>13345373.07</v>
      </c>
      <c r="F104" s="563">
        <v>0</v>
      </c>
      <c r="G104" s="124">
        <v>33375023.560000002</v>
      </c>
      <c r="H104" s="124">
        <v>46720396.630000003</v>
      </c>
      <c r="I104" s="124">
        <v>0</v>
      </c>
      <c r="J104" s="372"/>
      <c r="K104" s="563">
        <v>0</v>
      </c>
      <c r="L104" s="124">
        <v>33375023.560000002</v>
      </c>
      <c r="N104" s="124">
        <v>13345373.07</v>
      </c>
      <c r="P104" s="563"/>
      <c r="Q104" s="124">
        <v>0</v>
      </c>
      <c r="U104" s="122">
        <v>13040.75</v>
      </c>
      <c r="V104" s="121">
        <v>684312.51</v>
      </c>
      <c r="X104" s="121">
        <v>829770.02</v>
      </c>
      <c r="Z104" s="122"/>
      <c r="AA104" s="121">
        <v>0</v>
      </c>
    </row>
    <row r="105" spans="1:27" x14ac:dyDescent="0.3">
      <c r="A105" s="125">
        <v>17400</v>
      </c>
      <c r="B105" s="19" t="s">
        <v>29</v>
      </c>
      <c r="C105" t="s">
        <v>869</v>
      </c>
      <c r="D105" s="563"/>
      <c r="E105" s="124">
        <v>13171625.880000001</v>
      </c>
      <c r="F105" s="563">
        <v>70791.91</v>
      </c>
      <c r="G105" s="124">
        <v>34653587.270000003</v>
      </c>
      <c r="H105" s="124">
        <v>47896005.060000002</v>
      </c>
      <c r="I105" s="124">
        <v>0</v>
      </c>
      <c r="J105" s="372"/>
      <c r="K105" s="563">
        <v>70791.91</v>
      </c>
      <c r="L105" s="124">
        <v>34653587.270000003</v>
      </c>
      <c r="N105" s="124">
        <v>13171625.880000001</v>
      </c>
      <c r="P105" s="563"/>
      <c r="Q105" s="124">
        <v>0</v>
      </c>
      <c r="U105" s="122">
        <v>46946.76</v>
      </c>
      <c r="V105" s="121">
        <v>824173.89</v>
      </c>
      <c r="X105" s="121">
        <v>705041.08</v>
      </c>
      <c r="Z105" s="122"/>
      <c r="AA105" s="121">
        <v>0</v>
      </c>
    </row>
    <row r="106" spans="1:27" x14ac:dyDescent="0.3">
      <c r="A106" s="125">
        <v>17401</v>
      </c>
      <c r="B106" s="19" t="s">
        <v>29</v>
      </c>
      <c r="C106" t="s">
        <v>829</v>
      </c>
      <c r="D106" s="563">
        <v>66732.960000000006</v>
      </c>
      <c r="E106" s="124">
        <v>70150202.909999996</v>
      </c>
      <c r="F106" s="563">
        <v>0</v>
      </c>
      <c r="G106" s="124">
        <v>171484514.05000001</v>
      </c>
      <c r="H106" s="124">
        <v>241701449.92000002</v>
      </c>
      <c r="I106" s="124">
        <v>0</v>
      </c>
      <c r="J106" s="372"/>
      <c r="K106" s="563">
        <v>0</v>
      </c>
      <c r="L106" s="124">
        <v>171484514.05000001</v>
      </c>
      <c r="N106" s="124">
        <v>70150202.909999996</v>
      </c>
      <c r="P106" s="563">
        <v>66732.960000000006</v>
      </c>
      <c r="Q106" s="124">
        <v>0</v>
      </c>
      <c r="U106" s="122">
        <v>27172.51</v>
      </c>
      <c r="V106" s="121">
        <v>2569120.64</v>
      </c>
      <c r="X106" s="121">
        <v>1937272.74</v>
      </c>
      <c r="Z106" s="122">
        <v>0</v>
      </c>
      <c r="AA106" s="121">
        <v>0</v>
      </c>
    </row>
    <row r="107" spans="1:27" x14ac:dyDescent="0.3">
      <c r="A107" s="125">
        <v>17402</v>
      </c>
      <c r="B107" s="19" t="s">
        <v>29</v>
      </c>
      <c r="C107" t="s">
        <v>996</v>
      </c>
      <c r="D107" s="563"/>
      <c r="E107" s="124">
        <v>4535255.84</v>
      </c>
      <c r="F107" s="563">
        <v>0</v>
      </c>
      <c r="G107" s="124">
        <v>10759084.15</v>
      </c>
      <c r="H107" s="124">
        <v>15294339.989999998</v>
      </c>
      <c r="I107" s="124">
        <v>0</v>
      </c>
      <c r="J107" s="372"/>
      <c r="K107" s="563">
        <v>0</v>
      </c>
      <c r="L107" s="124">
        <v>10759084.15</v>
      </c>
      <c r="N107" s="124">
        <v>4535255.84</v>
      </c>
      <c r="P107" s="563"/>
      <c r="Q107" s="124">
        <v>0</v>
      </c>
      <c r="U107" s="122">
        <v>35955.230000000003</v>
      </c>
      <c r="V107" s="121">
        <v>264298.90000000002</v>
      </c>
      <c r="X107" s="121">
        <v>244928.76</v>
      </c>
      <c r="Z107" s="122"/>
      <c r="AA107" s="121">
        <v>0</v>
      </c>
    </row>
    <row r="108" spans="1:27" x14ac:dyDescent="0.3">
      <c r="A108" s="125">
        <v>17403</v>
      </c>
      <c r="B108" s="19" t="s">
        <v>29</v>
      </c>
      <c r="C108" t="s">
        <v>938</v>
      </c>
      <c r="D108" s="563">
        <v>33298.699999999997</v>
      </c>
      <c r="E108" s="124">
        <v>58836132.390000001</v>
      </c>
      <c r="F108" s="563">
        <v>0</v>
      </c>
      <c r="G108" s="124">
        <v>135518505.88</v>
      </c>
      <c r="H108" s="124">
        <v>194387936.97000003</v>
      </c>
      <c r="I108" s="124">
        <v>0</v>
      </c>
      <c r="J108" s="372"/>
      <c r="K108" s="563">
        <v>0</v>
      </c>
      <c r="L108" s="124">
        <v>135518505.88</v>
      </c>
      <c r="N108" s="124">
        <v>58836132.390000001</v>
      </c>
      <c r="P108" s="563">
        <v>33298.699999999997</v>
      </c>
      <c r="Q108" s="124">
        <v>0</v>
      </c>
      <c r="U108" s="122">
        <v>236329.14</v>
      </c>
      <c r="V108" s="121">
        <v>3479341.76</v>
      </c>
      <c r="X108" s="121">
        <v>3759473.8899999997</v>
      </c>
      <c r="Z108" s="122">
        <v>0</v>
      </c>
      <c r="AA108" s="121">
        <v>0</v>
      </c>
    </row>
    <row r="109" spans="1:27" x14ac:dyDescent="0.3">
      <c r="A109" s="125">
        <v>17404</v>
      </c>
      <c r="B109" s="19" t="s">
        <v>29</v>
      </c>
      <c r="C109" t="s">
        <v>960</v>
      </c>
      <c r="D109" s="563"/>
      <c r="E109" s="124">
        <v>698857.43</v>
      </c>
      <c r="F109" s="563"/>
      <c r="G109" s="124">
        <v>1247320.22</v>
      </c>
      <c r="H109" s="124">
        <v>1946177.65</v>
      </c>
      <c r="I109" s="124">
        <v>0</v>
      </c>
      <c r="J109" s="372"/>
      <c r="K109" s="563"/>
      <c r="L109" s="124">
        <v>1247320.22</v>
      </c>
      <c r="N109" s="124">
        <v>698857.43</v>
      </c>
      <c r="P109" s="563"/>
      <c r="Q109" s="124">
        <v>0</v>
      </c>
      <c r="U109" s="122"/>
      <c r="V109" s="121">
        <v>14982.79</v>
      </c>
      <c r="X109" s="121">
        <v>0</v>
      </c>
      <c r="Z109" s="122"/>
      <c r="AA109" s="121">
        <v>0</v>
      </c>
    </row>
    <row r="110" spans="1:27" x14ac:dyDescent="0.3">
      <c r="A110" s="125">
        <v>17405</v>
      </c>
      <c r="B110" s="19" t="s">
        <v>29</v>
      </c>
      <c r="C110" t="s">
        <v>740</v>
      </c>
      <c r="D110" s="563">
        <v>52272.87</v>
      </c>
      <c r="E110" s="124">
        <v>69155300.329999998</v>
      </c>
      <c r="F110" s="563">
        <v>221047.76</v>
      </c>
      <c r="G110" s="124">
        <v>190612677.13999999</v>
      </c>
      <c r="H110" s="124">
        <v>260041298.09999999</v>
      </c>
      <c r="I110" s="124">
        <v>0</v>
      </c>
      <c r="J110" s="372"/>
      <c r="K110" s="563">
        <v>221047.76</v>
      </c>
      <c r="L110" s="124">
        <v>190612677.13999999</v>
      </c>
      <c r="N110" s="124">
        <v>69155300.329999998</v>
      </c>
      <c r="P110" s="563">
        <v>52272.87</v>
      </c>
      <c r="Q110" s="124">
        <v>0</v>
      </c>
      <c r="U110" s="122">
        <v>237465.23</v>
      </c>
      <c r="V110" s="121">
        <v>4288394.08</v>
      </c>
      <c r="X110" s="121">
        <v>5259435.3</v>
      </c>
      <c r="Z110" s="122">
        <v>0</v>
      </c>
      <c r="AA110" s="121">
        <v>0</v>
      </c>
    </row>
    <row r="111" spans="1:27" x14ac:dyDescent="0.3">
      <c r="A111" s="125">
        <v>17406</v>
      </c>
      <c r="B111" s="19" t="s">
        <v>29</v>
      </c>
      <c r="C111" t="s">
        <v>966</v>
      </c>
      <c r="D111" s="563"/>
      <c r="E111" s="124">
        <v>10182864.6</v>
      </c>
      <c r="F111" s="563">
        <v>302857.74</v>
      </c>
      <c r="G111" s="124">
        <v>23022818.259999998</v>
      </c>
      <c r="H111" s="124">
        <v>33508540.600000001</v>
      </c>
      <c r="I111" s="124">
        <v>0</v>
      </c>
      <c r="J111" s="372"/>
      <c r="K111" s="563">
        <v>302857.74</v>
      </c>
      <c r="L111" s="124">
        <v>23022818.259999998</v>
      </c>
      <c r="N111" s="124">
        <v>10182864.6</v>
      </c>
      <c r="P111" s="563"/>
      <c r="Q111" s="124">
        <v>0</v>
      </c>
      <c r="U111" s="122">
        <v>0</v>
      </c>
      <c r="V111" s="121">
        <v>702124.27</v>
      </c>
      <c r="X111" s="121">
        <v>325140.51</v>
      </c>
      <c r="Z111" s="122"/>
      <c r="AA111" s="121">
        <v>0</v>
      </c>
    </row>
    <row r="112" spans="1:27" x14ac:dyDescent="0.3">
      <c r="A112" s="125">
        <v>17407</v>
      </c>
      <c r="B112" s="19" t="s">
        <v>29</v>
      </c>
      <c r="C112" t="s">
        <v>944</v>
      </c>
      <c r="D112" s="563"/>
      <c r="E112" s="124">
        <v>8621821.5999999996</v>
      </c>
      <c r="F112" s="563">
        <v>0</v>
      </c>
      <c r="G112" s="124">
        <v>23511925.260000002</v>
      </c>
      <c r="H112" s="124">
        <v>32133746.859999999</v>
      </c>
      <c r="I112" s="124">
        <v>0</v>
      </c>
      <c r="J112" s="372"/>
      <c r="K112" s="563">
        <v>0</v>
      </c>
      <c r="L112" s="124">
        <v>23511925.260000002</v>
      </c>
      <c r="N112" s="124">
        <v>8621821.5999999996</v>
      </c>
      <c r="P112" s="563"/>
      <c r="Q112" s="124">
        <v>0</v>
      </c>
      <c r="U112" s="122">
        <v>19359.849999999999</v>
      </c>
      <c r="V112" s="121">
        <v>316572.70999999996</v>
      </c>
      <c r="X112" s="121">
        <v>817187.38</v>
      </c>
      <c r="Z112" s="122"/>
      <c r="AA112" s="121">
        <v>0</v>
      </c>
    </row>
    <row r="113" spans="1:27" x14ac:dyDescent="0.3">
      <c r="A113" s="125">
        <v>17408</v>
      </c>
      <c r="B113" s="19" t="s">
        <v>29</v>
      </c>
      <c r="C113" t="s">
        <v>737</v>
      </c>
      <c r="D113" s="563"/>
      <c r="E113" s="124">
        <v>60259351.859999999</v>
      </c>
      <c r="F113" s="563">
        <v>120508.73</v>
      </c>
      <c r="G113" s="124">
        <v>161583907.70999998</v>
      </c>
      <c r="H113" s="124">
        <v>221963768.30000001</v>
      </c>
      <c r="I113" s="124">
        <v>0</v>
      </c>
      <c r="J113" s="372"/>
      <c r="K113" s="563">
        <v>120508.73</v>
      </c>
      <c r="L113" s="124">
        <v>161583907.70999998</v>
      </c>
      <c r="N113" s="124">
        <v>60259351.859999999</v>
      </c>
      <c r="P113" s="563"/>
      <c r="Q113" s="124">
        <v>0</v>
      </c>
      <c r="U113" s="122">
        <v>154800.41</v>
      </c>
      <c r="V113" s="121">
        <v>4184772.0599999996</v>
      </c>
      <c r="X113" s="121">
        <v>3302966.17</v>
      </c>
      <c r="Z113" s="122"/>
      <c r="AA113" s="121">
        <v>0</v>
      </c>
    </row>
    <row r="114" spans="1:27" x14ac:dyDescent="0.3">
      <c r="A114" s="125">
        <v>17409</v>
      </c>
      <c r="B114" s="19" t="s">
        <v>29</v>
      </c>
      <c r="C114" t="s">
        <v>981</v>
      </c>
      <c r="D114" s="563">
        <v>73833.59</v>
      </c>
      <c r="E114" s="124">
        <v>25311837.969999999</v>
      </c>
      <c r="F114" s="563">
        <v>0</v>
      </c>
      <c r="G114" s="124">
        <v>73531491.020000011</v>
      </c>
      <c r="H114" s="124">
        <v>98917162.579999998</v>
      </c>
      <c r="I114" s="124">
        <v>0</v>
      </c>
      <c r="J114" s="372"/>
      <c r="K114" s="563">
        <v>0</v>
      </c>
      <c r="L114" s="124">
        <v>73531491.020000011</v>
      </c>
      <c r="N114" s="124">
        <v>25311837.969999999</v>
      </c>
      <c r="P114" s="563">
        <v>73833.59</v>
      </c>
      <c r="Q114" s="124">
        <v>0</v>
      </c>
      <c r="U114" s="122">
        <v>120412.87</v>
      </c>
      <c r="V114" s="121">
        <v>1738885.79</v>
      </c>
      <c r="X114" s="121">
        <v>2821017.7800000003</v>
      </c>
      <c r="Z114" s="122">
        <v>0</v>
      </c>
      <c r="AA114" s="121">
        <v>0</v>
      </c>
    </row>
    <row r="115" spans="1:27" x14ac:dyDescent="0.3">
      <c r="A115" s="125">
        <v>17410</v>
      </c>
      <c r="B115" s="19" t="s">
        <v>29</v>
      </c>
      <c r="C115" t="s">
        <v>962</v>
      </c>
      <c r="D115" s="563">
        <v>32479.14</v>
      </c>
      <c r="E115" s="124">
        <v>17129059.120000001</v>
      </c>
      <c r="F115" s="563"/>
      <c r="G115" s="124">
        <v>60312277.539999999</v>
      </c>
      <c r="H115" s="124">
        <v>77473815.800000012</v>
      </c>
      <c r="I115" s="124">
        <v>0</v>
      </c>
      <c r="J115" s="372"/>
      <c r="K115" s="563"/>
      <c r="L115" s="124">
        <v>60312277.539999999</v>
      </c>
      <c r="N115" s="124">
        <v>17129059.120000001</v>
      </c>
      <c r="P115" s="563">
        <v>32479.14</v>
      </c>
      <c r="Q115" s="124">
        <v>0</v>
      </c>
      <c r="U115" s="122"/>
      <c r="V115" s="121">
        <v>1378122.4100000001</v>
      </c>
      <c r="X115" s="121">
        <v>1054061.45</v>
      </c>
      <c r="Z115" s="122">
        <v>0</v>
      </c>
      <c r="AA115" s="121">
        <v>0</v>
      </c>
    </row>
    <row r="116" spans="1:27" x14ac:dyDescent="0.3">
      <c r="A116" s="125">
        <v>17411</v>
      </c>
      <c r="B116" s="19" t="s">
        <v>29</v>
      </c>
      <c r="C116" t="s">
        <v>835</v>
      </c>
      <c r="D116" s="563"/>
      <c r="E116" s="124">
        <v>63756187.230000004</v>
      </c>
      <c r="F116" s="563">
        <v>0</v>
      </c>
      <c r="G116" s="124">
        <v>167904680.15000001</v>
      </c>
      <c r="H116" s="124">
        <v>231660867.38</v>
      </c>
      <c r="I116" s="124">
        <v>0</v>
      </c>
      <c r="J116" s="372"/>
      <c r="K116" s="563">
        <v>0</v>
      </c>
      <c r="L116" s="124">
        <v>167904680.15000001</v>
      </c>
      <c r="N116" s="124">
        <v>63756187.230000004</v>
      </c>
      <c r="P116" s="563"/>
      <c r="Q116" s="124">
        <v>0</v>
      </c>
      <c r="U116" s="122">
        <v>101877.98</v>
      </c>
      <c r="V116" s="121">
        <v>4981578.9800000004</v>
      </c>
      <c r="X116" s="121">
        <v>4084279.38</v>
      </c>
      <c r="Z116" s="122"/>
      <c r="AA116" s="121">
        <v>0</v>
      </c>
    </row>
    <row r="117" spans="1:27" x14ac:dyDescent="0.3">
      <c r="A117" s="125">
        <v>17412</v>
      </c>
      <c r="B117" s="19" t="s">
        <v>29</v>
      </c>
      <c r="C117" t="s">
        <v>958</v>
      </c>
      <c r="D117" s="563">
        <v>267648</v>
      </c>
      <c r="E117" s="124">
        <v>25857949.329999998</v>
      </c>
      <c r="F117" s="563">
        <v>131486.37</v>
      </c>
      <c r="G117" s="124">
        <v>76154065.99000001</v>
      </c>
      <c r="H117" s="124">
        <v>102411149.69</v>
      </c>
      <c r="I117" s="124">
        <v>0</v>
      </c>
      <c r="J117" s="372"/>
      <c r="K117" s="563">
        <v>131486.37</v>
      </c>
      <c r="L117" s="124">
        <v>76154065.99000001</v>
      </c>
      <c r="N117" s="124">
        <v>25857949.329999998</v>
      </c>
      <c r="P117" s="563">
        <v>267648</v>
      </c>
      <c r="Q117" s="124">
        <v>0</v>
      </c>
      <c r="U117" s="122">
        <v>129641.68</v>
      </c>
      <c r="V117" s="121">
        <v>1715497.9</v>
      </c>
      <c r="X117" s="121">
        <v>2402315.4099999997</v>
      </c>
      <c r="Z117" s="122">
        <v>0</v>
      </c>
      <c r="AA117" s="121">
        <v>0</v>
      </c>
    </row>
    <row r="118" spans="1:27" x14ac:dyDescent="0.3">
      <c r="A118" s="125">
        <v>17414</v>
      </c>
      <c r="B118" s="19" t="s">
        <v>29</v>
      </c>
      <c r="C118" t="s">
        <v>850</v>
      </c>
      <c r="D118" s="563">
        <v>51431.03</v>
      </c>
      <c r="E118" s="124">
        <v>83149833.450000003</v>
      </c>
      <c r="F118" s="563">
        <v>0</v>
      </c>
      <c r="G118" s="124">
        <v>266927432.53999999</v>
      </c>
      <c r="H118" s="124">
        <v>350128697.01999998</v>
      </c>
      <c r="I118" s="124">
        <v>0</v>
      </c>
      <c r="J118" s="372"/>
      <c r="K118" s="563">
        <v>0</v>
      </c>
      <c r="L118" s="124">
        <v>266927432.53999999</v>
      </c>
      <c r="N118" s="124">
        <v>83149833.450000003</v>
      </c>
      <c r="P118" s="563">
        <v>51431.03</v>
      </c>
      <c r="Q118" s="124">
        <v>0</v>
      </c>
      <c r="U118" s="122">
        <v>173032.04</v>
      </c>
      <c r="V118" s="121">
        <v>7406079.5499999998</v>
      </c>
      <c r="X118" s="121">
        <v>4607047.1900000004</v>
      </c>
      <c r="Z118" s="122">
        <v>0</v>
      </c>
      <c r="AA118" s="121">
        <v>0</v>
      </c>
    </row>
    <row r="119" spans="1:27" x14ac:dyDescent="0.3">
      <c r="A119" s="125">
        <v>17415</v>
      </c>
      <c r="B119" s="19" t="s">
        <v>29</v>
      </c>
      <c r="C119" t="s">
        <v>841</v>
      </c>
      <c r="D119" s="563">
        <v>119316.24</v>
      </c>
      <c r="E119" s="124">
        <v>81245267.520000011</v>
      </c>
      <c r="F119" s="563">
        <v>0</v>
      </c>
      <c r="G119" s="124">
        <v>229909390.67000002</v>
      </c>
      <c r="H119" s="124">
        <v>311273974.43000001</v>
      </c>
      <c r="I119" s="124">
        <v>0</v>
      </c>
      <c r="J119" s="372"/>
      <c r="K119" s="563">
        <v>0</v>
      </c>
      <c r="L119" s="124">
        <v>229909390.67000002</v>
      </c>
      <c r="N119" s="124">
        <v>81245267.520000011</v>
      </c>
      <c r="P119" s="563">
        <v>119316.24</v>
      </c>
      <c r="Q119" s="124">
        <v>0</v>
      </c>
      <c r="U119" s="122">
        <v>1247.9000000000001</v>
      </c>
      <c r="V119" s="121">
        <v>5262134.5</v>
      </c>
      <c r="X119" s="121">
        <v>4653020.4400000004</v>
      </c>
      <c r="Z119" s="122">
        <v>0</v>
      </c>
      <c r="AA119" s="121">
        <v>0</v>
      </c>
    </row>
    <row r="120" spans="1:27" x14ac:dyDescent="0.3">
      <c r="A120" s="125">
        <v>17417</v>
      </c>
      <c r="B120" s="19" t="s">
        <v>29</v>
      </c>
      <c r="C120" t="s">
        <v>896</v>
      </c>
      <c r="D120" s="563">
        <v>73972.789999999994</v>
      </c>
      <c r="E120" s="124">
        <v>85624246.24000001</v>
      </c>
      <c r="F120" s="563">
        <v>0</v>
      </c>
      <c r="G120" s="124">
        <v>193490032.99000001</v>
      </c>
      <c r="H120" s="124">
        <v>279188252.01999998</v>
      </c>
      <c r="I120" s="124">
        <v>0</v>
      </c>
      <c r="J120" s="372"/>
      <c r="K120" s="563">
        <v>0</v>
      </c>
      <c r="L120" s="124">
        <v>193490032.99000001</v>
      </c>
      <c r="N120" s="124">
        <v>85624246.24000001</v>
      </c>
      <c r="P120" s="563">
        <v>73972.789999999994</v>
      </c>
      <c r="Q120" s="124">
        <v>0</v>
      </c>
      <c r="U120" s="122">
        <v>168125.36</v>
      </c>
      <c r="V120" s="121">
        <v>5106342.37</v>
      </c>
      <c r="X120" s="121">
        <v>8053503.6599999992</v>
      </c>
      <c r="Z120" s="122">
        <v>0</v>
      </c>
      <c r="AA120" s="121">
        <v>0</v>
      </c>
    </row>
    <row r="121" spans="1:27" x14ac:dyDescent="0.3">
      <c r="A121" s="125">
        <v>17801</v>
      </c>
      <c r="B121" s="19">
        <v>121</v>
      </c>
      <c r="C121" t="s">
        <v>1119</v>
      </c>
      <c r="D121" s="563"/>
      <c r="E121" s="124">
        <v>31912042.699999999</v>
      </c>
      <c r="F121" s="563"/>
      <c r="G121" s="124">
        <v>800168.34</v>
      </c>
      <c r="H121" s="124">
        <v>32712211.039999999</v>
      </c>
      <c r="I121" s="124">
        <v>0</v>
      </c>
      <c r="J121" s="372"/>
      <c r="K121" s="563"/>
      <c r="L121" s="124">
        <v>800168.34</v>
      </c>
      <c r="N121" s="124">
        <v>31912042.699999999</v>
      </c>
      <c r="P121" s="563"/>
      <c r="Q121" s="124">
        <v>0</v>
      </c>
      <c r="U121" s="122"/>
      <c r="V121" s="121">
        <v>0</v>
      </c>
      <c r="X121" s="121">
        <v>618305.77</v>
      </c>
      <c r="Z121" s="122"/>
      <c r="AA121" s="121">
        <v>0</v>
      </c>
    </row>
    <row r="122" spans="1:27" x14ac:dyDescent="0.3">
      <c r="A122" s="125">
        <v>17902</v>
      </c>
      <c r="B122" s="19" t="s">
        <v>1039</v>
      </c>
      <c r="C122" t="s">
        <v>1026</v>
      </c>
      <c r="D122" s="563"/>
      <c r="E122" s="124">
        <v>1199455.6600000001</v>
      </c>
      <c r="F122" s="563"/>
      <c r="G122" s="124">
        <v>7430676.2200000007</v>
      </c>
      <c r="H122" s="124">
        <v>8630131.8800000008</v>
      </c>
      <c r="I122" s="124">
        <v>0</v>
      </c>
      <c r="J122" s="372"/>
      <c r="K122" s="563"/>
      <c r="L122" s="124">
        <v>7430676.2200000007</v>
      </c>
      <c r="N122" s="124">
        <v>1199455.6600000001</v>
      </c>
      <c r="P122" s="563"/>
      <c r="Q122" s="124">
        <v>0</v>
      </c>
      <c r="U122" s="122"/>
      <c r="V122" s="121">
        <v>0</v>
      </c>
      <c r="X122" s="121">
        <v>0</v>
      </c>
      <c r="Z122" s="122"/>
      <c r="AA122" s="121">
        <v>0</v>
      </c>
    </row>
    <row r="123" spans="1:27" x14ac:dyDescent="0.3">
      <c r="A123" s="125">
        <v>17908</v>
      </c>
      <c r="B123" s="19" t="s">
        <v>1039</v>
      </c>
      <c r="C123" t="s">
        <v>1023</v>
      </c>
      <c r="D123" s="563"/>
      <c r="E123" s="124">
        <v>719661.38</v>
      </c>
      <c r="F123" s="563"/>
      <c r="G123" s="124">
        <v>2550126.71</v>
      </c>
      <c r="H123" s="124">
        <v>3269788.09</v>
      </c>
      <c r="I123" s="124">
        <v>0</v>
      </c>
      <c r="J123" s="372"/>
      <c r="K123" s="563"/>
      <c r="L123" s="124">
        <v>2550126.71</v>
      </c>
      <c r="N123" s="124">
        <v>719661.38</v>
      </c>
      <c r="P123" s="563"/>
      <c r="Q123" s="124">
        <v>0</v>
      </c>
      <c r="U123" s="122"/>
      <c r="V123" s="121">
        <v>0</v>
      </c>
      <c r="X123" s="121">
        <v>0</v>
      </c>
      <c r="Z123" s="122"/>
      <c r="AA123" s="121">
        <v>0</v>
      </c>
    </row>
    <row r="124" spans="1:27" x14ac:dyDescent="0.3">
      <c r="A124" s="125">
        <v>17911</v>
      </c>
      <c r="B124" s="19" t="s">
        <v>1039</v>
      </c>
      <c r="C124" t="s">
        <v>1120</v>
      </c>
      <c r="D124" s="563"/>
      <c r="E124" s="124">
        <v>3369724.16</v>
      </c>
      <c r="F124" s="563"/>
      <c r="G124" s="124">
        <v>6558680.3000000007</v>
      </c>
      <c r="H124" s="124">
        <v>9928404.4600000009</v>
      </c>
      <c r="I124" s="124">
        <v>0</v>
      </c>
      <c r="J124" s="372"/>
      <c r="K124" s="563"/>
      <c r="L124" s="124">
        <v>6558680.3000000007</v>
      </c>
      <c r="N124" s="124">
        <v>3369724.16</v>
      </c>
      <c r="P124" s="563"/>
      <c r="Q124" s="124">
        <v>0</v>
      </c>
      <c r="U124" s="122"/>
      <c r="V124" s="121">
        <v>0</v>
      </c>
      <c r="X124" s="121">
        <v>0</v>
      </c>
      <c r="Z124" s="122"/>
      <c r="AA124" s="121">
        <v>0</v>
      </c>
    </row>
    <row r="125" spans="1:27" x14ac:dyDescent="0.3">
      <c r="A125" s="125">
        <v>17917</v>
      </c>
      <c r="B125" s="19" t="s">
        <v>1039</v>
      </c>
      <c r="C125" t="s">
        <v>1216</v>
      </c>
      <c r="D125" s="563"/>
      <c r="E125" s="124">
        <v>308609.36</v>
      </c>
      <c r="F125" s="563"/>
      <c r="G125" s="124">
        <v>925035.71</v>
      </c>
      <c r="H125" s="124">
        <v>1233645.07</v>
      </c>
      <c r="I125" s="124">
        <v>0</v>
      </c>
      <c r="J125" s="372"/>
      <c r="K125" s="563"/>
      <c r="L125" s="124">
        <v>925035.71</v>
      </c>
      <c r="N125" s="124">
        <v>308609.36</v>
      </c>
      <c r="P125" s="563"/>
      <c r="Q125" s="124">
        <v>0</v>
      </c>
      <c r="U125" s="122"/>
      <c r="V125" s="121">
        <v>92474.5</v>
      </c>
      <c r="X125" s="121">
        <v>32386.03</v>
      </c>
      <c r="Z125" s="122"/>
      <c r="AA125" s="121">
        <v>0</v>
      </c>
    </row>
    <row r="126" spans="1:27" x14ac:dyDescent="0.3">
      <c r="A126" s="125">
        <v>18100</v>
      </c>
      <c r="B126" s="19" t="s">
        <v>52</v>
      </c>
      <c r="C126" t="s">
        <v>747</v>
      </c>
      <c r="D126" s="563">
        <v>125246.56</v>
      </c>
      <c r="E126" s="124">
        <v>15801559.84</v>
      </c>
      <c r="F126" s="563">
        <v>0</v>
      </c>
      <c r="G126" s="124">
        <v>41805961.920000002</v>
      </c>
      <c r="H126" s="124">
        <v>57732768.32</v>
      </c>
      <c r="I126" s="124">
        <v>0</v>
      </c>
      <c r="J126" s="372"/>
      <c r="K126" s="563">
        <v>0</v>
      </c>
      <c r="L126" s="124">
        <v>41805961.920000002</v>
      </c>
      <c r="N126" s="124">
        <v>15801559.84</v>
      </c>
      <c r="P126" s="563">
        <v>125246.56</v>
      </c>
      <c r="Q126" s="124">
        <v>0</v>
      </c>
      <c r="U126" s="122">
        <v>21502.11</v>
      </c>
      <c r="V126" s="121">
        <v>851699.4</v>
      </c>
      <c r="X126" s="121">
        <v>927913.58</v>
      </c>
      <c r="Z126" s="122">
        <v>0</v>
      </c>
      <c r="AA126" s="121">
        <v>0</v>
      </c>
    </row>
    <row r="127" spans="1:27" x14ac:dyDescent="0.3">
      <c r="A127" s="125">
        <v>18303</v>
      </c>
      <c r="B127" s="19" t="s">
        <v>29</v>
      </c>
      <c r="C127" t="s">
        <v>738</v>
      </c>
      <c r="D127" s="563"/>
      <c r="E127" s="124">
        <v>11889174.390000001</v>
      </c>
      <c r="F127" s="563">
        <v>0</v>
      </c>
      <c r="G127" s="124">
        <v>30159576.210000001</v>
      </c>
      <c r="H127" s="124">
        <v>42048750.600000001</v>
      </c>
      <c r="I127" s="124">
        <v>0</v>
      </c>
      <c r="J127" s="372"/>
      <c r="K127" s="563">
        <v>0</v>
      </c>
      <c r="L127" s="124">
        <v>30159576.210000001</v>
      </c>
      <c r="N127" s="124">
        <v>11889174.390000001</v>
      </c>
      <c r="P127" s="563"/>
      <c r="Q127" s="124">
        <v>0</v>
      </c>
      <c r="U127" s="122">
        <v>4599.9399999999996</v>
      </c>
      <c r="V127" s="121">
        <v>795981.73</v>
      </c>
      <c r="X127" s="121">
        <v>1261619.1200000001</v>
      </c>
      <c r="Z127" s="122"/>
      <c r="AA127" s="121">
        <v>0</v>
      </c>
    </row>
    <row r="128" spans="1:27" x14ac:dyDescent="0.3">
      <c r="A128" s="125">
        <v>18400</v>
      </c>
      <c r="B128" s="19" t="s">
        <v>52</v>
      </c>
      <c r="C128" t="s">
        <v>893</v>
      </c>
      <c r="D128" s="563">
        <v>57909.760000000002</v>
      </c>
      <c r="E128" s="124">
        <v>21304740.990000002</v>
      </c>
      <c r="F128" s="563">
        <v>0</v>
      </c>
      <c r="G128" s="124">
        <v>42079365.649999999</v>
      </c>
      <c r="H128" s="124">
        <v>63442016.400000006</v>
      </c>
      <c r="I128" s="124">
        <v>0</v>
      </c>
      <c r="J128" s="372"/>
      <c r="K128" s="563">
        <v>0</v>
      </c>
      <c r="L128" s="124">
        <v>42079365.649999999</v>
      </c>
      <c r="N128" s="124">
        <v>21304740.990000002</v>
      </c>
      <c r="P128" s="563">
        <v>57909.760000000002</v>
      </c>
      <c r="Q128" s="124">
        <v>0</v>
      </c>
      <c r="U128" s="122">
        <v>51669.42</v>
      </c>
      <c r="V128" s="121">
        <v>981243.22</v>
      </c>
      <c r="X128" s="121">
        <v>1752524.57</v>
      </c>
      <c r="Z128" s="122">
        <v>0</v>
      </c>
      <c r="AA128" s="121">
        <v>0</v>
      </c>
    </row>
    <row r="129" spans="1:27" x14ac:dyDescent="0.3">
      <c r="A129" s="125">
        <v>18401</v>
      </c>
      <c r="B129" s="19" t="s">
        <v>52</v>
      </c>
      <c r="C129" t="s">
        <v>759</v>
      </c>
      <c r="D129" s="563">
        <v>34917.410000000003</v>
      </c>
      <c r="E129" s="124">
        <v>33547769.310000002</v>
      </c>
      <c r="F129" s="563">
        <v>129707.2</v>
      </c>
      <c r="G129" s="124">
        <v>86500186.019999996</v>
      </c>
      <c r="H129" s="124">
        <v>120212579.94</v>
      </c>
      <c r="I129" s="124">
        <v>0</v>
      </c>
      <c r="J129" s="372"/>
      <c r="K129" s="563">
        <v>129707.2</v>
      </c>
      <c r="L129" s="124">
        <v>86500186.019999996</v>
      </c>
      <c r="N129" s="124">
        <v>33547769.310000002</v>
      </c>
      <c r="P129" s="563">
        <v>34917.410000000003</v>
      </c>
      <c r="Q129" s="124">
        <v>0</v>
      </c>
      <c r="U129" s="122">
        <v>8514.5400000000009</v>
      </c>
      <c r="V129" s="121">
        <v>2438470.75</v>
      </c>
      <c r="X129" s="121">
        <v>1830275.82</v>
      </c>
      <c r="Z129" s="122">
        <v>0</v>
      </c>
      <c r="AA129" s="121">
        <v>0</v>
      </c>
    </row>
    <row r="130" spans="1:27" x14ac:dyDescent="0.3">
      <c r="A130" s="125">
        <v>18402</v>
      </c>
      <c r="B130" s="19" t="s">
        <v>52</v>
      </c>
      <c r="C130" t="s">
        <v>967</v>
      </c>
      <c r="D130" s="563">
        <v>84565.23</v>
      </c>
      <c r="E130" s="124">
        <v>34268251.149999999</v>
      </c>
      <c r="F130" s="563">
        <v>0</v>
      </c>
      <c r="G130" s="124">
        <v>84991493.140000001</v>
      </c>
      <c r="H130" s="124">
        <v>119344309.52</v>
      </c>
      <c r="I130" s="124">
        <v>0</v>
      </c>
      <c r="J130" s="372"/>
      <c r="K130" s="563">
        <v>0</v>
      </c>
      <c r="L130" s="124">
        <v>84991493.140000001</v>
      </c>
      <c r="N130" s="124">
        <v>34268251.149999999</v>
      </c>
      <c r="P130" s="563">
        <v>84565.23</v>
      </c>
      <c r="Q130" s="124">
        <v>0</v>
      </c>
      <c r="U130" s="122">
        <v>9997.32</v>
      </c>
      <c r="V130" s="121">
        <v>2687513.27</v>
      </c>
      <c r="X130" s="121">
        <v>2127468.23</v>
      </c>
      <c r="Z130" s="122">
        <v>0</v>
      </c>
      <c r="AA130" s="121">
        <v>0</v>
      </c>
    </row>
    <row r="131" spans="1:27" x14ac:dyDescent="0.3">
      <c r="A131" s="125">
        <v>18801</v>
      </c>
      <c r="B131" s="19">
        <v>114</v>
      </c>
      <c r="C131" t="s">
        <v>1121</v>
      </c>
      <c r="D131" s="563"/>
      <c r="E131" s="124">
        <v>9965508.9699999988</v>
      </c>
      <c r="F131" s="563"/>
      <c r="G131" s="124">
        <v>6025304.1600000001</v>
      </c>
      <c r="H131" s="124">
        <v>15990813.129999999</v>
      </c>
      <c r="I131" s="124">
        <v>0</v>
      </c>
      <c r="J131" s="372"/>
      <c r="K131" s="563"/>
      <c r="L131" s="124">
        <v>6025304.1600000001</v>
      </c>
      <c r="N131" s="124">
        <v>9965508.9699999988</v>
      </c>
      <c r="P131" s="563"/>
      <c r="Q131" s="124">
        <v>0</v>
      </c>
      <c r="U131" s="122"/>
      <c r="V131" s="121">
        <v>0</v>
      </c>
      <c r="X131" s="121">
        <v>202793.38</v>
      </c>
      <c r="Z131" s="122"/>
      <c r="AA131" s="121">
        <v>0</v>
      </c>
    </row>
    <row r="132" spans="1:27" x14ac:dyDescent="0.3">
      <c r="A132" s="125">
        <v>18901</v>
      </c>
      <c r="B132" s="19" t="s">
        <v>1039</v>
      </c>
      <c r="C132" t="s">
        <v>1217</v>
      </c>
      <c r="D132" s="563"/>
      <c r="E132" s="124">
        <v>1772804.54</v>
      </c>
      <c r="F132" s="563"/>
      <c r="G132" s="124">
        <v>2967027.58</v>
      </c>
      <c r="H132" s="124">
        <v>4739832.12</v>
      </c>
      <c r="I132" s="124">
        <v>0</v>
      </c>
      <c r="J132" s="372"/>
      <c r="K132" s="563"/>
      <c r="L132" s="124">
        <v>2967027.58</v>
      </c>
      <c r="N132" s="124">
        <v>1772804.54</v>
      </c>
      <c r="P132" s="563"/>
      <c r="Q132" s="124">
        <v>0</v>
      </c>
      <c r="U132" s="122"/>
      <c r="V132" s="121">
        <v>3837.5</v>
      </c>
      <c r="X132" s="121">
        <v>0</v>
      </c>
      <c r="Z132" s="122"/>
      <c r="AA132" s="121">
        <v>0</v>
      </c>
    </row>
    <row r="133" spans="1:27" x14ac:dyDescent="0.3">
      <c r="A133" s="125">
        <v>19007</v>
      </c>
      <c r="B133" s="19" t="s">
        <v>45</v>
      </c>
      <c r="C133" t="s">
        <v>784</v>
      </c>
      <c r="D133" s="563"/>
      <c r="E133" s="124">
        <v>87183.34</v>
      </c>
      <c r="F133" s="563"/>
      <c r="G133" s="124">
        <v>298397.99</v>
      </c>
      <c r="H133" s="124">
        <v>385581.33</v>
      </c>
      <c r="I133" s="124">
        <v>0</v>
      </c>
      <c r="J133" s="372"/>
      <c r="K133" s="563"/>
      <c r="L133" s="124">
        <v>298397.99</v>
      </c>
      <c r="N133" s="124">
        <v>87183.34</v>
      </c>
      <c r="P133" s="563"/>
      <c r="Q133" s="124">
        <v>0</v>
      </c>
      <c r="U133" s="122"/>
      <c r="V133" s="121">
        <v>0</v>
      </c>
      <c r="X133" s="121">
        <v>0</v>
      </c>
      <c r="Z133" s="122"/>
      <c r="AA133" s="121">
        <v>0</v>
      </c>
    </row>
    <row r="134" spans="1:27" x14ac:dyDescent="0.3">
      <c r="A134" s="125">
        <v>19028</v>
      </c>
      <c r="B134" s="19" t="s">
        <v>45</v>
      </c>
      <c r="C134" t="s">
        <v>793</v>
      </c>
      <c r="D134" s="563"/>
      <c r="E134" s="124">
        <v>495777.5</v>
      </c>
      <c r="F134" s="563"/>
      <c r="G134" s="124">
        <v>1013849.5800000001</v>
      </c>
      <c r="H134" s="124">
        <v>1509627.08</v>
      </c>
      <c r="I134" s="124">
        <v>0</v>
      </c>
      <c r="J134" s="372"/>
      <c r="K134" s="563"/>
      <c r="L134" s="124">
        <v>1013849.5800000001</v>
      </c>
      <c r="N134" s="124">
        <v>495777.5</v>
      </c>
      <c r="P134" s="563"/>
      <c r="Q134" s="124">
        <v>0</v>
      </c>
      <c r="U134" s="122"/>
      <c r="V134" s="121">
        <v>7549.34</v>
      </c>
      <c r="X134" s="121">
        <v>78524.63</v>
      </c>
      <c r="Z134" s="122"/>
      <c r="AA134" s="121">
        <v>0</v>
      </c>
    </row>
    <row r="135" spans="1:27" x14ac:dyDescent="0.3">
      <c r="A135" s="125">
        <v>19400</v>
      </c>
      <c r="B135" s="19" t="s">
        <v>45</v>
      </c>
      <c r="C135" t="s">
        <v>984</v>
      </c>
      <c r="D135" s="563"/>
      <c r="E135" s="124">
        <v>1253967.98</v>
      </c>
      <c r="F135" s="563"/>
      <c r="G135" s="124">
        <v>2395833.35</v>
      </c>
      <c r="H135" s="124">
        <v>3649801.33</v>
      </c>
      <c r="I135" s="124">
        <v>0</v>
      </c>
      <c r="J135" s="372"/>
      <c r="K135" s="563"/>
      <c r="L135" s="124">
        <v>2395833.35</v>
      </c>
      <c r="N135" s="124">
        <v>1253967.98</v>
      </c>
      <c r="P135" s="563"/>
      <c r="Q135" s="124">
        <v>0</v>
      </c>
      <c r="U135" s="122"/>
      <c r="V135" s="121">
        <v>31369.65</v>
      </c>
      <c r="X135" s="121">
        <v>93187.58</v>
      </c>
      <c r="Z135" s="122"/>
      <c r="AA135" s="121">
        <v>0</v>
      </c>
    </row>
    <row r="136" spans="1:27" x14ac:dyDescent="0.3">
      <c r="A136" s="125">
        <v>19401</v>
      </c>
      <c r="B136" s="19" t="s">
        <v>45</v>
      </c>
      <c r="C136" t="s">
        <v>801</v>
      </c>
      <c r="D136" s="563">
        <v>36951.19</v>
      </c>
      <c r="E136" s="124">
        <v>7492160.0800000001</v>
      </c>
      <c r="F136" s="563">
        <v>0</v>
      </c>
      <c r="G136" s="124">
        <v>24017135.649999999</v>
      </c>
      <c r="H136" s="124">
        <v>31546246.919999998</v>
      </c>
      <c r="I136" s="124">
        <v>0</v>
      </c>
      <c r="J136" s="372"/>
      <c r="K136" s="563">
        <v>0</v>
      </c>
      <c r="L136" s="124">
        <v>24017135.649999999</v>
      </c>
      <c r="N136" s="124">
        <v>7492160.0800000001</v>
      </c>
      <c r="P136" s="563">
        <v>36951.19</v>
      </c>
      <c r="Q136" s="124">
        <v>0</v>
      </c>
      <c r="U136" s="122">
        <v>30971.08</v>
      </c>
      <c r="V136" s="121">
        <v>775178.54</v>
      </c>
      <c r="X136" s="121">
        <v>867959.08</v>
      </c>
      <c r="Z136" s="122">
        <v>0</v>
      </c>
      <c r="AA136" s="121">
        <v>0</v>
      </c>
    </row>
    <row r="137" spans="1:27" x14ac:dyDescent="0.3">
      <c r="A137" s="125">
        <v>19403</v>
      </c>
      <c r="B137" s="19" t="s">
        <v>45</v>
      </c>
      <c r="C137" t="s">
        <v>844</v>
      </c>
      <c r="D137" s="563"/>
      <c r="E137" s="124">
        <v>1493158.31</v>
      </c>
      <c r="F137" s="563">
        <v>0</v>
      </c>
      <c r="G137" s="124">
        <v>3347287.5700000003</v>
      </c>
      <c r="H137" s="124">
        <v>4840445.8800000008</v>
      </c>
      <c r="I137" s="124">
        <v>0</v>
      </c>
      <c r="J137" s="372"/>
      <c r="K137" s="563">
        <v>0</v>
      </c>
      <c r="L137" s="124">
        <v>3347287.5700000003</v>
      </c>
      <c r="N137" s="124">
        <v>1493158.31</v>
      </c>
      <c r="P137" s="563"/>
      <c r="Q137" s="124">
        <v>0</v>
      </c>
      <c r="U137" s="122">
        <v>20125.03</v>
      </c>
      <c r="V137" s="121">
        <v>98126.49</v>
      </c>
      <c r="X137" s="121">
        <v>203931.82</v>
      </c>
      <c r="Z137" s="122"/>
      <c r="AA137" s="121">
        <v>0</v>
      </c>
    </row>
    <row r="138" spans="1:27" x14ac:dyDescent="0.3">
      <c r="A138" s="125">
        <v>19404</v>
      </c>
      <c r="B138" s="19" t="s">
        <v>45</v>
      </c>
      <c r="C138" t="s">
        <v>767</v>
      </c>
      <c r="D138" s="563"/>
      <c r="E138" s="124">
        <v>3171602.6100000003</v>
      </c>
      <c r="F138" s="563">
        <v>0</v>
      </c>
      <c r="G138" s="124">
        <v>7036380.9000000004</v>
      </c>
      <c r="H138" s="124">
        <v>10207983.510000002</v>
      </c>
      <c r="I138" s="124">
        <v>0</v>
      </c>
      <c r="J138" s="372"/>
      <c r="K138" s="563">
        <v>0</v>
      </c>
      <c r="L138" s="124">
        <v>7036380.9000000004</v>
      </c>
      <c r="N138" s="124">
        <v>3171602.6100000003</v>
      </c>
      <c r="P138" s="563"/>
      <c r="Q138" s="124">
        <v>0</v>
      </c>
      <c r="U138" s="122">
        <v>-16610</v>
      </c>
      <c r="V138" s="121">
        <v>303241.13</v>
      </c>
      <c r="X138" s="121">
        <v>308322.45</v>
      </c>
      <c r="Z138" s="122"/>
      <c r="AA138" s="121">
        <v>0</v>
      </c>
    </row>
    <row r="139" spans="1:27" x14ac:dyDescent="0.3">
      <c r="A139" s="125">
        <v>20094</v>
      </c>
      <c r="B139" s="19" t="s">
        <v>34</v>
      </c>
      <c r="C139" t="s">
        <v>1018</v>
      </c>
      <c r="D139" s="563"/>
      <c r="E139" s="124">
        <v>606413.62</v>
      </c>
      <c r="F139" s="563"/>
      <c r="G139" s="124">
        <v>1009329.74</v>
      </c>
      <c r="H139" s="124">
        <v>1615743.3599999999</v>
      </c>
      <c r="I139" s="124">
        <v>0</v>
      </c>
      <c r="J139" s="372"/>
      <c r="K139" s="563"/>
      <c r="L139" s="124">
        <v>1009329.74</v>
      </c>
      <c r="N139" s="124">
        <v>606413.62</v>
      </c>
      <c r="P139" s="563"/>
      <c r="Q139" s="124">
        <v>0</v>
      </c>
      <c r="U139" s="122"/>
      <c r="V139" s="121">
        <v>8750.02</v>
      </c>
      <c r="X139" s="121">
        <v>18562.620000000003</v>
      </c>
      <c r="Z139" s="122"/>
      <c r="AA139" s="121">
        <v>0</v>
      </c>
    </row>
    <row r="140" spans="1:27" x14ac:dyDescent="0.3">
      <c r="A140" s="125">
        <v>20203</v>
      </c>
      <c r="B140" s="19" t="s">
        <v>45</v>
      </c>
      <c r="C140" t="s">
        <v>744</v>
      </c>
      <c r="D140" s="563"/>
      <c r="E140" s="124">
        <v>259922.89</v>
      </c>
      <c r="F140" s="563"/>
      <c r="G140" s="124">
        <v>1284374.6000000001</v>
      </c>
      <c r="H140" s="124">
        <v>1544297.49</v>
      </c>
      <c r="I140" s="124">
        <v>0</v>
      </c>
      <c r="J140" s="372"/>
      <c r="K140" s="563"/>
      <c r="L140" s="124">
        <v>1284374.6000000001</v>
      </c>
      <c r="N140" s="124">
        <v>259922.89</v>
      </c>
      <c r="P140" s="563"/>
      <c r="Q140" s="124">
        <v>0</v>
      </c>
      <c r="U140" s="122"/>
      <c r="V140" s="121">
        <v>12789.96</v>
      </c>
      <c r="X140" s="121">
        <v>28297.5</v>
      </c>
      <c r="Z140" s="122"/>
      <c r="AA140" s="121">
        <v>0</v>
      </c>
    </row>
    <row r="141" spans="1:27" x14ac:dyDescent="0.3">
      <c r="A141" s="125">
        <v>20215</v>
      </c>
      <c r="B141" s="19" t="s">
        <v>34</v>
      </c>
      <c r="C141" t="s">
        <v>758</v>
      </c>
      <c r="D141" s="563"/>
      <c r="E141" s="124">
        <v>354276.42000000004</v>
      </c>
      <c r="F141" s="563">
        <v>0</v>
      </c>
      <c r="G141" s="124">
        <v>545536.69999999995</v>
      </c>
      <c r="H141" s="124">
        <v>899813.12</v>
      </c>
      <c r="I141" s="124">
        <v>0</v>
      </c>
      <c r="J141" s="372"/>
      <c r="K141" s="563">
        <v>0</v>
      </c>
      <c r="L141" s="124">
        <v>545536.69999999995</v>
      </c>
      <c r="N141" s="124">
        <v>354276.42000000004</v>
      </c>
      <c r="P141" s="563"/>
      <c r="Q141" s="124">
        <v>0</v>
      </c>
      <c r="U141" s="122">
        <v>56683.07</v>
      </c>
      <c r="V141" s="121">
        <v>10865.5</v>
      </c>
      <c r="X141" s="121">
        <v>11806.89</v>
      </c>
      <c r="Z141" s="122"/>
      <c r="AA141" s="121">
        <v>0</v>
      </c>
    </row>
    <row r="142" spans="1:27" x14ac:dyDescent="0.3">
      <c r="A142" s="125">
        <v>20400</v>
      </c>
      <c r="B142" s="19" t="s">
        <v>34</v>
      </c>
      <c r="C142" t="s">
        <v>990</v>
      </c>
      <c r="D142" s="563"/>
      <c r="E142" s="124">
        <v>533955.74</v>
      </c>
      <c r="F142" s="563"/>
      <c r="G142" s="124">
        <v>1541653.3</v>
      </c>
      <c r="H142" s="124">
        <v>2075609.04</v>
      </c>
      <c r="I142" s="124">
        <v>0</v>
      </c>
      <c r="J142" s="372"/>
      <c r="K142" s="563"/>
      <c r="L142" s="124">
        <v>1541653.3</v>
      </c>
      <c r="N142" s="124">
        <v>533955.74</v>
      </c>
      <c r="P142" s="563"/>
      <c r="Q142" s="124">
        <v>0</v>
      </c>
      <c r="U142" s="122"/>
      <c r="V142" s="121">
        <v>91200.040000000008</v>
      </c>
      <c r="X142" s="121">
        <v>158083.13</v>
      </c>
      <c r="Z142" s="122"/>
      <c r="AA142" s="121">
        <v>0</v>
      </c>
    </row>
    <row r="143" spans="1:27" x14ac:dyDescent="0.3">
      <c r="A143" s="125">
        <v>20401</v>
      </c>
      <c r="B143" s="19" t="s">
        <v>34</v>
      </c>
      <c r="C143" t="s">
        <v>817</v>
      </c>
      <c r="D143" s="563"/>
      <c r="E143" s="124">
        <v>459499.95999999996</v>
      </c>
      <c r="F143" s="563">
        <v>0</v>
      </c>
      <c r="G143" s="124">
        <v>996830.76</v>
      </c>
      <c r="H143" s="124">
        <v>1456330.72</v>
      </c>
      <c r="I143" s="124">
        <v>0</v>
      </c>
      <c r="J143" s="372"/>
      <c r="K143" s="563">
        <v>0</v>
      </c>
      <c r="L143" s="124">
        <v>996830.76</v>
      </c>
      <c r="N143" s="124">
        <v>459499.95999999996</v>
      </c>
      <c r="P143" s="563"/>
      <c r="Q143" s="124">
        <v>0</v>
      </c>
      <c r="U143" s="122">
        <v>5123.25</v>
      </c>
      <c r="V143" s="121">
        <v>767.96</v>
      </c>
      <c r="X143" s="121">
        <v>42771.41</v>
      </c>
      <c r="Z143" s="122"/>
      <c r="AA143" s="121">
        <v>0</v>
      </c>
    </row>
    <row r="144" spans="1:27" x14ac:dyDescent="0.3">
      <c r="A144" s="125">
        <v>20402</v>
      </c>
      <c r="B144" s="19" t="s">
        <v>34</v>
      </c>
      <c r="C144" t="s">
        <v>845</v>
      </c>
      <c r="D144" s="563"/>
      <c r="E144" s="124">
        <v>374420.22</v>
      </c>
      <c r="F144" s="563">
        <v>0</v>
      </c>
      <c r="G144" s="124">
        <v>1064382.81</v>
      </c>
      <c r="H144" s="124">
        <v>1438803.03</v>
      </c>
      <c r="I144" s="124">
        <v>0</v>
      </c>
      <c r="J144" s="372"/>
      <c r="K144" s="563">
        <v>0</v>
      </c>
      <c r="L144" s="124">
        <v>1064382.81</v>
      </c>
      <c r="N144" s="124">
        <v>374420.22</v>
      </c>
      <c r="P144" s="563"/>
      <c r="Q144" s="124">
        <v>0</v>
      </c>
      <c r="U144" s="122">
        <v>7683.32</v>
      </c>
      <c r="V144" s="121">
        <v>6016.48</v>
      </c>
      <c r="X144" s="121">
        <v>43104.6</v>
      </c>
      <c r="Z144" s="122"/>
      <c r="AA144" s="121">
        <v>0</v>
      </c>
    </row>
    <row r="145" spans="1:27" x14ac:dyDescent="0.3">
      <c r="A145" s="125">
        <v>20403</v>
      </c>
      <c r="B145" s="19" t="s">
        <v>34</v>
      </c>
      <c r="C145" t="s">
        <v>946</v>
      </c>
      <c r="D145" s="563"/>
      <c r="E145" s="124">
        <v>67745.759999999995</v>
      </c>
      <c r="F145" s="563"/>
      <c r="G145" s="124">
        <v>177941.83</v>
      </c>
      <c r="H145" s="124">
        <v>245687.58999999997</v>
      </c>
      <c r="I145" s="124">
        <v>0</v>
      </c>
      <c r="J145" s="372"/>
      <c r="K145" s="563"/>
      <c r="L145" s="124">
        <v>177941.83</v>
      </c>
      <c r="N145" s="124">
        <v>67745.759999999995</v>
      </c>
      <c r="P145" s="563"/>
      <c r="Q145" s="124">
        <v>0</v>
      </c>
      <c r="U145" s="122"/>
      <c r="V145" s="121">
        <v>7600</v>
      </c>
      <c r="X145" s="121">
        <v>34038.769999999997</v>
      </c>
      <c r="Z145" s="122"/>
      <c r="AA145" s="121">
        <v>0</v>
      </c>
    </row>
    <row r="146" spans="1:27" x14ac:dyDescent="0.3">
      <c r="A146" s="125">
        <v>20404</v>
      </c>
      <c r="B146" s="19" t="s">
        <v>45</v>
      </c>
      <c r="C146" t="s">
        <v>818</v>
      </c>
      <c r="D146" s="563"/>
      <c r="E146" s="124">
        <v>2959125.28</v>
      </c>
      <c r="F146" s="563">
        <v>0</v>
      </c>
      <c r="G146" s="124">
        <v>5185447.42</v>
      </c>
      <c r="H146" s="124">
        <v>8144572.7000000002</v>
      </c>
      <c r="I146" s="124">
        <v>0</v>
      </c>
      <c r="J146" s="372"/>
      <c r="K146" s="563">
        <v>0</v>
      </c>
      <c r="L146" s="124">
        <v>5185447.42</v>
      </c>
      <c r="N146" s="124">
        <v>2959125.28</v>
      </c>
      <c r="P146" s="563"/>
      <c r="Q146" s="124">
        <v>0</v>
      </c>
      <c r="U146" s="122">
        <v>1320</v>
      </c>
      <c r="V146" s="121">
        <v>266165.38</v>
      </c>
      <c r="X146" s="121">
        <v>300585.41000000003</v>
      </c>
      <c r="Z146" s="122"/>
      <c r="AA146" s="121">
        <v>0</v>
      </c>
    </row>
    <row r="147" spans="1:27" x14ac:dyDescent="0.3">
      <c r="A147" s="125">
        <v>20405</v>
      </c>
      <c r="B147" s="19" t="s">
        <v>34</v>
      </c>
      <c r="C147" t="s">
        <v>1012</v>
      </c>
      <c r="D147" s="563"/>
      <c r="E147" s="124">
        <v>4055115.95</v>
      </c>
      <c r="F147" s="563"/>
      <c r="G147" s="124">
        <v>6933758.3900000006</v>
      </c>
      <c r="H147" s="124">
        <v>10988874.34</v>
      </c>
      <c r="I147" s="124">
        <v>0</v>
      </c>
      <c r="J147" s="372"/>
      <c r="K147" s="563"/>
      <c r="L147" s="124">
        <v>6933758.3900000006</v>
      </c>
      <c r="N147" s="124">
        <v>4055115.95</v>
      </c>
      <c r="P147" s="563"/>
      <c r="Q147" s="124">
        <v>0</v>
      </c>
      <c r="U147" s="122"/>
      <c r="V147" s="121">
        <v>231266.41999999998</v>
      </c>
      <c r="X147" s="121">
        <v>367662.45</v>
      </c>
      <c r="Z147" s="122"/>
      <c r="AA147" s="121">
        <v>0</v>
      </c>
    </row>
    <row r="148" spans="1:27" x14ac:dyDescent="0.3">
      <c r="A148" s="125">
        <v>20406</v>
      </c>
      <c r="B148" s="19" t="s">
        <v>34</v>
      </c>
      <c r="C148" t="s">
        <v>858</v>
      </c>
      <c r="D148" s="563"/>
      <c r="E148" s="124">
        <v>617600.49</v>
      </c>
      <c r="F148" s="563">
        <v>0</v>
      </c>
      <c r="G148" s="124">
        <v>1636285.71</v>
      </c>
      <c r="H148" s="124">
        <v>2253886.2000000002</v>
      </c>
      <c r="I148" s="124">
        <v>0</v>
      </c>
      <c r="J148" s="372"/>
      <c r="K148" s="563">
        <v>0</v>
      </c>
      <c r="L148" s="124">
        <v>1636285.71</v>
      </c>
      <c r="N148" s="124">
        <v>617600.49</v>
      </c>
      <c r="P148" s="563"/>
      <c r="Q148" s="124">
        <v>0</v>
      </c>
      <c r="U148" s="122">
        <v>69706.100000000006</v>
      </c>
      <c r="V148" s="121">
        <v>49941.08</v>
      </c>
      <c r="X148" s="121">
        <v>32488.11</v>
      </c>
      <c r="Z148" s="122"/>
      <c r="AA148" s="121">
        <v>0</v>
      </c>
    </row>
    <row r="149" spans="1:27" x14ac:dyDescent="0.3">
      <c r="A149" s="125">
        <v>21014</v>
      </c>
      <c r="B149" s="19" t="s">
        <v>13</v>
      </c>
      <c r="C149" t="s">
        <v>885</v>
      </c>
      <c r="D149" s="563">
        <v>17027.05</v>
      </c>
      <c r="E149" s="124">
        <v>1676970.87</v>
      </c>
      <c r="F149" s="563"/>
      <c r="G149" s="124">
        <v>5067786.0599999996</v>
      </c>
      <c r="H149" s="124">
        <v>6761783.9800000004</v>
      </c>
      <c r="I149" s="124">
        <v>0</v>
      </c>
      <c r="J149" s="372"/>
      <c r="K149" s="563"/>
      <c r="L149" s="124">
        <v>5067786.0599999996</v>
      </c>
      <c r="N149" s="124">
        <v>1676970.87</v>
      </c>
      <c r="P149" s="563">
        <v>17027.05</v>
      </c>
      <c r="Q149" s="124">
        <v>0</v>
      </c>
      <c r="U149" s="122"/>
      <c r="V149" s="121">
        <v>1474.6</v>
      </c>
      <c r="X149" s="121">
        <v>19575.16</v>
      </c>
      <c r="Z149" s="122">
        <v>0</v>
      </c>
      <c r="AA149" s="121">
        <v>0</v>
      </c>
    </row>
    <row r="150" spans="1:27" x14ac:dyDescent="0.3">
      <c r="A150" s="125">
        <v>21036</v>
      </c>
      <c r="B150" s="19" t="s">
        <v>13</v>
      </c>
      <c r="C150" t="s">
        <v>807</v>
      </c>
      <c r="D150" s="563"/>
      <c r="E150" s="124">
        <v>207983.2</v>
      </c>
      <c r="F150" s="563"/>
      <c r="G150" s="124">
        <v>350316.67000000004</v>
      </c>
      <c r="H150" s="124">
        <v>558299.87</v>
      </c>
      <c r="I150" s="124">
        <v>0</v>
      </c>
      <c r="J150" s="372"/>
      <c r="K150" s="563"/>
      <c r="L150" s="124">
        <v>350316.67000000004</v>
      </c>
      <c r="N150" s="124">
        <v>207983.2</v>
      </c>
      <c r="P150" s="563"/>
      <c r="Q150" s="124">
        <v>0</v>
      </c>
      <c r="U150" s="122"/>
      <c r="V150" s="121">
        <v>0</v>
      </c>
      <c r="X150" s="121">
        <v>40135.43</v>
      </c>
      <c r="Z150" s="122"/>
      <c r="AA150" s="121">
        <v>0</v>
      </c>
    </row>
    <row r="151" spans="1:27" x14ac:dyDescent="0.3">
      <c r="A151" s="125">
        <v>21206</v>
      </c>
      <c r="B151" s="19" t="s">
        <v>13</v>
      </c>
      <c r="C151" t="s">
        <v>877</v>
      </c>
      <c r="D151" s="563"/>
      <c r="E151" s="124">
        <v>1789870.28</v>
      </c>
      <c r="F151" s="563"/>
      <c r="G151" s="124">
        <v>4002734.7800000003</v>
      </c>
      <c r="H151" s="124">
        <v>5792605.0600000005</v>
      </c>
      <c r="I151" s="124">
        <v>0</v>
      </c>
      <c r="J151" s="372"/>
      <c r="K151" s="563"/>
      <c r="L151" s="124">
        <v>4002734.7800000003</v>
      </c>
      <c r="N151" s="124">
        <v>1789870.28</v>
      </c>
      <c r="P151" s="563"/>
      <c r="Q151" s="124">
        <v>0</v>
      </c>
      <c r="U151" s="122"/>
      <c r="V151" s="121">
        <v>350</v>
      </c>
      <c r="X151" s="121">
        <v>112618.44</v>
      </c>
      <c r="Z151" s="122"/>
      <c r="AA151" s="121">
        <v>0</v>
      </c>
    </row>
    <row r="152" spans="1:27" x14ac:dyDescent="0.3">
      <c r="A152" s="125">
        <v>21214</v>
      </c>
      <c r="B152" s="19" t="s">
        <v>13</v>
      </c>
      <c r="C152" t="s">
        <v>875</v>
      </c>
      <c r="D152" s="563"/>
      <c r="E152" s="124">
        <v>1568905.46</v>
      </c>
      <c r="F152" s="563"/>
      <c r="G152" s="124">
        <v>2949713.21</v>
      </c>
      <c r="H152" s="124">
        <v>4518618.67</v>
      </c>
      <c r="I152" s="124">
        <v>0</v>
      </c>
      <c r="J152" s="372"/>
      <c r="K152" s="563"/>
      <c r="L152" s="124">
        <v>2949713.21</v>
      </c>
      <c r="N152" s="124">
        <v>1568905.46</v>
      </c>
      <c r="P152" s="563"/>
      <c r="Q152" s="124">
        <v>0</v>
      </c>
      <c r="U152" s="122"/>
      <c r="V152" s="121">
        <v>32922.54</v>
      </c>
      <c r="X152" s="121">
        <v>67204.78</v>
      </c>
      <c r="Z152" s="122"/>
      <c r="AA152" s="121">
        <v>0</v>
      </c>
    </row>
    <row r="153" spans="1:27" x14ac:dyDescent="0.3">
      <c r="A153" s="125">
        <v>21226</v>
      </c>
      <c r="B153" s="19" t="s">
        <v>13</v>
      </c>
      <c r="C153" t="s">
        <v>732</v>
      </c>
      <c r="D153" s="563">
        <v>43338.38</v>
      </c>
      <c r="E153" s="124">
        <v>1419345.1600000001</v>
      </c>
      <c r="F153" s="563">
        <v>0</v>
      </c>
      <c r="G153" s="124">
        <v>3971882.71</v>
      </c>
      <c r="H153" s="124">
        <v>5434566.25</v>
      </c>
      <c r="I153" s="124">
        <v>0</v>
      </c>
      <c r="J153" s="372"/>
      <c r="K153" s="563">
        <v>0</v>
      </c>
      <c r="L153" s="124">
        <v>3971882.71</v>
      </c>
      <c r="N153" s="124">
        <v>1419345.1600000001</v>
      </c>
      <c r="P153" s="563">
        <v>43338.38</v>
      </c>
      <c r="Q153" s="124">
        <v>0</v>
      </c>
      <c r="U153" s="122">
        <v>22127.759999999998</v>
      </c>
      <c r="V153" s="121">
        <v>456</v>
      </c>
      <c r="X153" s="121">
        <v>216617.62</v>
      </c>
      <c r="Z153" s="122">
        <v>0</v>
      </c>
      <c r="AA153" s="121">
        <v>0</v>
      </c>
    </row>
    <row r="154" spans="1:27" x14ac:dyDescent="0.3">
      <c r="A154" s="125">
        <v>21232</v>
      </c>
      <c r="B154" s="19" t="s">
        <v>13</v>
      </c>
      <c r="C154" t="s">
        <v>1016</v>
      </c>
      <c r="D154" s="563"/>
      <c r="E154" s="124">
        <v>2242272.9</v>
      </c>
      <c r="F154" s="563">
        <v>0</v>
      </c>
      <c r="G154" s="124">
        <v>4896586.66</v>
      </c>
      <c r="H154" s="124">
        <v>7138859.5599999996</v>
      </c>
      <c r="I154" s="124">
        <v>0</v>
      </c>
      <c r="J154" s="372"/>
      <c r="K154" s="563">
        <v>0</v>
      </c>
      <c r="L154" s="124">
        <v>4896586.66</v>
      </c>
      <c r="N154" s="124">
        <v>2242272.9</v>
      </c>
      <c r="P154" s="563"/>
      <c r="Q154" s="124">
        <v>0</v>
      </c>
      <c r="U154" s="122">
        <v>14400</v>
      </c>
      <c r="V154" s="121">
        <v>2736.29</v>
      </c>
      <c r="X154" s="121">
        <v>74552.55</v>
      </c>
      <c r="Z154" s="122"/>
      <c r="AA154" s="121">
        <v>0</v>
      </c>
    </row>
    <row r="155" spans="1:27" x14ac:dyDescent="0.3">
      <c r="A155" s="125">
        <v>21234</v>
      </c>
      <c r="B155" s="19" t="s">
        <v>13</v>
      </c>
      <c r="C155" t="s">
        <v>746</v>
      </c>
      <c r="D155" s="563"/>
      <c r="E155" s="124">
        <v>473135.87</v>
      </c>
      <c r="F155" s="563"/>
      <c r="G155" s="124">
        <v>712109.15</v>
      </c>
      <c r="H155" s="124">
        <v>1185245.02</v>
      </c>
      <c r="I155" s="124">
        <v>0</v>
      </c>
      <c r="J155" s="372"/>
      <c r="K155" s="563"/>
      <c r="L155" s="124">
        <v>712109.15</v>
      </c>
      <c r="N155" s="124">
        <v>473135.87</v>
      </c>
      <c r="P155" s="563"/>
      <c r="Q155" s="124">
        <v>0</v>
      </c>
      <c r="U155" s="122"/>
      <c r="V155" s="121">
        <v>560</v>
      </c>
      <c r="X155" s="121">
        <v>54953.57</v>
      </c>
      <c r="Z155" s="122"/>
      <c r="AA155" s="121">
        <v>0</v>
      </c>
    </row>
    <row r="156" spans="1:27" x14ac:dyDescent="0.3">
      <c r="A156" s="125">
        <v>21237</v>
      </c>
      <c r="B156" s="19" t="s">
        <v>13</v>
      </c>
      <c r="C156" t="s">
        <v>985</v>
      </c>
      <c r="D156" s="563"/>
      <c r="E156" s="124">
        <v>2218163.4500000002</v>
      </c>
      <c r="F156" s="563"/>
      <c r="G156" s="124">
        <v>5812881.1600000001</v>
      </c>
      <c r="H156" s="124">
        <v>8031044.6099999994</v>
      </c>
      <c r="I156" s="124">
        <v>0</v>
      </c>
      <c r="J156" s="372"/>
      <c r="K156" s="563"/>
      <c r="L156" s="124">
        <v>5812881.1600000001</v>
      </c>
      <c r="N156" s="124">
        <v>2218163.4500000002</v>
      </c>
      <c r="P156" s="563"/>
      <c r="Q156" s="124">
        <v>0</v>
      </c>
      <c r="U156" s="122"/>
      <c r="V156" s="121">
        <v>5015</v>
      </c>
      <c r="X156" s="121">
        <v>135869.53</v>
      </c>
      <c r="Z156" s="122"/>
      <c r="AA156" s="121">
        <v>0</v>
      </c>
    </row>
    <row r="157" spans="1:27" x14ac:dyDescent="0.3">
      <c r="A157" s="125">
        <v>21300</v>
      </c>
      <c r="B157" s="19" t="s">
        <v>13</v>
      </c>
      <c r="C157" t="s">
        <v>906</v>
      </c>
      <c r="D157" s="563">
        <v>25563.42</v>
      </c>
      <c r="E157" s="124">
        <v>2533370.15</v>
      </c>
      <c r="F157" s="563"/>
      <c r="G157" s="124">
        <v>4936652.68</v>
      </c>
      <c r="H157" s="124">
        <v>7495586.25</v>
      </c>
      <c r="I157" s="124">
        <v>0</v>
      </c>
      <c r="J157" s="372"/>
      <c r="K157" s="563"/>
      <c r="L157" s="124">
        <v>4936652.68</v>
      </c>
      <c r="N157" s="124">
        <v>2533370.15</v>
      </c>
      <c r="P157" s="563">
        <v>25563.42</v>
      </c>
      <c r="Q157" s="124">
        <v>0</v>
      </c>
      <c r="U157" s="122"/>
      <c r="V157" s="121">
        <v>0</v>
      </c>
      <c r="X157" s="121">
        <v>185637.80000000002</v>
      </c>
      <c r="Z157" s="122">
        <v>0</v>
      </c>
      <c r="AA157" s="121">
        <v>0</v>
      </c>
    </row>
    <row r="158" spans="1:27" x14ac:dyDescent="0.3">
      <c r="A158" s="125">
        <v>21301</v>
      </c>
      <c r="B158" s="19" t="s">
        <v>13</v>
      </c>
      <c r="C158" t="s">
        <v>920</v>
      </c>
      <c r="D158" s="563"/>
      <c r="E158" s="124">
        <v>1001759.0700000001</v>
      </c>
      <c r="F158" s="563"/>
      <c r="G158" s="124">
        <v>2198533.21</v>
      </c>
      <c r="H158" s="124">
        <v>3200292.2800000003</v>
      </c>
      <c r="I158" s="124">
        <v>0</v>
      </c>
      <c r="J158" s="372"/>
      <c r="K158" s="563"/>
      <c r="L158" s="124">
        <v>2198533.21</v>
      </c>
      <c r="N158" s="124">
        <v>1001759.0700000001</v>
      </c>
      <c r="P158" s="563"/>
      <c r="Q158" s="124">
        <v>0</v>
      </c>
      <c r="U158" s="122"/>
      <c r="V158" s="121">
        <v>15739.670000000002</v>
      </c>
      <c r="X158" s="121">
        <v>115646.33</v>
      </c>
      <c r="Z158" s="122"/>
      <c r="AA158" s="121">
        <v>0</v>
      </c>
    </row>
    <row r="159" spans="1:27" x14ac:dyDescent="0.3">
      <c r="A159" s="125">
        <v>21302</v>
      </c>
      <c r="B159" s="19" t="s">
        <v>13</v>
      </c>
      <c r="C159" t="s">
        <v>762</v>
      </c>
      <c r="D159" s="563">
        <v>31934.47</v>
      </c>
      <c r="E159" s="124">
        <v>8599461.4800000004</v>
      </c>
      <c r="F159" s="563">
        <v>279561.7</v>
      </c>
      <c r="G159" s="124">
        <v>22867046.829999998</v>
      </c>
      <c r="H159" s="124">
        <v>31778004.48</v>
      </c>
      <c r="I159" s="124">
        <v>0</v>
      </c>
      <c r="J159" s="372"/>
      <c r="K159" s="563">
        <v>279561.7</v>
      </c>
      <c r="L159" s="124">
        <v>22867046.829999998</v>
      </c>
      <c r="N159" s="124">
        <v>8599461.4800000004</v>
      </c>
      <c r="P159" s="563">
        <v>31934.47</v>
      </c>
      <c r="Q159" s="124">
        <v>0</v>
      </c>
      <c r="U159" s="122">
        <v>72442.31</v>
      </c>
      <c r="V159" s="121">
        <v>795520.14</v>
      </c>
      <c r="X159" s="121">
        <v>497575.89999999997</v>
      </c>
      <c r="Z159" s="122">
        <v>0</v>
      </c>
      <c r="AA159" s="121">
        <v>0</v>
      </c>
    </row>
    <row r="160" spans="1:27" x14ac:dyDescent="0.3">
      <c r="A160" s="125">
        <v>21303</v>
      </c>
      <c r="B160" s="19" t="s">
        <v>13</v>
      </c>
      <c r="C160" t="s">
        <v>1010</v>
      </c>
      <c r="D160" s="563"/>
      <c r="E160" s="124">
        <v>1543270.5699999998</v>
      </c>
      <c r="F160" s="563">
        <v>0</v>
      </c>
      <c r="G160" s="124">
        <v>2366381.23</v>
      </c>
      <c r="H160" s="124">
        <v>3909651.8</v>
      </c>
      <c r="I160" s="124">
        <v>0</v>
      </c>
      <c r="J160" s="372"/>
      <c r="K160" s="563">
        <v>0</v>
      </c>
      <c r="L160" s="124">
        <v>2366381.23</v>
      </c>
      <c r="N160" s="124">
        <v>1543270.5699999998</v>
      </c>
      <c r="P160" s="563"/>
      <c r="Q160" s="124">
        <v>0</v>
      </c>
      <c r="U160" s="122">
        <v>2945</v>
      </c>
      <c r="V160" s="121">
        <v>74217.78</v>
      </c>
      <c r="X160" s="121">
        <v>277586.58999999997</v>
      </c>
      <c r="Z160" s="122"/>
      <c r="AA160" s="121">
        <v>0</v>
      </c>
    </row>
    <row r="161" spans="1:27" x14ac:dyDescent="0.3">
      <c r="A161" s="125">
        <v>21401</v>
      </c>
      <c r="B161" s="19" t="s">
        <v>13</v>
      </c>
      <c r="C161" t="s">
        <v>761</v>
      </c>
      <c r="D161" s="563"/>
      <c r="E161" s="124">
        <v>9897922.6699999999</v>
      </c>
      <c r="F161" s="563">
        <v>0</v>
      </c>
      <c r="G161" s="124">
        <v>24408662.509999998</v>
      </c>
      <c r="H161" s="124">
        <v>34306585.18</v>
      </c>
      <c r="I161" s="124">
        <v>0</v>
      </c>
      <c r="J161" s="372"/>
      <c r="K161" s="563">
        <v>0</v>
      </c>
      <c r="L161" s="124">
        <v>24408662.509999998</v>
      </c>
      <c r="N161" s="124">
        <v>9897922.6699999999</v>
      </c>
      <c r="P161" s="563"/>
      <c r="Q161" s="124">
        <v>0</v>
      </c>
      <c r="U161" s="122">
        <v>3391.76</v>
      </c>
      <c r="V161" s="121">
        <v>193013.93</v>
      </c>
      <c r="X161" s="121">
        <v>750919.51</v>
      </c>
      <c r="Z161" s="122"/>
      <c r="AA161" s="121">
        <v>0</v>
      </c>
    </row>
    <row r="162" spans="1:27" x14ac:dyDescent="0.3">
      <c r="A162" s="125">
        <v>22008</v>
      </c>
      <c r="B162" s="19" t="s">
        <v>18</v>
      </c>
      <c r="C162" t="s">
        <v>969</v>
      </c>
      <c r="D162" s="563"/>
      <c r="E162" s="124">
        <v>397881.97</v>
      </c>
      <c r="F162" s="563">
        <v>0</v>
      </c>
      <c r="G162" s="124">
        <v>1049213.3999999999</v>
      </c>
      <c r="H162" s="124">
        <v>1447095.37</v>
      </c>
      <c r="I162" s="124">
        <v>0</v>
      </c>
      <c r="J162" s="372"/>
      <c r="K162" s="563">
        <v>0</v>
      </c>
      <c r="L162" s="124">
        <v>1049213.3999999999</v>
      </c>
      <c r="N162" s="124">
        <v>397881.97</v>
      </c>
      <c r="P162" s="563"/>
      <c r="Q162" s="124">
        <v>0</v>
      </c>
      <c r="U162" s="122">
        <v>1950</v>
      </c>
      <c r="V162" s="121">
        <v>5470.71</v>
      </c>
      <c r="X162" s="121">
        <v>38644.89</v>
      </c>
      <c r="Z162" s="122"/>
      <c r="AA162" s="121">
        <v>0</v>
      </c>
    </row>
    <row r="163" spans="1:27" x14ac:dyDescent="0.3">
      <c r="A163" s="125">
        <v>22009</v>
      </c>
      <c r="B163" s="19" t="s">
        <v>18</v>
      </c>
      <c r="C163" t="s">
        <v>937</v>
      </c>
      <c r="D163" s="563">
        <v>27202.9</v>
      </c>
      <c r="E163" s="124">
        <v>2051755.6199999999</v>
      </c>
      <c r="F163" s="563">
        <v>0</v>
      </c>
      <c r="G163" s="124">
        <v>4251673.0999999996</v>
      </c>
      <c r="H163" s="124">
        <v>6330631.6199999992</v>
      </c>
      <c r="I163" s="124">
        <v>0</v>
      </c>
      <c r="J163" s="372"/>
      <c r="K163" s="563">
        <v>0</v>
      </c>
      <c r="L163" s="124">
        <v>4251673.0999999996</v>
      </c>
      <c r="N163" s="124">
        <v>2051755.6199999999</v>
      </c>
      <c r="P163" s="563">
        <v>27202.9</v>
      </c>
      <c r="Q163" s="124">
        <v>0</v>
      </c>
      <c r="U163" s="122">
        <v>9639.6299999999992</v>
      </c>
      <c r="V163" s="121">
        <v>58806.34</v>
      </c>
      <c r="X163" s="121">
        <v>252630.88</v>
      </c>
      <c r="Z163" s="122">
        <v>0</v>
      </c>
      <c r="AA163" s="121">
        <v>0</v>
      </c>
    </row>
    <row r="164" spans="1:27" x14ac:dyDescent="0.3">
      <c r="A164" s="125">
        <v>22017</v>
      </c>
      <c r="B164" s="19" t="s">
        <v>18</v>
      </c>
      <c r="C164" t="s">
        <v>733</v>
      </c>
      <c r="D164" s="563"/>
      <c r="E164" s="124">
        <v>452674.12</v>
      </c>
      <c r="F164" s="563"/>
      <c r="G164" s="124">
        <v>1095056.69</v>
      </c>
      <c r="H164" s="124">
        <v>1547730.81</v>
      </c>
      <c r="I164" s="124">
        <v>0</v>
      </c>
      <c r="J164" s="372"/>
      <c r="K164" s="563"/>
      <c r="L164" s="124">
        <v>1095056.69</v>
      </c>
      <c r="N164" s="124">
        <v>452674.12</v>
      </c>
      <c r="P164" s="563"/>
      <c r="Q164" s="124">
        <v>0</v>
      </c>
      <c r="U164" s="122"/>
      <c r="V164" s="121">
        <v>28923.9</v>
      </c>
      <c r="X164" s="121">
        <v>30536.38</v>
      </c>
      <c r="Z164" s="122"/>
      <c r="AA164" s="121">
        <v>0</v>
      </c>
    </row>
    <row r="165" spans="1:27" x14ac:dyDescent="0.3">
      <c r="A165" s="125">
        <v>22073</v>
      </c>
      <c r="B165" s="19" t="s">
        <v>18</v>
      </c>
      <c r="C165" t="s">
        <v>781</v>
      </c>
      <c r="D165" s="563"/>
      <c r="E165" s="124">
        <v>630928.87</v>
      </c>
      <c r="F165" s="563"/>
      <c r="G165" s="124">
        <v>1056823.18</v>
      </c>
      <c r="H165" s="124">
        <v>1687752.05</v>
      </c>
      <c r="I165" s="124">
        <v>0</v>
      </c>
      <c r="J165" s="372"/>
      <c r="K165" s="563"/>
      <c r="L165" s="124">
        <v>1056823.18</v>
      </c>
      <c r="N165" s="124">
        <v>630928.87</v>
      </c>
      <c r="P165" s="563"/>
      <c r="Q165" s="124">
        <v>0</v>
      </c>
      <c r="U165" s="122"/>
      <c r="V165" s="121">
        <v>14068.99</v>
      </c>
      <c r="X165" s="121">
        <v>31074.37</v>
      </c>
      <c r="Z165" s="122"/>
      <c r="AA165" s="121">
        <v>0</v>
      </c>
    </row>
    <row r="166" spans="1:27" x14ac:dyDescent="0.3">
      <c r="A166" s="125">
        <v>22105</v>
      </c>
      <c r="B166" s="19" t="s">
        <v>18</v>
      </c>
      <c r="C166" t="s">
        <v>902</v>
      </c>
      <c r="D166" s="563"/>
      <c r="E166" s="124">
        <v>805509.31</v>
      </c>
      <c r="F166" s="563">
        <v>0</v>
      </c>
      <c r="G166" s="124">
        <v>1953498.6400000001</v>
      </c>
      <c r="H166" s="124">
        <v>2759007.95</v>
      </c>
      <c r="I166" s="124">
        <v>0</v>
      </c>
      <c r="J166" s="372"/>
      <c r="K166" s="563">
        <v>0</v>
      </c>
      <c r="L166" s="124">
        <v>1953498.6400000001</v>
      </c>
      <c r="N166" s="124">
        <v>805509.31</v>
      </c>
      <c r="P166" s="563"/>
      <c r="Q166" s="124">
        <v>0</v>
      </c>
      <c r="U166" s="122">
        <v>2827.48</v>
      </c>
      <c r="V166" s="121">
        <v>33428.92</v>
      </c>
      <c r="X166" s="121">
        <v>62340.75</v>
      </c>
      <c r="Z166" s="122"/>
      <c r="AA166" s="121">
        <v>0</v>
      </c>
    </row>
    <row r="167" spans="1:27" x14ac:dyDescent="0.3">
      <c r="A167" s="125">
        <v>22200</v>
      </c>
      <c r="B167" s="19" t="s">
        <v>18</v>
      </c>
      <c r="C167" t="s">
        <v>1013</v>
      </c>
      <c r="D167" s="563"/>
      <c r="E167" s="124">
        <v>806156.27</v>
      </c>
      <c r="F167" s="563"/>
      <c r="G167" s="124">
        <v>1838079.6</v>
      </c>
      <c r="H167" s="124">
        <v>2644235.87</v>
      </c>
      <c r="I167" s="124">
        <v>0</v>
      </c>
      <c r="J167" s="372"/>
      <c r="K167" s="563"/>
      <c r="L167" s="124">
        <v>1838079.6</v>
      </c>
      <c r="N167" s="124">
        <v>806156.27</v>
      </c>
      <c r="P167" s="563"/>
      <c r="Q167" s="124">
        <v>0</v>
      </c>
      <c r="U167" s="122"/>
      <c r="V167" s="121">
        <v>38463.699999999997</v>
      </c>
      <c r="X167" s="121">
        <v>58391.83</v>
      </c>
      <c r="Z167" s="122"/>
      <c r="AA167" s="121">
        <v>0</v>
      </c>
    </row>
    <row r="168" spans="1:27" x14ac:dyDescent="0.3">
      <c r="A168" s="125">
        <v>22204</v>
      </c>
      <c r="B168" s="19" t="s">
        <v>18</v>
      </c>
      <c r="C168" t="s">
        <v>827</v>
      </c>
      <c r="D168" s="563"/>
      <c r="E168" s="124">
        <v>511279.27</v>
      </c>
      <c r="F168" s="563">
        <v>0</v>
      </c>
      <c r="G168" s="124">
        <v>1351133.01</v>
      </c>
      <c r="H168" s="124">
        <v>1862412.28</v>
      </c>
      <c r="I168" s="124">
        <v>0</v>
      </c>
      <c r="J168" s="372"/>
      <c r="K168" s="563">
        <v>0</v>
      </c>
      <c r="L168" s="124">
        <v>1351133.01</v>
      </c>
      <c r="N168" s="124">
        <v>511279.27</v>
      </c>
      <c r="P168" s="563"/>
      <c r="Q168" s="124">
        <v>0</v>
      </c>
      <c r="U168" s="122">
        <v>8295.0300000000007</v>
      </c>
      <c r="V168" s="121">
        <v>19742.8</v>
      </c>
      <c r="X168" s="121">
        <v>117436.23</v>
      </c>
      <c r="Z168" s="122"/>
      <c r="AA168" s="121">
        <v>0</v>
      </c>
    </row>
    <row r="169" spans="1:27" x14ac:dyDescent="0.3">
      <c r="A169" s="125">
        <v>22207</v>
      </c>
      <c r="B169" s="19" t="s">
        <v>18</v>
      </c>
      <c r="C169" t="s">
        <v>786</v>
      </c>
      <c r="D169" s="563">
        <v>34711.67</v>
      </c>
      <c r="E169" s="124">
        <v>1707519.08</v>
      </c>
      <c r="F169" s="563"/>
      <c r="G169" s="124">
        <v>4132828.96</v>
      </c>
      <c r="H169" s="124">
        <v>5875059.71</v>
      </c>
      <c r="I169" s="124">
        <v>0</v>
      </c>
      <c r="J169" s="372"/>
      <c r="K169" s="563"/>
      <c r="L169" s="124">
        <v>4132828.96</v>
      </c>
      <c r="N169" s="124">
        <v>1707519.08</v>
      </c>
      <c r="P169" s="563">
        <v>34711.67</v>
      </c>
      <c r="Q169" s="124">
        <v>0</v>
      </c>
      <c r="U169" s="122"/>
      <c r="V169" s="121">
        <v>36666.47</v>
      </c>
      <c r="X169" s="121">
        <v>91449.54</v>
      </c>
      <c r="Z169" s="122">
        <v>0</v>
      </c>
      <c r="AA169" s="121">
        <v>0</v>
      </c>
    </row>
    <row r="170" spans="1:27" x14ac:dyDescent="0.3">
      <c r="A170" s="125">
        <v>23042</v>
      </c>
      <c r="B170" s="19" t="s">
        <v>13</v>
      </c>
      <c r="C170" t="s">
        <v>968</v>
      </c>
      <c r="D170" s="563"/>
      <c r="E170" s="124">
        <v>649397.43000000005</v>
      </c>
      <c r="F170" s="563"/>
      <c r="G170" s="124">
        <v>1633545.01</v>
      </c>
      <c r="H170" s="124">
        <v>2282942.44</v>
      </c>
      <c r="I170" s="124">
        <v>0</v>
      </c>
      <c r="J170" s="372"/>
      <c r="K170" s="563"/>
      <c r="L170" s="124">
        <v>1633545.01</v>
      </c>
      <c r="N170" s="124">
        <v>649397.43000000005</v>
      </c>
      <c r="P170" s="563"/>
      <c r="Q170" s="124">
        <v>0</v>
      </c>
      <c r="U170" s="122"/>
      <c r="V170" s="121">
        <v>15814.5</v>
      </c>
      <c r="X170" s="121">
        <v>11458.46</v>
      </c>
      <c r="Z170" s="122"/>
      <c r="AA170" s="121">
        <v>0</v>
      </c>
    </row>
    <row r="171" spans="1:27" x14ac:dyDescent="0.3">
      <c r="A171" s="125">
        <v>23054</v>
      </c>
      <c r="B171" s="19" t="s">
        <v>13</v>
      </c>
      <c r="C171" t="s">
        <v>823</v>
      </c>
      <c r="D171" s="563"/>
      <c r="E171" s="124">
        <v>858776.62</v>
      </c>
      <c r="F171" s="563">
        <v>0</v>
      </c>
      <c r="G171" s="124">
        <v>1532446.13</v>
      </c>
      <c r="H171" s="124">
        <v>2391222.75</v>
      </c>
      <c r="I171" s="124">
        <v>0</v>
      </c>
      <c r="J171" s="372"/>
      <c r="K171" s="563">
        <v>0</v>
      </c>
      <c r="L171" s="124">
        <v>1532446.13</v>
      </c>
      <c r="N171" s="124">
        <v>858776.62</v>
      </c>
      <c r="P171" s="563"/>
      <c r="Q171" s="124">
        <v>0</v>
      </c>
      <c r="U171" s="122">
        <v>9012.48</v>
      </c>
      <c r="V171" s="121">
        <v>120400.88</v>
      </c>
      <c r="X171" s="121">
        <v>48980.87</v>
      </c>
      <c r="Z171" s="122"/>
      <c r="AA171" s="121">
        <v>0</v>
      </c>
    </row>
    <row r="172" spans="1:27" x14ac:dyDescent="0.3">
      <c r="A172" s="125">
        <v>23309</v>
      </c>
      <c r="B172" s="19" t="s">
        <v>13</v>
      </c>
      <c r="C172" t="s">
        <v>957</v>
      </c>
      <c r="D172" s="563"/>
      <c r="E172" s="124">
        <v>13725395.91</v>
      </c>
      <c r="F172" s="563">
        <v>0</v>
      </c>
      <c r="G172" s="124">
        <v>32212954.230000004</v>
      </c>
      <c r="H172" s="124">
        <v>45938350.140000001</v>
      </c>
      <c r="I172" s="124">
        <v>0</v>
      </c>
      <c r="J172" s="372"/>
      <c r="K172" s="563">
        <v>0</v>
      </c>
      <c r="L172" s="124">
        <v>32212954.230000004</v>
      </c>
      <c r="N172" s="124">
        <v>13725395.91</v>
      </c>
      <c r="P172" s="563"/>
      <c r="Q172" s="124">
        <v>0</v>
      </c>
      <c r="U172" s="122">
        <v>9757.08</v>
      </c>
      <c r="V172" s="121">
        <v>785408.5</v>
      </c>
      <c r="X172" s="121">
        <v>750202.39</v>
      </c>
      <c r="Z172" s="122"/>
      <c r="AA172" s="121">
        <v>0</v>
      </c>
    </row>
    <row r="173" spans="1:27" x14ac:dyDescent="0.3">
      <c r="A173" s="125">
        <v>23311</v>
      </c>
      <c r="B173" s="19" t="s">
        <v>13</v>
      </c>
      <c r="C173" t="s">
        <v>863</v>
      </c>
      <c r="D173" s="563"/>
      <c r="E173" s="124">
        <v>941344.6399999999</v>
      </c>
      <c r="F173" s="563"/>
      <c r="G173" s="124">
        <v>2290130.16</v>
      </c>
      <c r="H173" s="124">
        <v>3231474.8</v>
      </c>
      <c r="I173" s="124">
        <v>0</v>
      </c>
      <c r="J173" s="372"/>
      <c r="K173" s="563"/>
      <c r="L173" s="124">
        <v>2290130.16</v>
      </c>
      <c r="N173" s="124">
        <v>941344.6399999999</v>
      </c>
      <c r="P173" s="563"/>
      <c r="Q173" s="124">
        <v>0</v>
      </c>
      <c r="U173" s="122"/>
      <c r="V173" s="121">
        <v>17041.86</v>
      </c>
      <c r="X173" s="121">
        <v>135728.16</v>
      </c>
      <c r="Z173" s="122"/>
      <c r="AA173" s="121">
        <v>0</v>
      </c>
    </row>
    <row r="174" spans="1:27" x14ac:dyDescent="0.3">
      <c r="A174" s="125">
        <v>23402</v>
      </c>
      <c r="B174" s="19" t="s">
        <v>13</v>
      </c>
      <c r="C174" t="s">
        <v>922</v>
      </c>
      <c r="D174" s="563"/>
      <c r="E174" s="124">
        <v>2003407.93</v>
      </c>
      <c r="F174" s="563"/>
      <c r="G174" s="124">
        <v>5646201.4900000002</v>
      </c>
      <c r="H174" s="124">
        <v>7649609.4199999999</v>
      </c>
      <c r="I174" s="124">
        <v>0</v>
      </c>
      <c r="J174" s="372"/>
      <c r="K174" s="563"/>
      <c r="L174" s="124">
        <v>5646201.4900000002</v>
      </c>
      <c r="N174" s="124">
        <v>2003407.93</v>
      </c>
      <c r="P174" s="563"/>
      <c r="Q174" s="124">
        <v>0</v>
      </c>
      <c r="U174" s="122"/>
      <c r="V174" s="121">
        <v>131569.99</v>
      </c>
      <c r="X174" s="121">
        <v>118069.35</v>
      </c>
      <c r="Z174" s="122"/>
      <c r="AA174" s="121">
        <v>0</v>
      </c>
    </row>
    <row r="175" spans="1:27" x14ac:dyDescent="0.3">
      <c r="A175" s="125">
        <v>23403</v>
      </c>
      <c r="B175" s="19" t="s">
        <v>52</v>
      </c>
      <c r="C175" t="s">
        <v>894</v>
      </c>
      <c r="D175" s="563"/>
      <c r="E175" s="124">
        <v>6560588.7699999996</v>
      </c>
      <c r="F175" s="563">
        <v>86.92</v>
      </c>
      <c r="G175" s="124">
        <v>16348334.32</v>
      </c>
      <c r="H175" s="124">
        <v>22909010.009999998</v>
      </c>
      <c r="I175" s="124">
        <v>0</v>
      </c>
      <c r="J175" s="372"/>
      <c r="K175" s="563">
        <v>86.92</v>
      </c>
      <c r="L175" s="124">
        <v>16348334.32</v>
      </c>
      <c r="N175" s="124">
        <v>6560588.7699999996</v>
      </c>
      <c r="P175" s="563"/>
      <c r="Q175" s="124">
        <v>0</v>
      </c>
      <c r="U175" s="122">
        <v>8572</v>
      </c>
      <c r="V175" s="121">
        <v>484811.04</v>
      </c>
      <c r="X175" s="121">
        <v>351979.52000000002</v>
      </c>
      <c r="Z175" s="122"/>
      <c r="AA175" s="121">
        <v>0</v>
      </c>
    </row>
    <row r="176" spans="1:27" x14ac:dyDescent="0.3">
      <c r="A176" s="125">
        <v>23404</v>
      </c>
      <c r="B176" s="19" t="s">
        <v>13</v>
      </c>
      <c r="C176" t="s">
        <v>831</v>
      </c>
      <c r="D176" s="563"/>
      <c r="E176" s="124">
        <v>1395906.4500000002</v>
      </c>
      <c r="F176" s="563"/>
      <c r="G176" s="124">
        <v>2605696.29</v>
      </c>
      <c r="H176" s="124">
        <v>4001602.7399999998</v>
      </c>
      <c r="I176" s="124">
        <v>0</v>
      </c>
      <c r="J176" s="372"/>
      <c r="K176" s="563"/>
      <c r="L176" s="124">
        <v>2605696.29</v>
      </c>
      <c r="N176" s="124">
        <v>1395906.4500000002</v>
      </c>
      <c r="P176" s="563"/>
      <c r="Q176" s="124">
        <v>0</v>
      </c>
      <c r="U176" s="122"/>
      <c r="V176" s="121">
        <v>80131.260000000009</v>
      </c>
      <c r="X176" s="121">
        <v>69487.570000000007</v>
      </c>
      <c r="Z176" s="122"/>
      <c r="AA176" s="121">
        <v>0</v>
      </c>
    </row>
    <row r="177" spans="1:27" x14ac:dyDescent="0.3">
      <c r="A177" s="125">
        <v>24014</v>
      </c>
      <c r="B177" s="19" t="s">
        <v>55</v>
      </c>
      <c r="C177" t="s">
        <v>886</v>
      </c>
      <c r="D177" s="563"/>
      <c r="E177" s="124">
        <v>1045222.6799999999</v>
      </c>
      <c r="F177" s="563"/>
      <c r="G177" s="124">
        <v>1408771.43</v>
      </c>
      <c r="H177" s="124">
        <v>2453994.11</v>
      </c>
      <c r="I177" s="124">
        <v>0</v>
      </c>
      <c r="J177" s="372"/>
      <c r="K177" s="563"/>
      <c r="L177" s="124">
        <v>1408771.43</v>
      </c>
      <c r="N177" s="124">
        <v>1045222.6799999999</v>
      </c>
      <c r="P177" s="563"/>
      <c r="Q177" s="124">
        <v>0</v>
      </c>
      <c r="U177" s="122"/>
      <c r="V177" s="121">
        <v>0</v>
      </c>
      <c r="X177" s="121">
        <v>135604.01</v>
      </c>
      <c r="Z177" s="122"/>
      <c r="AA177" s="121">
        <v>0</v>
      </c>
    </row>
    <row r="178" spans="1:27" x14ac:dyDescent="0.3">
      <c r="A178" s="125">
        <v>24019</v>
      </c>
      <c r="B178" s="19" t="s">
        <v>55</v>
      </c>
      <c r="C178" t="s">
        <v>905</v>
      </c>
      <c r="D178" s="563"/>
      <c r="E178" s="124">
        <v>7262647.5700000003</v>
      </c>
      <c r="F178" s="563">
        <v>210768.85</v>
      </c>
      <c r="G178" s="124">
        <v>29824057.760000002</v>
      </c>
      <c r="H178" s="124">
        <v>37297474.180000007</v>
      </c>
      <c r="I178" s="124">
        <v>0</v>
      </c>
      <c r="J178" s="372"/>
      <c r="K178" s="563">
        <v>210768.85</v>
      </c>
      <c r="L178" s="124">
        <v>29824057.760000002</v>
      </c>
      <c r="N178" s="124">
        <v>7262647.5700000003</v>
      </c>
      <c r="P178" s="563"/>
      <c r="Q178" s="124">
        <v>0</v>
      </c>
      <c r="U178" s="122">
        <v>285</v>
      </c>
      <c r="V178" s="121">
        <v>202186.97999999998</v>
      </c>
      <c r="X178" s="121">
        <v>439264.5</v>
      </c>
      <c r="Z178" s="122"/>
      <c r="AA178" s="121">
        <v>0</v>
      </c>
    </row>
    <row r="179" spans="1:27" x14ac:dyDescent="0.3">
      <c r="A179" s="125">
        <v>24105</v>
      </c>
      <c r="B179" s="19" t="s">
        <v>55</v>
      </c>
      <c r="C179" t="s">
        <v>903</v>
      </c>
      <c r="D179" s="563"/>
      <c r="E179" s="124">
        <v>3804200.45</v>
      </c>
      <c r="F179" s="563">
        <v>0</v>
      </c>
      <c r="G179" s="124">
        <v>7694746.3899999997</v>
      </c>
      <c r="H179" s="124">
        <v>11498946.84</v>
      </c>
      <c r="I179" s="124">
        <v>0</v>
      </c>
      <c r="J179" s="372"/>
      <c r="K179" s="563">
        <v>0</v>
      </c>
      <c r="L179" s="124">
        <v>7694746.3899999997</v>
      </c>
      <c r="N179" s="124">
        <v>3804200.45</v>
      </c>
      <c r="P179" s="563"/>
      <c r="Q179" s="124">
        <v>0</v>
      </c>
      <c r="U179" s="122">
        <v>880</v>
      </c>
      <c r="V179" s="121">
        <v>149393.28</v>
      </c>
      <c r="X179" s="121">
        <v>247888.74000000002</v>
      </c>
      <c r="Z179" s="122"/>
      <c r="AA179" s="121">
        <v>0</v>
      </c>
    </row>
    <row r="180" spans="1:27" x14ac:dyDescent="0.3">
      <c r="A180" s="125">
        <v>24111</v>
      </c>
      <c r="B180" s="19" t="s">
        <v>55</v>
      </c>
      <c r="C180" t="s">
        <v>748</v>
      </c>
      <c r="D180" s="563"/>
      <c r="E180" s="124">
        <v>3150565.61</v>
      </c>
      <c r="F180" s="563">
        <v>0</v>
      </c>
      <c r="G180" s="124">
        <v>6290238.8399999999</v>
      </c>
      <c r="H180" s="124">
        <v>9440804.4499999993</v>
      </c>
      <c r="I180" s="124">
        <v>0</v>
      </c>
      <c r="J180" s="372"/>
      <c r="K180" s="563">
        <v>0</v>
      </c>
      <c r="L180" s="124">
        <v>6290238.8399999999</v>
      </c>
      <c r="N180" s="124">
        <v>3150565.61</v>
      </c>
      <c r="P180" s="563"/>
      <c r="Q180" s="124">
        <v>0</v>
      </c>
      <c r="U180" s="122">
        <v>10275.77</v>
      </c>
      <c r="V180" s="121">
        <v>63554.79</v>
      </c>
      <c r="X180" s="121">
        <v>258011.89</v>
      </c>
      <c r="Z180" s="122"/>
      <c r="AA180" s="121">
        <v>0</v>
      </c>
    </row>
    <row r="181" spans="1:27" x14ac:dyDescent="0.3">
      <c r="A181" s="125">
        <v>24122</v>
      </c>
      <c r="B181" s="19" t="s">
        <v>55</v>
      </c>
      <c r="C181" t="s">
        <v>918</v>
      </c>
      <c r="D181" s="563"/>
      <c r="E181" s="124">
        <v>892827.92</v>
      </c>
      <c r="F181" s="563"/>
      <c r="G181" s="124">
        <v>2179644.0300000003</v>
      </c>
      <c r="H181" s="124">
        <v>3072471.95</v>
      </c>
      <c r="I181" s="124">
        <v>0</v>
      </c>
      <c r="J181" s="372"/>
      <c r="K181" s="563"/>
      <c r="L181" s="124">
        <v>2179644.0300000003</v>
      </c>
      <c r="N181" s="124">
        <v>892827.92</v>
      </c>
      <c r="P181" s="563"/>
      <c r="Q181" s="124">
        <v>0</v>
      </c>
      <c r="U181" s="122"/>
      <c r="V181" s="121">
        <v>215.39</v>
      </c>
      <c r="X181" s="121">
        <v>92800.39</v>
      </c>
      <c r="Z181" s="122"/>
      <c r="AA181" s="121">
        <v>0</v>
      </c>
    </row>
    <row r="182" spans="1:27" x14ac:dyDescent="0.3">
      <c r="A182" s="125">
        <v>24350</v>
      </c>
      <c r="B182" s="19" t="s">
        <v>55</v>
      </c>
      <c r="C182" t="s">
        <v>871</v>
      </c>
      <c r="D182" s="563"/>
      <c r="E182" s="124">
        <v>2696359.02</v>
      </c>
      <c r="F182" s="563"/>
      <c r="G182" s="124">
        <v>5538353.5199999996</v>
      </c>
      <c r="H182" s="124">
        <v>8234712.54</v>
      </c>
      <c r="I182" s="124">
        <v>0</v>
      </c>
      <c r="J182" s="372"/>
      <c r="K182" s="563"/>
      <c r="L182" s="124">
        <v>5538353.5199999996</v>
      </c>
      <c r="N182" s="124">
        <v>2696359.02</v>
      </c>
      <c r="P182" s="563"/>
      <c r="Q182" s="124">
        <v>0</v>
      </c>
      <c r="U182" s="122"/>
      <c r="V182" s="121">
        <v>185360.33000000002</v>
      </c>
      <c r="X182" s="121">
        <v>312156.39</v>
      </c>
      <c r="Z182" s="122"/>
      <c r="AA182" s="121">
        <v>0</v>
      </c>
    </row>
    <row r="183" spans="1:27" x14ac:dyDescent="0.3">
      <c r="A183" s="125">
        <v>24404</v>
      </c>
      <c r="B183" s="19" t="s">
        <v>55</v>
      </c>
      <c r="C183" t="s">
        <v>986</v>
      </c>
      <c r="D183" s="563"/>
      <c r="E183" s="124">
        <v>3336274.2199999997</v>
      </c>
      <c r="F183" s="563"/>
      <c r="G183" s="124">
        <v>7551241.3200000003</v>
      </c>
      <c r="H183" s="124">
        <v>10887515.539999999</v>
      </c>
      <c r="I183" s="124">
        <v>0</v>
      </c>
      <c r="J183" s="372"/>
      <c r="K183" s="563"/>
      <c r="L183" s="124">
        <v>7551241.3200000003</v>
      </c>
      <c r="N183" s="124">
        <v>3336274.2199999997</v>
      </c>
      <c r="P183" s="563"/>
      <c r="Q183" s="124">
        <v>0</v>
      </c>
      <c r="U183" s="122"/>
      <c r="V183" s="121">
        <v>193617.38</v>
      </c>
      <c r="X183" s="121">
        <v>395183.72000000003</v>
      </c>
      <c r="Z183" s="122"/>
      <c r="AA183" s="121">
        <v>0</v>
      </c>
    </row>
    <row r="184" spans="1:27" x14ac:dyDescent="0.3">
      <c r="A184" s="125">
        <v>24410</v>
      </c>
      <c r="B184" s="19" t="s">
        <v>55</v>
      </c>
      <c r="C184" t="s">
        <v>912</v>
      </c>
      <c r="D184" s="563"/>
      <c r="E184" s="124">
        <v>1455422.1600000001</v>
      </c>
      <c r="F184" s="563"/>
      <c r="G184" s="124">
        <v>3941780.06</v>
      </c>
      <c r="H184" s="124">
        <v>5397202.2200000007</v>
      </c>
      <c r="I184" s="124">
        <v>0</v>
      </c>
      <c r="J184" s="372"/>
      <c r="K184" s="563"/>
      <c r="L184" s="124">
        <v>3941780.06</v>
      </c>
      <c r="N184" s="124">
        <v>1455422.1600000001</v>
      </c>
      <c r="P184" s="563"/>
      <c r="Q184" s="124">
        <v>0</v>
      </c>
      <c r="U184" s="122"/>
      <c r="V184" s="121">
        <v>134633.71000000002</v>
      </c>
      <c r="X184" s="121">
        <v>222879.57</v>
      </c>
      <c r="Z184" s="122"/>
      <c r="AA184" s="121">
        <v>0</v>
      </c>
    </row>
    <row r="185" spans="1:27" x14ac:dyDescent="0.3">
      <c r="A185" s="125">
        <v>25101</v>
      </c>
      <c r="B185" s="19" t="s">
        <v>34</v>
      </c>
      <c r="C185" t="s">
        <v>900</v>
      </c>
      <c r="D185" s="563">
        <v>4258.8</v>
      </c>
      <c r="E185" s="124">
        <v>2911648.73</v>
      </c>
      <c r="F185" s="563"/>
      <c r="G185" s="124">
        <v>5787163.71</v>
      </c>
      <c r="H185" s="124">
        <v>8703071.2400000002</v>
      </c>
      <c r="I185" s="124">
        <v>0</v>
      </c>
      <c r="J185" s="372"/>
      <c r="K185" s="563"/>
      <c r="L185" s="124">
        <v>5787163.71</v>
      </c>
      <c r="N185" s="124">
        <v>2911648.73</v>
      </c>
      <c r="P185" s="563">
        <v>4258.8</v>
      </c>
      <c r="Q185" s="124">
        <v>0</v>
      </c>
      <c r="U185" s="122"/>
      <c r="V185" s="121">
        <v>50778.58</v>
      </c>
      <c r="X185" s="121">
        <v>190427.8</v>
      </c>
      <c r="Z185" s="122">
        <v>0</v>
      </c>
      <c r="AA185" s="121">
        <v>0</v>
      </c>
    </row>
    <row r="186" spans="1:27" x14ac:dyDescent="0.3">
      <c r="A186" s="125">
        <v>25116</v>
      </c>
      <c r="B186" s="19" t="s">
        <v>13</v>
      </c>
      <c r="C186" t="s">
        <v>936</v>
      </c>
      <c r="D186" s="563"/>
      <c r="E186" s="124">
        <v>1534805.36</v>
      </c>
      <c r="F186" s="563">
        <v>0</v>
      </c>
      <c r="G186" s="124">
        <v>3858701.59</v>
      </c>
      <c r="H186" s="124">
        <v>5393506.9499999993</v>
      </c>
      <c r="I186" s="124">
        <v>0</v>
      </c>
      <c r="J186" s="372"/>
      <c r="K186" s="563">
        <v>0</v>
      </c>
      <c r="L186" s="124">
        <v>3858701.59</v>
      </c>
      <c r="N186" s="124">
        <v>1534805.36</v>
      </c>
      <c r="P186" s="563"/>
      <c r="Q186" s="124">
        <v>0</v>
      </c>
      <c r="U186" s="122">
        <v>23320.1</v>
      </c>
      <c r="V186" s="121">
        <v>104034.1</v>
      </c>
      <c r="X186" s="121">
        <v>175301.16</v>
      </c>
      <c r="Z186" s="122"/>
      <c r="AA186" s="121">
        <v>0</v>
      </c>
    </row>
    <row r="187" spans="1:27" x14ac:dyDescent="0.3">
      <c r="A187" s="125">
        <v>25118</v>
      </c>
      <c r="B187" s="19" t="s">
        <v>13</v>
      </c>
      <c r="C187" t="s">
        <v>965</v>
      </c>
      <c r="D187" s="563"/>
      <c r="E187" s="124">
        <v>2397111.34</v>
      </c>
      <c r="F187" s="563"/>
      <c r="G187" s="124">
        <v>4421108.91</v>
      </c>
      <c r="H187" s="124">
        <v>6818220.25</v>
      </c>
      <c r="I187" s="124">
        <v>0</v>
      </c>
      <c r="J187" s="372"/>
      <c r="K187" s="563"/>
      <c r="L187" s="124">
        <v>4421108.91</v>
      </c>
      <c r="N187" s="124">
        <v>2397111.34</v>
      </c>
      <c r="P187" s="563"/>
      <c r="Q187" s="124">
        <v>0</v>
      </c>
      <c r="U187" s="122"/>
      <c r="V187" s="121">
        <v>57104.89</v>
      </c>
      <c r="X187" s="121">
        <v>168406.55</v>
      </c>
      <c r="Z187" s="122"/>
      <c r="AA187" s="121">
        <v>0</v>
      </c>
    </row>
    <row r="188" spans="1:27" x14ac:dyDescent="0.3">
      <c r="A188" s="125">
        <v>25155</v>
      </c>
      <c r="B188" s="19" t="s">
        <v>34</v>
      </c>
      <c r="C188" t="s">
        <v>1122</v>
      </c>
      <c r="D188" s="563"/>
      <c r="E188" s="124">
        <v>996893.16999999993</v>
      </c>
      <c r="F188" s="563"/>
      <c r="G188" s="124">
        <v>2160740.25</v>
      </c>
      <c r="H188" s="124">
        <v>3157633.42</v>
      </c>
      <c r="I188" s="124">
        <v>0</v>
      </c>
      <c r="J188" s="372"/>
      <c r="K188" s="563"/>
      <c r="L188" s="124">
        <v>2160740.25</v>
      </c>
      <c r="N188" s="124">
        <v>996893.16999999993</v>
      </c>
      <c r="P188" s="563"/>
      <c r="Q188" s="124">
        <v>0</v>
      </c>
      <c r="U188" s="122"/>
      <c r="V188" s="121">
        <v>125874.4</v>
      </c>
      <c r="X188" s="121">
        <v>148727.29999999999</v>
      </c>
      <c r="Z188" s="122"/>
      <c r="AA188" s="121">
        <v>0</v>
      </c>
    </row>
    <row r="189" spans="1:27" x14ac:dyDescent="0.3">
      <c r="A189" s="125">
        <v>25160</v>
      </c>
      <c r="B189" s="19" t="s">
        <v>13</v>
      </c>
      <c r="C189" t="s">
        <v>1014</v>
      </c>
      <c r="D189" s="563"/>
      <c r="E189" s="124">
        <v>1193286.81</v>
      </c>
      <c r="F189" s="563"/>
      <c r="G189" s="124">
        <v>2420522.34</v>
      </c>
      <c r="H189" s="124">
        <v>3613809.1500000004</v>
      </c>
      <c r="I189" s="124">
        <v>0</v>
      </c>
      <c r="J189" s="372"/>
      <c r="K189" s="563"/>
      <c r="L189" s="124">
        <v>2420522.34</v>
      </c>
      <c r="N189" s="124">
        <v>1193286.81</v>
      </c>
      <c r="P189" s="563"/>
      <c r="Q189" s="124">
        <v>0</v>
      </c>
      <c r="U189" s="122"/>
      <c r="V189" s="121">
        <v>32663.05</v>
      </c>
      <c r="X189" s="121">
        <v>131874.57</v>
      </c>
      <c r="Z189" s="122"/>
      <c r="AA189" s="121">
        <v>0</v>
      </c>
    </row>
    <row r="190" spans="1:27" x14ac:dyDescent="0.3">
      <c r="A190" s="125">
        <v>25200</v>
      </c>
      <c r="B190" s="19" t="s">
        <v>13</v>
      </c>
      <c r="C190" t="s">
        <v>889</v>
      </c>
      <c r="D190" s="563"/>
      <c r="E190" s="124">
        <v>593834.92000000004</v>
      </c>
      <c r="F190" s="563">
        <v>110368.41</v>
      </c>
      <c r="G190" s="124">
        <v>598446.77</v>
      </c>
      <c r="H190" s="124">
        <v>1302650.1000000001</v>
      </c>
      <c r="I190" s="124">
        <v>0</v>
      </c>
      <c r="J190" s="372"/>
      <c r="K190" s="563">
        <v>110368.41</v>
      </c>
      <c r="L190" s="124">
        <v>598446.77</v>
      </c>
      <c r="N190" s="124">
        <v>593834.92000000004</v>
      </c>
      <c r="P190" s="563"/>
      <c r="Q190" s="124">
        <v>0</v>
      </c>
      <c r="U190" s="122">
        <v>0</v>
      </c>
      <c r="V190" s="121">
        <v>21986.82</v>
      </c>
      <c r="X190" s="121">
        <v>10315.5</v>
      </c>
      <c r="Z190" s="122"/>
      <c r="AA190" s="121">
        <v>0</v>
      </c>
    </row>
    <row r="191" spans="1:27" x14ac:dyDescent="0.3">
      <c r="A191" s="125">
        <v>26056</v>
      </c>
      <c r="B191" s="19" t="s">
        <v>18</v>
      </c>
      <c r="C191" t="s">
        <v>887</v>
      </c>
      <c r="D191" s="563"/>
      <c r="E191" s="124">
        <v>2919531.64</v>
      </c>
      <c r="F191" s="563"/>
      <c r="G191" s="124">
        <v>8024821.0099999998</v>
      </c>
      <c r="H191" s="124">
        <v>10944352.65</v>
      </c>
      <c r="I191" s="124">
        <v>0</v>
      </c>
      <c r="J191" s="372"/>
      <c r="K191" s="563"/>
      <c r="L191" s="124">
        <v>8024821.0099999998</v>
      </c>
      <c r="N191" s="124">
        <v>2919531.64</v>
      </c>
      <c r="P191" s="563"/>
      <c r="Q191" s="124">
        <v>0</v>
      </c>
      <c r="U191" s="122"/>
      <c r="V191" s="121">
        <v>127619.48999999999</v>
      </c>
      <c r="X191" s="121">
        <v>141486.97</v>
      </c>
      <c r="Z191" s="122"/>
      <c r="AA191" s="121">
        <v>0</v>
      </c>
    </row>
    <row r="192" spans="1:27" x14ac:dyDescent="0.3">
      <c r="A192" s="125">
        <v>26059</v>
      </c>
      <c r="B192" s="19" t="s">
        <v>18</v>
      </c>
      <c r="C192" t="s">
        <v>783</v>
      </c>
      <c r="D192" s="563"/>
      <c r="E192" s="124">
        <v>1524659.71</v>
      </c>
      <c r="F192" s="563"/>
      <c r="G192" s="124">
        <v>2950161.31</v>
      </c>
      <c r="H192" s="124">
        <v>4474821.0199999996</v>
      </c>
      <c r="I192" s="124">
        <v>0</v>
      </c>
      <c r="J192" s="372"/>
      <c r="K192" s="563"/>
      <c r="L192" s="124">
        <v>2950161.31</v>
      </c>
      <c r="N192" s="124">
        <v>1524659.71</v>
      </c>
      <c r="P192" s="563"/>
      <c r="Q192" s="124">
        <v>0</v>
      </c>
      <c r="U192" s="122"/>
      <c r="V192" s="121">
        <v>11038.85</v>
      </c>
      <c r="X192" s="121">
        <v>137238.82999999999</v>
      </c>
      <c r="Z192" s="122"/>
      <c r="AA192" s="121">
        <v>0</v>
      </c>
    </row>
    <row r="193" spans="1:27" x14ac:dyDescent="0.3">
      <c r="A193" s="125">
        <v>26070</v>
      </c>
      <c r="B193" s="19" t="s">
        <v>18</v>
      </c>
      <c r="C193" t="s">
        <v>954</v>
      </c>
      <c r="D193" s="563"/>
      <c r="E193" s="124">
        <v>1324280.8</v>
      </c>
      <c r="F193" s="563">
        <v>0</v>
      </c>
      <c r="G193" s="124">
        <v>1974838.63</v>
      </c>
      <c r="H193" s="124">
        <v>3299119.43</v>
      </c>
      <c r="I193" s="124">
        <v>0</v>
      </c>
      <c r="J193" s="372"/>
      <c r="K193" s="563">
        <v>0</v>
      </c>
      <c r="L193" s="124">
        <v>1974838.63</v>
      </c>
      <c r="N193" s="124">
        <v>1324280.8</v>
      </c>
      <c r="P193" s="563"/>
      <c r="Q193" s="124">
        <v>0</v>
      </c>
      <c r="U193" s="122">
        <v>40125.25</v>
      </c>
      <c r="V193" s="121">
        <v>5040.7299999999996</v>
      </c>
      <c r="X193" s="121">
        <v>142604.58000000002</v>
      </c>
      <c r="Z193" s="122"/>
      <c r="AA193" s="121">
        <v>0</v>
      </c>
    </row>
    <row r="194" spans="1:27" x14ac:dyDescent="0.3">
      <c r="A194" s="125">
        <v>27001</v>
      </c>
      <c r="B194" s="19" t="s">
        <v>29</v>
      </c>
      <c r="C194" t="s">
        <v>973</v>
      </c>
      <c r="D194" s="563"/>
      <c r="E194" s="124">
        <v>6839881.7300000004</v>
      </c>
      <c r="F194" s="563">
        <v>0</v>
      </c>
      <c r="G194" s="124">
        <v>22927505.039999999</v>
      </c>
      <c r="H194" s="124">
        <v>29767386.770000003</v>
      </c>
      <c r="I194" s="124">
        <v>0</v>
      </c>
      <c r="J194" s="372"/>
      <c r="K194" s="563">
        <v>0</v>
      </c>
      <c r="L194" s="124">
        <v>22927505.039999999</v>
      </c>
      <c r="N194" s="124">
        <v>6839881.7300000004</v>
      </c>
      <c r="P194" s="563"/>
      <c r="Q194" s="124">
        <v>0</v>
      </c>
      <c r="U194" s="122">
        <v>11000</v>
      </c>
      <c r="V194" s="121">
        <v>617497.62999999989</v>
      </c>
      <c r="X194" s="121">
        <v>419511.13</v>
      </c>
      <c r="Z194" s="122"/>
      <c r="AA194" s="121">
        <v>0</v>
      </c>
    </row>
    <row r="195" spans="1:27" x14ac:dyDescent="0.3">
      <c r="A195" s="125">
        <v>27003</v>
      </c>
      <c r="B195" s="19" t="s">
        <v>29</v>
      </c>
      <c r="C195" t="s">
        <v>929</v>
      </c>
      <c r="D195" s="563">
        <v>144988.48000000001</v>
      </c>
      <c r="E195" s="124">
        <v>74060984.25</v>
      </c>
      <c r="F195" s="563">
        <v>24559.95</v>
      </c>
      <c r="G195" s="124">
        <v>183455466.53999999</v>
      </c>
      <c r="H195" s="124">
        <v>257685999.22</v>
      </c>
      <c r="I195" s="124">
        <v>0</v>
      </c>
      <c r="J195" s="372"/>
      <c r="K195" s="563">
        <v>24559.95</v>
      </c>
      <c r="L195" s="124">
        <v>183455466.53999999</v>
      </c>
      <c r="N195" s="124">
        <v>74060984.25</v>
      </c>
      <c r="P195" s="563">
        <v>144988.48000000001</v>
      </c>
      <c r="Q195" s="124">
        <v>0</v>
      </c>
      <c r="U195" s="122">
        <v>50168.89</v>
      </c>
      <c r="V195" s="121">
        <v>2022729.6400000001</v>
      </c>
      <c r="X195" s="121">
        <v>2186979.69</v>
      </c>
      <c r="Z195" s="122">
        <v>0</v>
      </c>
      <c r="AA195" s="121">
        <v>0</v>
      </c>
    </row>
    <row r="196" spans="1:27" x14ac:dyDescent="0.3">
      <c r="A196" s="125">
        <v>27010</v>
      </c>
      <c r="B196" s="19" t="s">
        <v>29</v>
      </c>
      <c r="C196" t="s">
        <v>979</v>
      </c>
      <c r="D196" s="563">
        <v>96054.080000000002</v>
      </c>
      <c r="E196" s="124">
        <v>100933957.22999999</v>
      </c>
      <c r="F196" s="563">
        <v>108322.66</v>
      </c>
      <c r="G196" s="124">
        <v>272098693.55000001</v>
      </c>
      <c r="H196" s="124">
        <v>373237027.51999998</v>
      </c>
      <c r="I196" s="124">
        <v>0</v>
      </c>
      <c r="J196" s="372"/>
      <c r="K196" s="563">
        <v>108322.66</v>
      </c>
      <c r="L196" s="124">
        <v>272098693.55000001</v>
      </c>
      <c r="N196" s="124">
        <v>100933957.22999999</v>
      </c>
      <c r="P196" s="563">
        <v>96054.080000000002</v>
      </c>
      <c r="Q196" s="124">
        <v>0</v>
      </c>
      <c r="U196" s="122">
        <v>206112.03</v>
      </c>
      <c r="V196" s="121">
        <v>5631138.4900000002</v>
      </c>
      <c r="X196" s="121">
        <v>4821071.3099999996</v>
      </c>
      <c r="Z196" s="122">
        <v>0</v>
      </c>
      <c r="AA196" s="121">
        <v>0</v>
      </c>
    </row>
    <row r="197" spans="1:27" x14ac:dyDescent="0.3">
      <c r="A197" s="125">
        <v>27019</v>
      </c>
      <c r="B197" s="19" t="s">
        <v>29</v>
      </c>
      <c r="C197" t="s">
        <v>754</v>
      </c>
      <c r="D197" s="563"/>
      <c r="E197" s="124">
        <v>509747.77</v>
      </c>
      <c r="F197" s="563"/>
      <c r="G197" s="124">
        <v>1377361.87</v>
      </c>
      <c r="H197" s="124">
        <v>1887109.6400000001</v>
      </c>
      <c r="I197" s="124">
        <v>0</v>
      </c>
      <c r="J197" s="372"/>
      <c r="K197" s="563"/>
      <c r="L197" s="124">
        <v>1377361.87</v>
      </c>
      <c r="N197" s="124">
        <v>509747.77</v>
      </c>
      <c r="P197" s="563"/>
      <c r="Q197" s="124">
        <v>0</v>
      </c>
      <c r="U197" s="122"/>
      <c r="V197" s="121">
        <v>0</v>
      </c>
      <c r="X197" s="121">
        <v>36705.19</v>
      </c>
      <c r="Z197" s="122"/>
      <c r="AA197" s="121">
        <v>0</v>
      </c>
    </row>
    <row r="198" spans="1:27" x14ac:dyDescent="0.3">
      <c r="A198" s="125">
        <v>27083</v>
      </c>
      <c r="B198" s="19" t="s">
        <v>29</v>
      </c>
      <c r="C198" t="s">
        <v>993</v>
      </c>
      <c r="D198" s="563"/>
      <c r="E198" s="124">
        <v>13958492.379999999</v>
      </c>
      <c r="F198" s="563">
        <v>0</v>
      </c>
      <c r="G198" s="124">
        <v>43480741.82</v>
      </c>
      <c r="H198" s="124">
        <v>57439234.200000003</v>
      </c>
      <c r="I198" s="124">
        <v>0</v>
      </c>
      <c r="J198" s="372"/>
      <c r="K198" s="563">
        <v>0</v>
      </c>
      <c r="L198" s="124">
        <v>43480741.82</v>
      </c>
      <c r="N198" s="124">
        <v>13958492.379999999</v>
      </c>
      <c r="P198" s="563"/>
      <c r="Q198" s="124">
        <v>0</v>
      </c>
      <c r="U198" s="122">
        <v>74742.100000000006</v>
      </c>
      <c r="V198" s="121">
        <v>971859.05999999994</v>
      </c>
      <c r="X198" s="121">
        <v>1067682.42</v>
      </c>
      <c r="Z198" s="122"/>
      <c r="AA198" s="121">
        <v>0</v>
      </c>
    </row>
    <row r="199" spans="1:27" x14ac:dyDescent="0.3">
      <c r="A199" s="125">
        <v>27320</v>
      </c>
      <c r="B199" s="19" t="s">
        <v>29</v>
      </c>
      <c r="C199" t="s">
        <v>1123</v>
      </c>
      <c r="D199" s="563"/>
      <c r="E199" s="124">
        <v>28035177.780000001</v>
      </c>
      <c r="F199" s="563">
        <v>0</v>
      </c>
      <c r="G199" s="124">
        <v>82966168.219999999</v>
      </c>
      <c r="H199" s="124">
        <v>111001346</v>
      </c>
      <c r="I199" s="124">
        <v>0</v>
      </c>
      <c r="J199" s="372"/>
      <c r="K199" s="563">
        <v>0</v>
      </c>
      <c r="L199" s="124">
        <v>82966168.219999999</v>
      </c>
      <c r="N199" s="124">
        <v>28035177.780000001</v>
      </c>
      <c r="P199" s="563"/>
      <c r="Q199" s="124">
        <v>0</v>
      </c>
      <c r="U199" s="122">
        <v>71536.09</v>
      </c>
      <c r="V199" s="121">
        <v>2548274.35</v>
      </c>
      <c r="X199" s="121">
        <v>2155707.9300000002</v>
      </c>
      <c r="Z199" s="122"/>
      <c r="AA199" s="121">
        <v>0</v>
      </c>
    </row>
    <row r="200" spans="1:27" x14ac:dyDescent="0.3">
      <c r="A200" s="125">
        <v>27343</v>
      </c>
      <c r="B200" s="19" t="s">
        <v>29</v>
      </c>
      <c r="C200" t="s">
        <v>789</v>
      </c>
      <c r="D200" s="563"/>
      <c r="E200" s="124">
        <v>5033067.1500000004</v>
      </c>
      <c r="F200" s="563">
        <v>0</v>
      </c>
      <c r="G200" s="124">
        <v>12559154.640000001</v>
      </c>
      <c r="H200" s="124">
        <v>17592221.789999999</v>
      </c>
      <c r="I200" s="124">
        <v>0</v>
      </c>
      <c r="J200" s="372"/>
      <c r="K200" s="563">
        <v>0</v>
      </c>
      <c r="L200" s="124">
        <v>12559154.640000001</v>
      </c>
      <c r="N200" s="124">
        <v>5033067.1500000004</v>
      </c>
      <c r="P200" s="563"/>
      <c r="Q200" s="124">
        <v>0</v>
      </c>
      <c r="U200" s="122">
        <v>1204.77</v>
      </c>
      <c r="V200" s="121">
        <v>252443.9</v>
      </c>
      <c r="X200" s="121">
        <v>393593.36</v>
      </c>
      <c r="Z200" s="122"/>
      <c r="AA200" s="121">
        <v>0</v>
      </c>
    </row>
    <row r="201" spans="1:27" x14ac:dyDescent="0.3">
      <c r="A201" s="125">
        <v>27344</v>
      </c>
      <c r="B201" s="19" t="s">
        <v>29</v>
      </c>
      <c r="C201" t="s">
        <v>913</v>
      </c>
      <c r="D201" s="563"/>
      <c r="E201" s="124">
        <v>8057218.7400000002</v>
      </c>
      <c r="F201" s="563"/>
      <c r="G201" s="124">
        <v>19030095.850000001</v>
      </c>
      <c r="H201" s="124">
        <v>27087314.59</v>
      </c>
      <c r="I201" s="124">
        <v>0</v>
      </c>
      <c r="J201" s="372"/>
      <c r="K201" s="563"/>
      <c r="L201" s="124">
        <v>19030095.850000001</v>
      </c>
      <c r="N201" s="124">
        <v>8057218.7400000002</v>
      </c>
      <c r="P201" s="563"/>
      <c r="Q201" s="124">
        <v>0</v>
      </c>
      <c r="U201" s="122"/>
      <c r="V201" s="121">
        <v>299405.70999999996</v>
      </c>
      <c r="X201" s="121">
        <v>764566.99</v>
      </c>
      <c r="Z201" s="122"/>
      <c r="AA201" s="121">
        <v>0</v>
      </c>
    </row>
    <row r="202" spans="1:27" x14ac:dyDescent="0.3">
      <c r="A202" s="125">
        <v>27400</v>
      </c>
      <c r="B202" s="19" t="s">
        <v>29</v>
      </c>
      <c r="C202" t="s">
        <v>768</v>
      </c>
      <c r="D202" s="563">
        <v>127752.18</v>
      </c>
      <c r="E202" s="124">
        <v>50282470.359999999</v>
      </c>
      <c r="F202" s="563">
        <v>0</v>
      </c>
      <c r="G202" s="124">
        <v>112829170.33</v>
      </c>
      <c r="H202" s="124">
        <v>163239392.87</v>
      </c>
      <c r="I202" s="124">
        <v>0</v>
      </c>
      <c r="J202" s="372"/>
      <c r="K202" s="563">
        <v>0</v>
      </c>
      <c r="L202" s="124">
        <v>112829170.33</v>
      </c>
      <c r="N202" s="124">
        <v>50282470.359999999</v>
      </c>
      <c r="P202" s="563">
        <v>127752.18</v>
      </c>
      <c r="Q202" s="124">
        <v>0</v>
      </c>
      <c r="U202" s="122">
        <v>28275.32</v>
      </c>
      <c r="V202" s="121">
        <v>1412945.83</v>
      </c>
      <c r="X202" s="121">
        <v>911541.73</v>
      </c>
      <c r="Z202" s="122">
        <v>0</v>
      </c>
      <c r="AA202" s="121">
        <v>0</v>
      </c>
    </row>
    <row r="203" spans="1:27" x14ac:dyDescent="0.3">
      <c r="A203" s="125">
        <v>27401</v>
      </c>
      <c r="B203" s="19" t="s">
        <v>29</v>
      </c>
      <c r="C203" t="s">
        <v>921</v>
      </c>
      <c r="D203" s="563"/>
      <c r="E203" s="124">
        <v>24075261.57</v>
      </c>
      <c r="F203" s="563">
        <v>0</v>
      </c>
      <c r="G203" s="124">
        <v>70380360.430000007</v>
      </c>
      <c r="H203" s="124">
        <v>94455622</v>
      </c>
      <c r="I203" s="124">
        <v>0</v>
      </c>
      <c r="J203" s="372"/>
      <c r="K203" s="563">
        <v>0</v>
      </c>
      <c r="L203" s="124">
        <v>70380360.430000007</v>
      </c>
      <c r="N203" s="124">
        <v>24075261.57</v>
      </c>
      <c r="P203" s="563"/>
      <c r="Q203" s="124">
        <v>0</v>
      </c>
      <c r="U203" s="122">
        <v>28175</v>
      </c>
      <c r="V203" s="121">
        <v>2420985.1800000002</v>
      </c>
      <c r="X203" s="121">
        <v>1600899.3099999998</v>
      </c>
      <c r="Z203" s="122"/>
      <c r="AA203" s="121">
        <v>0</v>
      </c>
    </row>
    <row r="204" spans="1:27" x14ac:dyDescent="0.3">
      <c r="A204" s="125">
        <v>27402</v>
      </c>
      <c r="B204" s="19" t="s">
        <v>29</v>
      </c>
      <c r="C204" t="s">
        <v>814</v>
      </c>
      <c r="D204" s="563">
        <v>60015.72</v>
      </c>
      <c r="E204" s="124">
        <v>24871308.18</v>
      </c>
      <c r="F204" s="563">
        <v>132497.72</v>
      </c>
      <c r="G204" s="124">
        <v>62345811.969999999</v>
      </c>
      <c r="H204" s="124">
        <v>87409633.590000004</v>
      </c>
      <c r="I204" s="124">
        <v>0</v>
      </c>
      <c r="J204" s="372"/>
      <c r="K204" s="563">
        <v>132497.72</v>
      </c>
      <c r="L204" s="124">
        <v>62345811.969999999</v>
      </c>
      <c r="N204" s="124">
        <v>24871308.18</v>
      </c>
      <c r="P204" s="563">
        <v>60015.72</v>
      </c>
      <c r="Q204" s="124">
        <v>0</v>
      </c>
      <c r="U204" s="122">
        <v>12456.92</v>
      </c>
      <c r="V204" s="121">
        <v>1383536.0899999999</v>
      </c>
      <c r="X204" s="121">
        <v>1090914.22</v>
      </c>
      <c r="Z204" s="122">
        <v>0</v>
      </c>
      <c r="AA204" s="121">
        <v>0</v>
      </c>
    </row>
    <row r="205" spans="1:27" x14ac:dyDescent="0.3">
      <c r="A205" s="125">
        <v>27403</v>
      </c>
      <c r="B205" s="19" t="s">
        <v>29</v>
      </c>
      <c r="C205" t="s">
        <v>743</v>
      </c>
      <c r="D205" s="563"/>
      <c r="E205" s="124">
        <v>57601450.409999996</v>
      </c>
      <c r="F205" s="563">
        <v>0</v>
      </c>
      <c r="G205" s="124">
        <v>152656168.78999999</v>
      </c>
      <c r="H205" s="124">
        <v>210257619.19999999</v>
      </c>
      <c r="I205" s="124">
        <v>0</v>
      </c>
      <c r="J205" s="372"/>
      <c r="K205" s="563">
        <v>0</v>
      </c>
      <c r="L205" s="124">
        <v>152656168.78999999</v>
      </c>
      <c r="N205" s="124">
        <v>57601450.409999996</v>
      </c>
      <c r="P205" s="563"/>
      <c r="Q205" s="124">
        <v>0</v>
      </c>
      <c r="U205" s="122">
        <v>271909.77</v>
      </c>
      <c r="V205" s="121">
        <v>2922305.59</v>
      </c>
      <c r="X205" s="121">
        <v>4340530.93</v>
      </c>
      <c r="Z205" s="122"/>
      <c r="AA205" s="121">
        <v>0</v>
      </c>
    </row>
    <row r="206" spans="1:27" x14ac:dyDescent="0.3">
      <c r="A206" s="125">
        <v>27404</v>
      </c>
      <c r="B206" s="19" t="s">
        <v>29</v>
      </c>
      <c r="C206" t="s">
        <v>794</v>
      </c>
      <c r="D206" s="563"/>
      <c r="E206" s="124">
        <v>6272592.3500000006</v>
      </c>
      <c r="F206" s="563">
        <v>0</v>
      </c>
      <c r="G206" s="124">
        <v>15504448.289999999</v>
      </c>
      <c r="H206" s="124">
        <v>21777040.640000001</v>
      </c>
      <c r="I206" s="124">
        <v>0</v>
      </c>
      <c r="J206" s="372"/>
      <c r="K206" s="563">
        <v>0</v>
      </c>
      <c r="L206" s="124">
        <v>15504448.289999999</v>
      </c>
      <c r="N206" s="124">
        <v>6272592.3500000006</v>
      </c>
      <c r="P206" s="563"/>
      <c r="Q206" s="124">
        <v>0</v>
      </c>
      <c r="U206" s="122">
        <v>220</v>
      </c>
      <c r="V206" s="121">
        <v>456101.11</v>
      </c>
      <c r="X206" s="121">
        <v>576779.91999999993</v>
      </c>
      <c r="Z206" s="122"/>
      <c r="AA206" s="121">
        <v>0</v>
      </c>
    </row>
    <row r="207" spans="1:27" x14ac:dyDescent="0.3">
      <c r="A207" s="125">
        <v>27416</v>
      </c>
      <c r="B207" s="19" t="s">
        <v>29</v>
      </c>
      <c r="C207" t="s">
        <v>1011</v>
      </c>
      <c r="D207" s="563"/>
      <c r="E207" s="124">
        <v>12705476.289999999</v>
      </c>
      <c r="F207" s="563">
        <v>0</v>
      </c>
      <c r="G207" s="124">
        <v>31111717.550000001</v>
      </c>
      <c r="H207" s="124">
        <v>43817193.840000004</v>
      </c>
      <c r="I207" s="124">
        <v>0</v>
      </c>
      <c r="J207" s="372"/>
      <c r="K207" s="563">
        <v>0</v>
      </c>
      <c r="L207" s="124">
        <v>31111717.550000001</v>
      </c>
      <c r="N207" s="124">
        <v>12705476.289999999</v>
      </c>
      <c r="P207" s="563"/>
      <c r="Q207" s="124">
        <v>0</v>
      </c>
      <c r="U207" s="122">
        <v>19143.580000000002</v>
      </c>
      <c r="V207" s="121">
        <v>1087159.1099999999</v>
      </c>
      <c r="X207" s="121">
        <v>969228.64</v>
      </c>
      <c r="Z207" s="122"/>
      <c r="AA207" s="121">
        <v>0</v>
      </c>
    </row>
    <row r="208" spans="1:27" x14ac:dyDescent="0.3">
      <c r="A208" s="125">
        <v>27417</v>
      </c>
      <c r="B208" s="19" t="s">
        <v>29</v>
      </c>
      <c r="C208" t="s">
        <v>812</v>
      </c>
      <c r="D208" s="563">
        <v>127298</v>
      </c>
      <c r="E208" s="124">
        <v>10627930.439999999</v>
      </c>
      <c r="F208" s="563">
        <v>0</v>
      </c>
      <c r="G208" s="124">
        <v>32858185.460000001</v>
      </c>
      <c r="H208" s="124">
        <v>43613413.900000006</v>
      </c>
      <c r="I208" s="124">
        <v>0</v>
      </c>
      <c r="J208" s="372"/>
      <c r="K208" s="563">
        <v>0</v>
      </c>
      <c r="L208" s="124">
        <v>32858185.460000001</v>
      </c>
      <c r="N208" s="124">
        <v>10627930.439999999</v>
      </c>
      <c r="P208" s="563">
        <v>127298</v>
      </c>
      <c r="Q208" s="124">
        <v>0</v>
      </c>
      <c r="U208" s="122">
        <v>10726.71</v>
      </c>
      <c r="V208" s="121">
        <v>788726.63</v>
      </c>
      <c r="X208" s="121">
        <v>844988.99</v>
      </c>
      <c r="Z208" s="122">
        <v>0</v>
      </c>
      <c r="AA208" s="121">
        <v>0</v>
      </c>
    </row>
    <row r="209" spans="1:27" x14ac:dyDescent="0.3">
      <c r="A209" s="125">
        <v>27901</v>
      </c>
      <c r="B209" s="19" t="s">
        <v>1039</v>
      </c>
      <c r="C209" t="s">
        <v>1218</v>
      </c>
      <c r="D209" s="563">
        <v>64228.75</v>
      </c>
      <c r="E209" s="124">
        <v>8171874.0600000005</v>
      </c>
      <c r="F209" s="563"/>
      <c r="G209" s="124">
        <v>9364764.2599999998</v>
      </c>
      <c r="H209" s="124">
        <v>17600867.07</v>
      </c>
      <c r="I209" s="124">
        <v>0</v>
      </c>
      <c r="J209" s="372"/>
      <c r="K209" s="563"/>
      <c r="L209" s="124">
        <v>9364764.2599999998</v>
      </c>
      <c r="N209" s="124">
        <v>8171874.0600000005</v>
      </c>
      <c r="P209" s="563">
        <v>64228.75</v>
      </c>
      <c r="Q209" s="124">
        <v>0</v>
      </c>
      <c r="U209" s="122"/>
      <c r="V209" s="121">
        <v>81280.84</v>
      </c>
      <c r="X209" s="121">
        <v>145189.32999999999</v>
      </c>
      <c r="Z209" s="122">
        <v>0</v>
      </c>
      <c r="AA209" s="121">
        <v>0</v>
      </c>
    </row>
    <row r="210" spans="1:27" x14ac:dyDescent="0.3">
      <c r="A210" s="125">
        <v>27904</v>
      </c>
      <c r="B210" s="19" t="s">
        <v>1039</v>
      </c>
      <c r="C210" t="s">
        <v>1219</v>
      </c>
      <c r="D210" s="563"/>
      <c r="E210" s="124">
        <v>922212.27</v>
      </c>
      <c r="F210" s="563"/>
      <c r="G210" s="124">
        <v>1693285.31</v>
      </c>
      <c r="H210" s="124">
        <v>2615497.58</v>
      </c>
      <c r="I210" s="124">
        <v>0</v>
      </c>
      <c r="J210" s="372"/>
      <c r="K210" s="563"/>
      <c r="L210" s="124">
        <v>1693285.31</v>
      </c>
      <c r="N210" s="124">
        <v>922212.27</v>
      </c>
      <c r="P210" s="563"/>
      <c r="Q210" s="124">
        <v>0</v>
      </c>
      <c r="U210" s="122"/>
      <c r="V210" s="121">
        <v>44514</v>
      </c>
      <c r="X210" s="121">
        <v>0</v>
      </c>
      <c r="Z210" s="122"/>
      <c r="AA210" s="121">
        <v>0</v>
      </c>
    </row>
    <row r="211" spans="1:27" x14ac:dyDescent="0.3">
      <c r="A211" s="125">
        <v>28010</v>
      </c>
      <c r="B211" s="19" t="s">
        <v>21</v>
      </c>
      <c r="C211" t="s">
        <v>956</v>
      </c>
      <c r="D211" s="563"/>
      <c r="E211" s="124">
        <v>87937.48</v>
      </c>
      <c r="F211" s="563">
        <v>0</v>
      </c>
      <c r="G211" s="124">
        <v>133832.79999999999</v>
      </c>
      <c r="H211" s="124">
        <v>221770.28</v>
      </c>
      <c r="I211" s="124">
        <v>0</v>
      </c>
      <c r="J211" s="372"/>
      <c r="K211" s="563">
        <v>0</v>
      </c>
      <c r="L211" s="124">
        <v>133832.79999999999</v>
      </c>
      <c r="N211" s="124">
        <v>87937.48</v>
      </c>
      <c r="P211" s="563"/>
      <c r="Q211" s="124">
        <v>0</v>
      </c>
      <c r="U211" s="122">
        <v>400</v>
      </c>
      <c r="V211" s="121">
        <v>0</v>
      </c>
      <c r="X211" s="121">
        <v>3966.06</v>
      </c>
      <c r="Z211" s="122"/>
      <c r="AA211" s="121">
        <v>0</v>
      </c>
    </row>
    <row r="212" spans="1:27" x14ac:dyDescent="0.3">
      <c r="A212" s="125">
        <v>28137</v>
      </c>
      <c r="B212" s="19" t="s">
        <v>21</v>
      </c>
      <c r="C212" t="s">
        <v>908</v>
      </c>
      <c r="D212" s="563"/>
      <c r="E212" s="124">
        <v>2454716.0499999998</v>
      </c>
      <c r="F212" s="563"/>
      <c r="G212" s="124">
        <v>5701387.1400000006</v>
      </c>
      <c r="H212" s="124">
        <v>8156103.1899999995</v>
      </c>
      <c r="I212" s="124">
        <v>0</v>
      </c>
      <c r="J212" s="372"/>
      <c r="K212" s="563"/>
      <c r="L212" s="124">
        <v>5701387.1400000006</v>
      </c>
      <c r="N212" s="124">
        <v>2454716.0499999998</v>
      </c>
      <c r="P212" s="563"/>
      <c r="Q212" s="124">
        <v>0</v>
      </c>
      <c r="U212" s="122"/>
      <c r="V212" s="121">
        <v>155608.33000000002</v>
      </c>
      <c r="X212" s="121">
        <v>288226.05</v>
      </c>
      <c r="Z212" s="122"/>
      <c r="AA212" s="121">
        <v>0</v>
      </c>
    </row>
    <row r="213" spans="1:27" x14ac:dyDescent="0.3">
      <c r="A213" s="125">
        <v>28144</v>
      </c>
      <c r="B213" s="19" t="s">
        <v>21</v>
      </c>
      <c r="C213" t="s">
        <v>857</v>
      </c>
      <c r="D213" s="563"/>
      <c r="E213" s="124">
        <v>912072.48</v>
      </c>
      <c r="F213" s="563"/>
      <c r="G213" s="124">
        <v>2002404.8599999999</v>
      </c>
      <c r="H213" s="124">
        <v>2914477.34</v>
      </c>
      <c r="I213" s="124">
        <v>0</v>
      </c>
      <c r="J213" s="372"/>
      <c r="K213" s="563"/>
      <c r="L213" s="124">
        <v>2002404.8599999999</v>
      </c>
      <c r="N213" s="124">
        <v>912072.48</v>
      </c>
      <c r="P213" s="563"/>
      <c r="Q213" s="124">
        <v>0</v>
      </c>
      <c r="U213" s="122"/>
      <c r="V213" s="121">
        <v>34575.03</v>
      </c>
      <c r="X213" s="121">
        <v>77846.55</v>
      </c>
      <c r="Z213" s="122"/>
      <c r="AA213" s="121">
        <v>0</v>
      </c>
    </row>
    <row r="214" spans="1:27" x14ac:dyDescent="0.3">
      <c r="A214" s="125">
        <v>28149</v>
      </c>
      <c r="B214" s="19" t="s">
        <v>21</v>
      </c>
      <c r="C214" t="s">
        <v>949</v>
      </c>
      <c r="D214" s="563"/>
      <c r="E214" s="124">
        <v>2702008.36</v>
      </c>
      <c r="F214" s="563">
        <v>0</v>
      </c>
      <c r="G214" s="124">
        <v>6911014.96</v>
      </c>
      <c r="H214" s="124">
        <v>9613023.3200000003</v>
      </c>
      <c r="I214" s="124">
        <v>0</v>
      </c>
      <c r="J214" s="372"/>
      <c r="K214" s="563">
        <v>0</v>
      </c>
      <c r="L214" s="124">
        <v>6911014.96</v>
      </c>
      <c r="N214" s="124">
        <v>2702008.36</v>
      </c>
      <c r="P214" s="563"/>
      <c r="Q214" s="124">
        <v>0</v>
      </c>
      <c r="U214" s="122">
        <v>26390.53</v>
      </c>
      <c r="V214" s="121">
        <v>165353.19999999998</v>
      </c>
      <c r="X214" s="121">
        <v>294231.76</v>
      </c>
      <c r="Z214" s="122"/>
      <c r="AA214" s="121">
        <v>0</v>
      </c>
    </row>
    <row r="215" spans="1:27" x14ac:dyDescent="0.3">
      <c r="A215" s="125">
        <v>29011</v>
      </c>
      <c r="B215" s="19" t="s">
        <v>21</v>
      </c>
      <c r="C215" t="s">
        <v>775</v>
      </c>
      <c r="D215" s="563"/>
      <c r="E215" s="124">
        <v>2620516.1</v>
      </c>
      <c r="F215" s="563"/>
      <c r="G215" s="124">
        <v>4134626.46</v>
      </c>
      <c r="H215" s="124">
        <v>6755142.5599999996</v>
      </c>
      <c r="I215" s="124">
        <v>0</v>
      </c>
      <c r="J215" s="372"/>
      <c r="K215" s="563"/>
      <c r="L215" s="124">
        <v>4134626.46</v>
      </c>
      <c r="N215" s="124">
        <v>2620516.1</v>
      </c>
      <c r="P215" s="563"/>
      <c r="Q215" s="124">
        <v>0</v>
      </c>
      <c r="U215" s="122"/>
      <c r="V215" s="121">
        <v>49547.94</v>
      </c>
      <c r="X215" s="121">
        <v>81047.26999999999</v>
      </c>
      <c r="Z215" s="122"/>
      <c r="AA215" s="121">
        <v>0</v>
      </c>
    </row>
    <row r="216" spans="1:27" x14ac:dyDescent="0.3">
      <c r="A216" s="125">
        <v>29100</v>
      </c>
      <c r="B216" s="19" t="s">
        <v>21</v>
      </c>
      <c r="C216" t="s">
        <v>751</v>
      </c>
      <c r="D216" s="563"/>
      <c r="E216" s="124">
        <v>12045786.079999998</v>
      </c>
      <c r="F216" s="563">
        <v>0</v>
      </c>
      <c r="G216" s="124">
        <v>32562237.109999999</v>
      </c>
      <c r="H216" s="124">
        <v>44608023.189999998</v>
      </c>
      <c r="I216" s="124">
        <v>0</v>
      </c>
      <c r="J216" s="372"/>
      <c r="K216" s="563">
        <v>0</v>
      </c>
      <c r="L216" s="124">
        <v>32562237.109999999</v>
      </c>
      <c r="N216" s="124">
        <v>12045786.079999998</v>
      </c>
      <c r="P216" s="563"/>
      <c r="Q216" s="124">
        <v>0</v>
      </c>
      <c r="U216" s="122">
        <v>46882.22</v>
      </c>
      <c r="V216" s="121">
        <v>570797.86</v>
      </c>
      <c r="X216" s="121">
        <v>717369.59000000008</v>
      </c>
      <c r="Z216" s="122"/>
      <c r="AA216" s="121">
        <v>0</v>
      </c>
    </row>
    <row r="217" spans="1:27" x14ac:dyDescent="0.3">
      <c r="A217" s="125">
        <v>29101</v>
      </c>
      <c r="B217" s="19" t="s">
        <v>21</v>
      </c>
      <c r="C217" t="s">
        <v>952</v>
      </c>
      <c r="D217" s="563">
        <v>6940.16</v>
      </c>
      <c r="E217" s="124">
        <v>17674575.039999999</v>
      </c>
      <c r="F217" s="563">
        <v>0</v>
      </c>
      <c r="G217" s="124">
        <v>37935851.839999996</v>
      </c>
      <c r="H217" s="124">
        <v>55617367.039999992</v>
      </c>
      <c r="I217" s="124">
        <v>0</v>
      </c>
      <c r="J217" s="372"/>
      <c r="K217" s="563">
        <v>0</v>
      </c>
      <c r="L217" s="124">
        <v>37935851.839999996</v>
      </c>
      <c r="N217" s="124">
        <v>17674575.039999999</v>
      </c>
      <c r="P217" s="563">
        <v>6940.16</v>
      </c>
      <c r="Q217" s="124">
        <v>0</v>
      </c>
      <c r="U217" s="122">
        <v>19682.580000000002</v>
      </c>
      <c r="V217" s="121">
        <v>834717.93</v>
      </c>
      <c r="X217" s="121">
        <v>1185096.7000000002</v>
      </c>
      <c r="Z217" s="122">
        <v>0</v>
      </c>
      <c r="AA217" s="121">
        <v>0</v>
      </c>
    </row>
    <row r="218" spans="1:27" x14ac:dyDescent="0.3">
      <c r="A218" s="125">
        <v>29103</v>
      </c>
      <c r="B218" s="19" t="s">
        <v>21</v>
      </c>
      <c r="C218" t="s">
        <v>734</v>
      </c>
      <c r="D218" s="563"/>
      <c r="E218" s="124">
        <v>8085834.7299999995</v>
      </c>
      <c r="F218" s="563">
        <v>0</v>
      </c>
      <c r="G218" s="124">
        <v>22272368.82</v>
      </c>
      <c r="H218" s="124">
        <v>30358203.550000001</v>
      </c>
      <c r="I218" s="124">
        <v>0</v>
      </c>
      <c r="J218" s="372"/>
      <c r="K218" s="563">
        <v>0</v>
      </c>
      <c r="L218" s="124">
        <v>22272368.82</v>
      </c>
      <c r="N218" s="124">
        <v>8085834.7299999995</v>
      </c>
      <c r="P218" s="563"/>
      <c r="Q218" s="124">
        <v>0</v>
      </c>
      <c r="U218" s="122">
        <v>10162.44</v>
      </c>
      <c r="V218" s="121">
        <v>501127.4</v>
      </c>
      <c r="X218" s="121">
        <v>746142.46000000008</v>
      </c>
      <c r="Z218" s="122"/>
      <c r="AA218" s="121">
        <v>0</v>
      </c>
    </row>
    <row r="219" spans="1:27" x14ac:dyDescent="0.3">
      <c r="A219" s="125">
        <v>29311</v>
      </c>
      <c r="B219" s="19" t="s">
        <v>21</v>
      </c>
      <c r="C219" t="s">
        <v>847</v>
      </c>
      <c r="D219" s="563"/>
      <c r="E219" s="124">
        <v>2283236.9500000002</v>
      </c>
      <c r="F219" s="563"/>
      <c r="G219" s="124">
        <v>5326718.1500000004</v>
      </c>
      <c r="H219" s="124">
        <v>7609955.0999999996</v>
      </c>
      <c r="I219" s="124">
        <v>0</v>
      </c>
      <c r="J219" s="372"/>
      <c r="K219" s="563"/>
      <c r="L219" s="124">
        <v>5326718.1500000004</v>
      </c>
      <c r="N219" s="124">
        <v>2283236.9500000002</v>
      </c>
      <c r="P219" s="563"/>
      <c r="Q219" s="124">
        <v>0</v>
      </c>
      <c r="U219" s="122"/>
      <c r="V219" s="121">
        <v>128371.23000000001</v>
      </c>
      <c r="X219" s="121">
        <v>249536.44</v>
      </c>
      <c r="Z219" s="122"/>
      <c r="AA219" s="121">
        <v>0</v>
      </c>
    </row>
    <row r="220" spans="1:27" x14ac:dyDescent="0.3">
      <c r="A220" s="125">
        <v>29317</v>
      </c>
      <c r="B220" s="19" t="s">
        <v>21</v>
      </c>
      <c r="C220" t="s">
        <v>776</v>
      </c>
      <c r="D220" s="563"/>
      <c r="E220" s="124">
        <v>1018149.47</v>
      </c>
      <c r="F220" s="563">
        <v>0</v>
      </c>
      <c r="G220" s="124">
        <v>3561744.52</v>
      </c>
      <c r="H220" s="124">
        <v>4579893.99</v>
      </c>
      <c r="I220" s="124">
        <v>0</v>
      </c>
      <c r="J220" s="372"/>
      <c r="K220" s="563">
        <v>0</v>
      </c>
      <c r="L220" s="124">
        <v>3561744.52</v>
      </c>
      <c r="N220" s="124">
        <v>1018149.47</v>
      </c>
      <c r="P220" s="563"/>
      <c r="Q220" s="124">
        <v>0</v>
      </c>
      <c r="U220" s="122">
        <v>2475</v>
      </c>
      <c r="V220" s="121">
        <v>85088.48</v>
      </c>
      <c r="X220" s="121">
        <v>43384.19</v>
      </c>
      <c r="Z220" s="122"/>
      <c r="AA220" s="121">
        <v>0</v>
      </c>
    </row>
    <row r="221" spans="1:27" x14ac:dyDescent="0.3">
      <c r="A221" s="125">
        <v>29320</v>
      </c>
      <c r="B221" s="19" t="s">
        <v>21</v>
      </c>
      <c r="C221" t="s">
        <v>881</v>
      </c>
      <c r="D221" s="563">
        <v>193228.47</v>
      </c>
      <c r="E221" s="124">
        <v>23376065.390000001</v>
      </c>
      <c r="F221" s="563">
        <v>0</v>
      </c>
      <c r="G221" s="124">
        <v>60290238.75</v>
      </c>
      <c r="H221" s="124">
        <v>83859532.609999999</v>
      </c>
      <c r="I221" s="124">
        <v>0</v>
      </c>
      <c r="J221" s="372"/>
      <c r="K221" s="563">
        <v>0</v>
      </c>
      <c r="L221" s="124">
        <v>60290238.75</v>
      </c>
      <c r="N221" s="124">
        <v>23376065.390000001</v>
      </c>
      <c r="P221" s="563">
        <v>193228.47</v>
      </c>
      <c r="Q221" s="124">
        <v>0</v>
      </c>
      <c r="U221" s="122">
        <v>30328.59</v>
      </c>
      <c r="V221" s="121">
        <v>1159191.3999999999</v>
      </c>
      <c r="X221" s="121">
        <v>1376661.26</v>
      </c>
      <c r="Z221" s="122">
        <v>0</v>
      </c>
      <c r="AA221" s="121">
        <v>0</v>
      </c>
    </row>
    <row r="222" spans="1:27" x14ac:dyDescent="0.3">
      <c r="A222" s="125">
        <v>29801</v>
      </c>
      <c r="B222" s="19" t="s">
        <v>21</v>
      </c>
      <c r="C222" t="s">
        <v>1124</v>
      </c>
      <c r="D222" s="563"/>
      <c r="E222" s="124">
        <v>18930661.02</v>
      </c>
      <c r="F222" s="563"/>
      <c r="G222" s="124">
        <v>4079223.68</v>
      </c>
      <c r="H222" s="124">
        <v>23009884.700000003</v>
      </c>
      <c r="I222" s="124">
        <v>0</v>
      </c>
      <c r="J222" s="372"/>
      <c r="K222" s="563"/>
      <c r="L222" s="124">
        <v>4079223.68</v>
      </c>
      <c r="N222" s="124">
        <v>18930661.02</v>
      </c>
      <c r="P222" s="563"/>
      <c r="Q222" s="124">
        <v>0</v>
      </c>
      <c r="U222" s="122"/>
      <c r="V222" s="121">
        <v>148782.37000000002</v>
      </c>
      <c r="X222" s="121">
        <v>221552.98</v>
      </c>
      <c r="Z222" s="122"/>
      <c r="AA222" s="121">
        <v>0</v>
      </c>
    </row>
    <row r="223" spans="1:27" x14ac:dyDescent="0.3">
      <c r="A223" s="125">
        <v>30002</v>
      </c>
      <c r="B223" s="19" t="s">
        <v>34</v>
      </c>
      <c r="C223" t="s">
        <v>959</v>
      </c>
      <c r="D223" s="563"/>
      <c r="E223" s="124">
        <v>272359.54000000004</v>
      </c>
      <c r="F223" s="563"/>
      <c r="G223" s="124">
        <v>651762.97</v>
      </c>
      <c r="H223" s="124">
        <v>924122.51000000013</v>
      </c>
      <c r="I223" s="124">
        <v>0</v>
      </c>
      <c r="J223" s="372"/>
      <c r="K223" s="563"/>
      <c r="L223" s="124">
        <v>651762.97</v>
      </c>
      <c r="N223" s="124">
        <v>272359.54000000004</v>
      </c>
      <c r="P223" s="563"/>
      <c r="Q223" s="124">
        <v>0</v>
      </c>
      <c r="U223" s="122"/>
      <c r="V223" s="121">
        <v>87481.76999999999</v>
      </c>
      <c r="X223" s="121">
        <v>29120.170000000002</v>
      </c>
      <c r="Z223" s="122"/>
      <c r="AA223" s="121">
        <v>0</v>
      </c>
    </row>
    <row r="224" spans="1:27" x14ac:dyDescent="0.3">
      <c r="A224" s="125">
        <v>30029</v>
      </c>
      <c r="B224" s="19" t="s">
        <v>34</v>
      </c>
      <c r="C224" t="s">
        <v>880</v>
      </c>
      <c r="D224" s="563"/>
      <c r="E224" s="124">
        <v>126120.04000000001</v>
      </c>
      <c r="F224" s="563"/>
      <c r="G224" s="124">
        <v>522917.33999999997</v>
      </c>
      <c r="H224" s="124">
        <v>649037.38</v>
      </c>
      <c r="I224" s="124">
        <v>0</v>
      </c>
      <c r="J224" s="372"/>
      <c r="K224" s="563"/>
      <c r="L224" s="124">
        <v>522917.33999999997</v>
      </c>
      <c r="N224" s="124">
        <v>126120.04000000001</v>
      </c>
      <c r="P224" s="563"/>
      <c r="Q224" s="124">
        <v>0</v>
      </c>
      <c r="U224" s="122"/>
      <c r="V224" s="121">
        <v>4316.12</v>
      </c>
      <c r="X224" s="121">
        <v>35757.81</v>
      </c>
      <c r="Z224" s="122"/>
      <c r="AA224" s="121">
        <v>0</v>
      </c>
    </row>
    <row r="225" spans="1:27" x14ac:dyDescent="0.3">
      <c r="A225" s="125">
        <v>30031</v>
      </c>
      <c r="B225" s="19" t="s">
        <v>34</v>
      </c>
      <c r="C225" t="s">
        <v>872</v>
      </c>
      <c r="D225" s="563"/>
      <c r="E225" s="124">
        <v>411448.38</v>
      </c>
      <c r="F225" s="563"/>
      <c r="G225" s="124">
        <v>964222.34000000008</v>
      </c>
      <c r="H225" s="124">
        <v>1375670.7200000002</v>
      </c>
      <c r="I225" s="124">
        <v>0</v>
      </c>
      <c r="J225" s="372"/>
      <c r="K225" s="563"/>
      <c r="L225" s="124">
        <v>964222.34000000008</v>
      </c>
      <c r="N225" s="124">
        <v>411448.38</v>
      </c>
      <c r="P225" s="563"/>
      <c r="Q225" s="124">
        <v>0</v>
      </c>
      <c r="U225" s="122"/>
      <c r="V225" s="121">
        <v>8237.9</v>
      </c>
      <c r="X225" s="121">
        <v>10022</v>
      </c>
      <c r="Z225" s="122"/>
      <c r="AA225" s="121">
        <v>0</v>
      </c>
    </row>
    <row r="226" spans="1:27" x14ac:dyDescent="0.3">
      <c r="A226" s="125">
        <v>30303</v>
      </c>
      <c r="B226" s="19" t="s">
        <v>34</v>
      </c>
      <c r="C226" t="s">
        <v>975</v>
      </c>
      <c r="D226" s="563"/>
      <c r="E226" s="124">
        <v>2244432.96</v>
      </c>
      <c r="F226" s="563"/>
      <c r="G226" s="124">
        <v>5268181.16</v>
      </c>
      <c r="H226" s="124">
        <v>7512614.120000001</v>
      </c>
      <c r="I226" s="124">
        <v>0</v>
      </c>
      <c r="J226" s="372"/>
      <c r="K226" s="563"/>
      <c r="L226" s="124">
        <v>5268181.16</v>
      </c>
      <c r="N226" s="124">
        <v>2244432.96</v>
      </c>
      <c r="P226" s="563"/>
      <c r="Q226" s="124">
        <v>0</v>
      </c>
      <c r="U226" s="122"/>
      <c r="V226" s="121">
        <v>115993.06</v>
      </c>
      <c r="X226" s="121">
        <v>290330.46999999997</v>
      </c>
      <c r="Z226" s="122"/>
      <c r="AA226" s="121">
        <v>0</v>
      </c>
    </row>
    <row r="227" spans="1:27" x14ac:dyDescent="0.3">
      <c r="A227" s="125">
        <v>31002</v>
      </c>
      <c r="B227" s="19" t="s">
        <v>21</v>
      </c>
      <c r="C227" t="s">
        <v>808</v>
      </c>
      <c r="D227" s="563">
        <v>77208.73</v>
      </c>
      <c r="E227" s="124">
        <v>60450582.289999999</v>
      </c>
      <c r="F227" s="563">
        <v>0</v>
      </c>
      <c r="G227" s="124">
        <v>189487795.84999999</v>
      </c>
      <c r="H227" s="124">
        <v>250015586.87</v>
      </c>
      <c r="I227" s="124">
        <v>0</v>
      </c>
      <c r="J227" s="372"/>
      <c r="K227" s="563">
        <v>0</v>
      </c>
      <c r="L227" s="124">
        <v>189487795.84999999</v>
      </c>
      <c r="N227" s="124">
        <v>60450582.289999999</v>
      </c>
      <c r="P227" s="563">
        <v>77208.73</v>
      </c>
      <c r="Q227" s="124">
        <v>0</v>
      </c>
      <c r="U227" s="122">
        <v>76564.72</v>
      </c>
      <c r="V227" s="121">
        <v>4391508.6400000006</v>
      </c>
      <c r="X227" s="121">
        <v>3483166.39</v>
      </c>
      <c r="Z227" s="122">
        <v>0</v>
      </c>
      <c r="AA227" s="121">
        <v>0</v>
      </c>
    </row>
    <row r="228" spans="1:27" x14ac:dyDescent="0.3">
      <c r="A228" s="125">
        <v>31004</v>
      </c>
      <c r="B228" s="19" t="s">
        <v>21</v>
      </c>
      <c r="C228" t="s">
        <v>849</v>
      </c>
      <c r="D228" s="563">
        <v>72572.990000000005</v>
      </c>
      <c r="E228" s="124">
        <v>30211729.030000001</v>
      </c>
      <c r="F228" s="563">
        <v>150897.84</v>
      </c>
      <c r="G228" s="124">
        <v>79950297.120000005</v>
      </c>
      <c r="H228" s="124">
        <v>110385496.98</v>
      </c>
      <c r="I228" s="124">
        <v>0</v>
      </c>
      <c r="J228" s="372"/>
      <c r="K228" s="563">
        <v>150897.84</v>
      </c>
      <c r="L228" s="124">
        <v>79950297.120000005</v>
      </c>
      <c r="N228" s="124">
        <v>30211729.030000001</v>
      </c>
      <c r="P228" s="563">
        <v>72572.990000000005</v>
      </c>
      <c r="Q228" s="124">
        <v>0</v>
      </c>
      <c r="U228" s="122">
        <v>154249.91</v>
      </c>
      <c r="V228" s="121">
        <v>2146945.62</v>
      </c>
      <c r="X228" s="121">
        <v>2146130.75</v>
      </c>
      <c r="Z228" s="122">
        <v>0</v>
      </c>
      <c r="AA228" s="121">
        <v>0</v>
      </c>
    </row>
    <row r="229" spans="1:27" x14ac:dyDescent="0.3">
      <c r="A229" s="125">
        <v>31006</v>
      </c>
      <c r="B229" s="19" t="s">
        <v>21</v>
      </c>
      <c r="C229" t="s">
        <v>883</v>
      </c>
      <c r="D229" s="563">
        <v>100406.34</v>
      </c>
      <c r="E229" s="124">
        <v>47389105.990000002</v>
      </c>
      <c r="F229" s="563">
        <v>152786.19</v>
      </c>
      <c r="G229" s="124">
        <v>154428819.48000002</v>
      </c>
      <c r="H229" s="124">
        <v>202071118</v>
      </c>
      <c r="I229" s="124">
        <v>0</v>
      </c>
      <c r="J229" s="372"/>
      <c r="K229" s="563">
        <v>152786.19</v>
      </c>
      <c r="L229" s="124">
        <v>154428819.48000002</v>
      </c>
      <c r="N229" s="124">
        <v>47389105.990000002</v>
      </c>
      <c r="P229" s="563">
        <v>100406.34</v>
      </c>
      <c r="Q229" s="124">
        <v>0</v>
      </c>
      <c r="U229" s="122">
        <v>38996.78</v>
      </c>
      <c r="V229" s="121">
        <v>3429083.26</v>
      </c>
      <c r="X229" s="121">
        <v>4059700.0100000002</v>
      </c>
      <c r="Z229" s="122">
        <v>0</v>
      </c>
      <c r="AA229" s="121">
        <v>0</v>
      </c>
    </row>
    <row r="230" spans="1:27" x14ac:dyDescent="0.3">
      <c r="A230" s="125">
        <v>31015</v>
      </c>
      <c r="B230" s="19" t="s">
        <v>21</v>
      </c>
      <c r="C230" t="s">
        <v>795</v>
      </c>
      <c r="D230" s="563"/>
      <c r="E230" s="124">
        <v>62460653.890000001</v>
      </c>
      <c r="F230" s="563">
        <v>25582.240000000002</v>
      </c>
      <c r="G230" s="124">
        <v>189268221.72</v>
      </c>
      <c r="H230" s="124">
        <v>251754457.84999999</v>
      </c>
      <c r="I230" s="124">
        <v>0</v>
      </c>
      <c r="J230" s="372"/>
      <c r="K230" s="563">
        <v>25582.240000000002</v>
      </c>
      <c r="L230" s="124">
        <v>189268221.72</v>
      </c>
      <c r="N230" s="124">
        <v>62460653.890000001</v>
      </c>
      <c r="P230" s="563"/>
      <c r="Q230" s="124">
        <v>0</v>
      </c>
      <c r="U230" s="122">
        <v>116525.52</v>
      </c>
      <c r="V230" s="121">
        <v>6787978.4399999995</v>
      </c>
      <c r="X230" s="121">
        <v>9887410.9500000011</v>
      </c>
      <c r="Z230" s="122"/>
      <c r="AA230" s="121">
        <v>0</v>
      </c>
    </row>
    <row r="231" spans="1:27" x14ac:dyDescent="0.3">
      <c r="A231" s="125">
        <v>31016</v>
      </c>
      <c r="B231" s="19" t="s">
        <v>21</v>
      </c>
      <c r="C231" t="s">
        <v>735</v>
      </c>
      <c r="D231" s="563">
        <v>7920.42</v>
      </c>
      <c r="E231" s="124">
        <v>16948550.940000001</v>
      </c>
      <c r="F231" s="563">
        <v>0</v>
      </c>
      <c r="G231" s="124">
        <v>47799858.350000001</v>
      </c>
      <c r="H231" s="124">
        <v>64756329.710000001</v>
      </c>
      <c r="I231" s="124">
        <v>0</v>
      </c>
      <c r="J231" s="372"/>
      <c r="K231" s="563">
        <v>0</v>
      </c>
      <c r="L231" s="124">
        <v>47799858.350000001</v>
      </c>
      <c r="N231" s="124">
        <v>16948550.940000001</v>
      </c>
      <c r="P231" s="563">
        <v>7920.42</v>
      </c>
      <c r="Q231" s="124">
        <v>0</v>
      </c>
      <c r="U231" s="122">
        <v>161454.85999999999</v>
      </c>
      <c r="V231" s="121">
        <v>880958.19</v>
      </c>
      <c r="X231" s="121">
        <v>1587335.66</v>
      </c>
      <c r="Z231" s="122">
        <v>0</v>
      </c>
      <c r="AA231" s="121">
        <v>0</v>
      </c>
    </row>
    <row r="232" spans="1:27" x14ac:dyDescent="0.3">
      <c r="A232" s="125">
        <v>31025</v>
      </c>
      <c r="B232" s="19" t="s">
        <v>21</v>
      </c>
      <c r="C232" t="s">
        <v>865</v>
      </c>
      <c r="D232" s="563">
        <v>43149.88</v>
      </c>
      <c r="E232" s="124">
        <v>31512831.859999999</v>
      </c>
      <c r="F232" s="563">
        <v>0</v>
      </c>
      <c r="G232" s="124">
        <v>82902007.819999993</v>
      </c>
      <c r="H232" s="124">
        <v>114457989.56</v>
      </c>
      <c r="I232" s="124">
        <v>0</v>
      </c>
      <c r="J232" s="372"/>
      <c r="K232" s="563">
        <v>0</v>
      </c>
      <c r="L232" s="124">
        <v>82902007.819999993</v>
      </c>
      <c r="N232" s="124">
        <v>31512831.859999999</v>
      </c>
      <c r="P232" s="563">
        <v>43149.88</v>
      </c>
      <c r="Q232" s="124">
        <v>0</v>
      </c>
      <c r="U232" s="122">
        <v>181744.91</v>
      </c>
      <c r="V232" s="121">
        <v>1863980.4100000001</v>
      </c>
      <c r="X232" s="121">
        <v>1944852.54</v>
      </c>
      <c r="Z232" s="122">
        <v>0</v>
      </c>
      <c r="AA232" s="121">
        <v>0</v>
      </c>
    </row>
    <row r="233" spans="1:27" x14ac:dyDescent="0.3">
      <c r="A233" s="125">
        <v>31063</v>
      </c>
      <c r="B233" s="19" t="s">
        <v>21</v>
      </c>
      <c r="C233" t="s">
        <v>834</v>
      </c>
      <c r="D233" s="563"/>
      <c r="E233" s="124">
        <v>213109.86</v>
      </c>
      <c r="F233" s="563"/>
      <c r="G233" s="124">
        <v>325469.27</v>
      </c>
      <c r="H233" s="124">
        <v>538579.13</v>
      </c>
      <c r="I233" s="124">
        <v>0</v>
      </c>
      <c r="J233" s="372"/>
      <c r="K233" s="563"/>
      <c r="L233" s="124">
        <v>325469.27</v>
      </c>
      <c r="N233" s="124">
        <v>213109.86</v>
      </c>
      <c r="P233" s="563"/>
      <c r="Q233" s="124">
        <v>0</v>
      </c>
      <c r="U233" s="122"/>
      <c r="V233" s="121">
        <v>9644.4500000000007</v>
      </c>
      <c r="X233" s="121">
        <v>45513.21</v>
      </c>
      <c r="Z233" s="122"/>
      <c r="AA233" s="121">
        <v>0</v>
      </c>
    </row>
    <row r="234" spans="1:27" x14ac:dyDescent="0.3">
      <c r="A234" s="125">
        <v>31103</v>
      </c>
      <c r="B234" s="19" t="s">
        <v>21</v>
      </c>
      <c r="C234" t="s">
        <v>873</v>
      </c>
      <c r="D234" s="563"/>
      <c r="E234" s="124">
        <v>18265350.98</v>
      </c>
      <c r="F234" s="563">
        <v>0</v>
      </c>
      <c r="G234" s="124">
        <v>45594564.920000002</v>
      </c>
      <c r="H234" s="124">
        <v>63859915.899999999</v>
      </c>
      <c r="I234" s="124">
        <v>0</v>
      </c>
      <c r="J234" s="372"/>
      <c r="K234" s="563">
        <v>0</v>
      </c>
      <c r="L234" s="124">
        <v>45594564.920000002</v>
      </c>
      <c r="N234" s="124">
        <v>18265350.98</v>
      </c>
      <c r="P234" s="563"/>
      <c r="Q234" s="124">
        <v>0</v>
      </c>
      <c r="U234" s="122">
        <v>6501.39</v>
      </c>
      <c r="V234" s="121">
        <v>1505180.91</v>
      </c>
      <c r="X234" s="121">
        <v>1156696.46</v>
      </c>
      <c r="Z234" s="122"/>
      <c r="AA234" s="121">
        <v>0</v>
      </c>
    </row>
    <row r="235" spans="1:27" x14ac:dyDescent="0.3">
      <c r="A235" s="125">
        <v>31201</v>
      </c>
      <c r="B235" s="19" t="s">
        <v>21</v>
      </c>
      <c r="C235" t="s">
        <v>961</v>
      </c>
      <c r="D235" s="563">
        <v>69006.7</v>
      </c>
      <c r="E235" s="124">
        <v>25652743.890000001</v>
      </c>
      <c r="F235" s="563">
        <v>129613.98</v>
      </c>
      <c r="G235" s="124">
        <v>84532352.120000005</v>
      </c>
      <c r="H235" s="124">
        <v>110383716.69</v>
      </c>
      <c r="I235" s="124">
        <v>0</v>
      </c>
      <c r="J235" s="372"/>
      <c r="K235" s="563">
        <v>129613.98</v>
      </c>
      <c r="L235" s="124">
        <v>84532352.120000005</v>
      </c>
      <c r="N235" s="124">
        <v>25652743.890000001</v>
      </c>
      <c r="P235" s="563">
        <v>69006.7</v>
      </c>
      <c r="Q235" s="124">
        <v>0</v>
      </c>
      <c r="U235" s="122">
        <v>58306.95</v>
      </c>
      <c r="V235" s="121">
        <v>2054230.55</v>
      </c>
      <c r="X235" s="121">
        <v>2508002.5300000003</v>
      </c>
      <c r="Z235" s="122">
        <v>0</v>
      </c>
      <c r="AA235" s="121">
        <v>0</v>
      </c>
    </row>
    <row r="236" spans="1:27" x14ac:dyDescent="0.3">
      <c r="A236" s="125">
        <v>31306</v>
      </c>
      <c r="B236" s="19" t="s">
        <v>21</v>
      </c>
      <c r="C236" t="s">
        <v>851</v>
      </c>
      <c r="D236" s="563"/>
      <c r="E236" s="124">
        <v>8286405.7599999998</v>
      </c>
      <c r="F236" s="563"/>
      <c r="G236" s="124">
        <v>19550151.390000001</v>
      </c>
      <c r="H236" s="124">
        <v>27836557.149999999</v>
      </c>
      <c r="I236" s="124">
        <v>0</v>
      </c>
      <c r="J236" s="372"/>
      <c r="K236" s="563"/>
      <c r="L236" s="124">
        <v>19550151.390000001</v>
      </c>
      <c r="N236" s="124">
        <v>8286405.7599999998</v>
      </c>
      <c r="P236" s="563"/>
      <c r="Q236" s="124">
        <v>0</v>
      </c>
      <c r="U236" s="122"/>
      <c r="V236" s="121">
        <v>614754.21</v>
      </c>
      <c r="X236" s="121">
        <v>577755.56999999995</v>
      </c>
      <c r="Z236" s="122"/>
      <c r="AA236" s="121">
        <v>0</v>
      </c>
    </row>
    <row r="237" spans="1:27" x14ac:dyDescent="0.3">
      <c r="A237" s="125">
        <v>31311</v>
      </c>
      <c r="B237" s="19" t="s">
        <v>21</v>
      </c>
      <c r="C237" t="s">
        <v>976</v>
      </c>
      <c r="D237" s="563"/>
      <c r="E237" s="124">
        <v>6910143.3300000001</v>
      </c>
      <c r="F237" s="563">
        <v>0</v>
      </c>
      <c r="G237" s="124">
        <v>18515036.759999998</v>
      </c>
      <c r="H237" s="124">
        <v>25425180.09</v>
      </c>
      <c r="I237" s="124">
        <v>0</v>
      </c>
      <c r="J237" s="372"/>
      <c r="K237" s="563">
        <v>0</v>
      </c>
      <c r="L237" s="124">
        <v>18515036.759999998</v>
      </c>
      <c r="N237" s="124">
        <v>6910143.3300000001</v>
      </c>
      <c r="P237" s="563"/>
      <c r="Q237" s="124">
        <v>0</v>
      </c>
      <c r="U237" s="122">
        <v>15720</v>
      </c>
      <c r="V237" s="121">
        <v>500059.47000000003</v>
      </c>
      <c r="X237" s="121">
        <v>297310.55</v>
      </c>
      <c r="Z237" s="122"/>
      <c r="AA237" s="121">
        <v>0</v>
      </c>
    </row>
    <row r="238" spans="1:27" x14ac:dyDescent="0.3">
      <c r="A238" s="125">
        <v>31330</v>
      </c>
      <c r="B238" s="19" t="s">
        <v>21</v>
      </c>
      <c r="C238" t="s">
        <v>785</v>
      </c>
      <c r="D238" s="563"/>
      <c r="E238" s="124">
        <v>2139823.7599999998</v>
      </c>
      <c r="F238" s="563"/>
      <c r="G238" s="124">
        <v>3639908.6</v>
      </c>
      <c r="H238" s="124">
        <v>5779732.3599999994</v>
      </c>
      <c r="I238" s="124">
        <v>0</v>
      </c>
      <c r="J238" s="372"/>
      <c r="K238" s="563"/>
      <c r="L238" s="124">
        <v>3639908.6</v>
      </c>
      <c r="N238" s="124">
        <v>2139823.7599999998</v>
      </c>
      <c r="P238" s="563"/>
      <c r="Q238" s="124">
        <v>0</v>
      </c>
      <c r="U238" s="122"/>
      <c r="V238" s="121">
        <v>46285.7</v>
      </c>
      <c r="X238" s="121">
        <v>229277.3</v>
      </c>
      <c r="Z238" s="122"/>
      <c r="AA238" s="121">
        <v>0</v>
      </c>
    </row>
    <row r="239" spans="1:27" x14ac:dyDescent="0.3">
      <c r="A239" s="125">
        <v>31332</v>
      </c>
      <c r="B239" s="19" t="s">
        <v>21</v>
      </c>
      <c r="C239" t="s">
        <v>822</v>
      </c>
      <c r="D239" s="563"/>
      <c r="E239" s="124">
        <v>6035512.5199999996</v>
      </c>
      <c r="F239" s="563">
        <v>0</v>
      </c>
      <c r="G239" s="124">
        <v>15744970.43</v>
      </c>
      <c r="H239" s="124">
        <v>21780482.949999999</v>
      </c>
      <c r="I239" s="124">
        <v>0</v>
      </c>
      <c r="J239" s="372"/>
      <c r="K239" s="563">
        <v>0</v>
      </c>
      <c r="L239" s="124">
        <v>15744970.43</v>
      </c>
      <c r="N239" s="124">
        <v>6035512.5199999996</v>
      </c>
      <c r="P239" s="563"/>
      <c r="Q239" s="124">
        <v>0</v>
      </c>
      <c r="U239" s="122">
        <v>43987.71</v>
      </c>
      <c r="V239" s="121">
        <v>258935.67999999999</v>
      </c>
      <c r="X239" s="121">
        <v>411543.68</v>
      </c>
      <c r="Z239" s="122"/>
      <c r="AA239" s="121">
        <v>0</v>
      </c>
    </row>
    <row r="240" spans="1:27" x14ac:dyDescent="0.3">
      <c r="A240" s="125">
        <v>31401</v>
      </c>
      <c r="B240" s="19" t="s">
        <v>21</v>
      </c>
      <c r="C240" t="s">
        <v>1058</v>
      </c>
      <c r="D240" s="563"/>
      <c r="E240" s="124">
        <v>16383766.879999999</v>
      </c>
      <c r="F240" s="563">
        <v>0</v>
      </c>
      <c r="G240" s="124">
        <v>40373756.880000003</v>
      </c>
      <c r="H240" s="124">
        <v>56757523.760000005</v>
      </c>
      <c r="I240" s="124">
        <v>0</v>
      </c>
      <c r="J240" s="372"/>
      <c r="K240" s="563">
        <v>0</v>
      </c>
      <c r="L240" s="124">
        <v>40373756.880000003</v>
      </c>
      <c r="N240" s="124">
        <v>16383766.879999999</v>
      </c>
      <c r="P240" s="563"/>
      <c r="Q240" s="124">
        <v>0</v>
      </c>
      <c r="U240" s="122">
        <v>35977.5</v>
      </c>
      <c r="V240" s="121">
        <v>1206305.55</v>
      </c>
      <c r="X240" s="121">
        <v>1129506.4099999999</v>
      </c>
      <c r="Z240" s="122"/>
      <c r="AA240" s="121">
        <v>0</v>
      </c>
    </row>
    <row r="241" spans="1:27" x14ac:dyDescent="0.3">
      <c r="A241" s="561">
        <v>31801</v>
      </c>
      <c r="B241" s="19" t="s">
        <v>1039</v>
      </c>
      <c r="C241" s="562" t="s">
        <v>1172</v>
      </c>
      <c r="D241" s="563"/>
      <c r="E241" s="124">
        <v>0</v>
      </c>
      <c r="F241" s="563"/>
      <c r="G241" s="124">
        <v>0</v>
      </c>
      <c r="H241" s="124">
        <v>10231711.02</v>
      </c>
      <c r="I241" s="124">
        <v>10231711.02</v>
      </c>
      <c r="J241" s="372"/>
      <c r="K241" s="563"/>
      <c r="L241" s="124">
        <v>0</v>
      </c>
      <c r="N241" s="124">
        <v>0</v>
      </c>
      <c r="P241" s="563"/>
      <c r="Q241" s="124">
        <v>10231711.02</v>
      </c>
      <c r="U241" s="122"/>
      <c r="V241" s="121">
        <v>0</v>
      </c>
      <c r="X241" s="121">
        <v>0</v>
      </c>
      <c r="Z241" s="122"/>
      <c r="AA241" s="121">
        <v>0</v>
      </c>
    </row>
    <row r="242" spans="1:27" x14ac:dyDescent="0.3">
      <c r="A242" s="125">
        <v>32081</v>
      </c>
      <c r="B242" s="19" t="s">
        <v>18</v>
      </c>
      <c r="C242" t="s">
        <v>1103</v>
      </c>
      <c r="D242" s="563">
        <v>152693.64000000001</v>
      </c>
      <c r="E242" s="124">
        <v>84274846.519999996</v>
      </c>
      <c r="F242" s="563">
        <v>466528.92</v>
      </c>
      <c r="G242" s="124">
        <v>264740498.37</v>
      </c>
      <c r="H242" s="124">
        <v>349634567.44999999</v>
      </c>
      <c r="I242" s="124">
        <v>0</v>
      </c>
      <c r="J242" s="372"/>
      <c r="K242" s="563">
        <v>466528.92</v>
      </c>
      <c r="L242" s="124">
        <v>264740498.37</v>
      </c>
      <c r="N242" s="124">
        <v>84274846.519999996</v>
      </c>
      <c r="P242" s="563">
        <v>152693.64000000001</v>
      </c>
      <c r="Q242" s="124">
        <v>0</v>
      </c>
      <c r="U242" s="122">
        <v>247973.1</v>
      </c>
      <c r="V242" s="121">
        <v>7670148.7999999998</v>
      </c>
      <c r="X242" s="121">
        <v>5412460.0200000005</v>
      </c>
      <c r="Z242" s="122">
        <v>0</v>
      </c>
      <c r="AA242" s="121">
        <v>0</v>
      </c>
    </row>
    <row r="243" spans="1:27" x14ac:dyDescent="0.3">
      <c r="A243" s="125">
        <v>32123</v>
      </c>
      <c r="B243" s="19" t="s">
        <v>18</v>
      </c>
      <c r="C243" t="s">
        <v>909</v>
      </c>
      <c r="D243" s="563">
        <v>17523.939999999999</v>
      </c>
      <c r="E243" s="124">
        <v>109645.95999999999</v>
      </c>
      <c r="F243" s="563"/>
      <c r="G243" s="124">
        <v>580317.05000000005</v>
      </c>
      <c r="H243" s="124">
        <v>707486.95</v>
      </c>
      <c r="I243" s="124">
        <v>0</v>
      </c>
      <c r="J243" s="372"/>
      <c r="K243" s="563"/>
      <c r="L243" s="124">
        <v>580317.05000000005</v>
      </c>
      <c r="N243" s="124">
        <v>109645.95999999999</v>
      </c>
      <c r="P243" s="563">
        <v>17523.939999999999</v>
      </c>
      <c r="Q243" s="124">
        <v>0</v>
      </c>
      <c r="U243" s="122"/>
      <c r="V243" s="121">
        <v>66227.72</v>
      </c>
      <c r="X243" s="121">
        <v>0</v>
      </c>
      <c r="Z243" s="122">
        <v>0</v>
      </c>
      <c r="AA243" s="121">
        <v>0</v>
      </c>
    </row>
    <row r="244" spans="1:27" x14ac:dyDescent="0.3">
      <c r="A244" s="125">
        <v>32312</v>
      </c>
      <c r="B244" s="19" t="s">
        <v>18</v>
      </c>
      <c r="C244" t="s">
        <v>824</v>
      </c>
      <c r="D244" s="563"/>
      <c r="E244" s="124">
        <v>118276.61</v>
      </c>
      <c r="F244" s="563">
        <v>0</v>
      </c>
      <c r="G244" s="124">
        <v>215101.45</v>
      </c>
      <c r="H244" s="124">
        <v>333378.06</v>
      </c>
      <c r="I244" s="124">
        <v>0</v>
      </c>
      <c r="J244" s="372"/>
      <c r="K244" s="563">
        <v>0</v>
      </c>
      <c r="L244" s="124">
        <v>215101.45</v>
      </c>
      <c r="N244" s="124">
        <v>118276.61</v>
      </c>
      <c r="P244" s="563"/>
      <c r="Q244" s="124">
        <v>0</v>
      </c>
      <c r="U244" s="122">
        <v>400</v>
      </c>
      <c r="V244" s="121">
        <v>110761.59</v>
      </c>
      <c r="X244" s="121">
        <v>20973.070000000003</v>
      </c>
      <c r="Z244" s="122"/>
      <c r="AA244" s="121">
        <v>0</v>
      </c>
    </row>
    <row r="245" spans="1:27" x14ac:dyDescent="0.3">
      <c r="A245" s="125">
        <v>32325</v>
      </c>
      <c r="B245" s="19" t="s">
        <v>18</v>
      </c>
      <c r="C245" t="s">
        <v>888</v>
      </c>
      <c r="D245" s="563"/>
      <c r="E245" s="124">
        <v>2757509.1200000001</v>
      </c>
      <c r="F245" s="563"/>
      <c r="G245" s="124">
        <v>10489349.969999999</v>
      </c>
      <c r="H245" s="124">
        <v>13246859.09</v>
      </c>
      <c r="I245" s="124">
        <v>0</v>
      </c>
      <c r="J245" s="372"/>
      <c r="K245" s="563"/>
      <c r="L245" s="124">
        <v>10489349.969999999</v>
      </c>
      <c r="N245" s="124">
        <v>2757509.1200000001</v>
      </c>
      <c r="P245" s="563"/>
      <c r="Q245" s="124">
        <v>0</v>
      </c>
      <c r="U245" s="122"/>
      <c r="V245" s="121">
        <v>146250.57</v>
      </c>
      <c r="X245" s="121">
        <v>252714.48</v>
      </c>
      <c r="Z245" s="122"/>
      <c r="AA245" s="121">
        <v>0</v>
      </c>
    </row>
    <row r="246" spans="1:27" x14ac:dyDescent="0.3">
      <c r="A246" s="125">
        <v>32326</v>
      </c>
      <c r="B246" s="19" t="s">
        <v>18</v>
      </c>
      <c r="C246" t="s">
        <v>868</v>
      </c>
      <c r="D246" s="563">
        <v>27395.58</v>
      </c>
      <c r="E246" s="124">
        <v>4718688.5</v>
      </c>
      <c r="F246" s="563">
        <v>0</v>
      </c>
      <c r="G246" s="124">
        <v>13040046.170000002</v>
      </c>
      <c r="H246" s="124">
        <v>17786130.25</v>
      </c>
      <c r="I246" s="124">
        <v>0</v>
      </c>
      <c r="J246" s="372"/>
      <c r="K246" s="563">
        <v>0</v>
      </c>
      <c r="L246" s="124">
        <v>13040046.170000002</v>
      </c>
      <c r="N246" s="124">
        <v>4718688.5</v>
      </c>
      <c r="P246" s="563">
        <v>27395.58</v>
      </c>
      <c r="Q246" s="124">
        <v>0</v>
      </c>
      <c r="U246" s="122">
        <v>3450.21</v>
      </c>
      <c r="V246" s="121">
        <v>264001.08</v>
      </c>
      <c r="X246" s="121">
        <v>428092.78</v>
      </c>
      <c r="Z246" s="122">
        <v>0</v>
      </c>
      <c r="AA246" s="121">
        <v>0</v>
      </c>
    </row>
    <row r="247" spans="1:27" x14ac:dyDescent="0.3">
      <c r="A247" s="125">
        <v>32354</v>
      </c>
      <c r="B247" s="19" t="s">
        <v>18</v>
      </c>
      <c r="C247" t="s">
        <v>867</v>
      </c>
      <c r="D247" s="563"/>
      <c r="E247" s="124">
        <v>25626157.259999998</v>
      </c>
      <c r="F247" s="563">
        <v>1723.17</v>
      </c>
      <c r="G247" s="124">
        <v>84303503.659999996</v>
      </c>
      <c r="H247" s="124">
        <v>109931384.09</v>
      </c>
      <c r="I247" s="124">
        <v>0</v>
      </c>
      <c r="J247" s="372"/>
      <c r="K247" s="563">
        <v>1723.17</v>
      </c>
      <c r="L247" s="124">
        <v>84303503.659999996</v>
      </c>
      <c r="N247" s="124">
        <v>25626157.259999998</v>
      </c>
      <c r="P247" s="563"/>
      <c r="Q247" s="124">
        <v>0</v>
      </c>
      <c r="U247" s="122">
        <v>40304.15</v>
      </c>
      <c r="V247" s="121">
        <v>2496396.4500000002</v>
      </c>
      <c r="X247" s="121">
        <v>2736983.21</v>
      </c>
      <c r="Z247" s="122"/>
      <c r="AA247" s="121">
        <v>0</v>
      </c>
    </row>
    <row r="248" spans="1:27" x14ac:dyDescent="0.3">
      <c r="A248" s="125">
        <v>32356</v>
      </c>
      <c r="B248" s="19" t="s">
        <v>18</v>
      </c>
      <c r="C248" t="s">
        <v>760</v>
      </c>
      <c r="D248" s="563">
        <v>10601.32</v>
      </c>
      <c r="E248" s="124">
        <v>30867074.170000002</v>
      </c>
      <c r="F248" s="563">
        <v>0</v>
      </c>
      <c r="G248" s="124">
        <v>106836495.67999999</v>
      </c>
      <c r="H248" s="124">
        <v>137714171.17000002</v>
      </c>
      <c r="I248" s="124">
        <v>0</v>
      </c>
      <c r="J248" s="372"/>
      <c r="K248" s="563">
        <v>0</v>
      </c>
      <c r="L248" s="124">
        <v>106836495.67999999</v>
      </c>
      <c r="N248" s="124">
        <v>30867074.170000002</v>
      </c>
      <c r="P248" s="563">
        <v>10601.32</v>
      </c>
      <c r="Q248" s="124">
        <v>0</v>
      </c>
      <c r="U248" s="122">
        <v>8830.7199999999993</v>
      </c>
      <c r="V248" s="121">
        <v>3192642.04</v>
      </c>
      <c r="X248" s="121">
        <v>1871271.3800000001</v>
      </c>
      <c r="Z248" s="122">
        <v>0</v>
      </c>
      <c r="AA248" s="121">
        <v>0</v>
      </c>
    </row>
    <row r="249" spans="1:27" x14ac:dyDescent="0.3">
      <c r="A249" s="125">
        <v>32358</v>
      </c>
      <c r="B249" s="19" t="s">
        <v>18</v>
      </c>
      <c r="C249" t="s">
        <v>815</v>
      </c>
      <c r="D249" s="563"/>
      <c r="E249" s="124">
        <v>2249262.5700000003</v>
      </c>
      <c r="F249" s="563"/>
      <c r="G249" s="124">
        <v>6352559.4800000004</v>
      </c>
      <c r="H249" s="124">
        <v>8601822.0500000007</v>
      </c>
      <c r="I249" s="124">
        <v>0</v>
      </c>
      <c r="J249" s="372"/>
      <c r="K249" s="563"/>
      <c r="L249" s="124">
        <v>6352559.4800000004</v>
      </c>
      <c r="N249" s="124">
        <v>2249262.5700000003</v>
      </c>
      <c r="P249" s="563"/>
      <c r="Q249" s="124">
        <v>0</v>
      </c>
      <c r="U249" s="122"/>
      <c r="V249" s="121">
        <v>123650.92</v>
      </c>
      <c r="X249" s="121">
        <v>182550.58</v>
      </c>
      <c r="Z249" s="122"/>
      <c r="AA249" s="121">
        <v>0</v>
      </c>
    </row>
    <row r="250" spans="1:27" x14ac:dyDescent="0.3">
      <c r="A250" s="125">
        <v>32360</v>
      </c>
      <c r="B250" s="19" t="s">
        <v>18</v>
      </c>
      <c r="C250" t="s">
        <v>763</v>
      </c>
      <c r="D250" s="563">
        <v>25706.3</v>
      </c>
      <c r="E250" s="124">
        <v>13337888.640000001</v>
      </c>
      <c r="F250" s="563">
        <v>0</v>
      </c>
      <c r="G250" s="124">
        <v>38931090.350000001</v>
      </c>
      <c r="H250" s="124">
        <v>52294685.289999999</v>
      </c>
      <c r="I250" s="124">
        <v>0</v>
      </c>
      <c r="J250" s="372"/>
      <c r="K250" s="563">
        <v>0</v>
      </c>
      <c r="L250" s="124">
        <v>38931090.350000001</v>
      </c>
      <c r="N250" s="124">
        <v>13337888.640000001</v>
      </c>
      <c r="P250" s="563">
        <v>25706.3</v>
      </c>
      <c r="Q250" s="124">
        <v>0</v>
      </c>
      <c r="U250" s="122">
        <v>4081.03</v>
      </c>
      <c r="V250" s="121">
        <v>1199045.24</v>
      </c>
      <c r="X250" s="121">
        <v>1216572.17</v>
      </c>
      <c r="Z250" s="122">
        <v>0</v>
      </c>
      <c r="AA250" s="121">
        <v>0</v>
      </c>
    </row>
    <row r="251" spans="1:27" x14ac:dyDescent="0.3">
      <c r="A251" s="125">
        <v>32361</v>
      </c>
      <c r="B251" s="19" t="s">
        <v>18</v>
      </c>
      <c r="C251" t="s">
        <v>791</v>
      </c>
      <c r="D251" s="563"/>
      <c r="E251" s="124">
        <v>10999470.879999999</v>
      </c>
      <c r="F251" s="563">
        <v>0</v>
      </c>
      <c r="G251" s="124">
        <v>28526986.739999998</v>
      </c>
      <c r="H251" s="124">
        <v>39526457.619999997</v>
      </c>
      <c r="I251" s="124">
        <v>0</v>
      </c>
      <c r="J251" s="372"/>
      <c r="K251" s="563">
        <v>0</v>
      </c>
      <c r="L251" s="124">
        <v>28526986.739999998</v>
      </c>
      <c r="N251" s="124">
        <v>10999470.879999999</v>
      </c>
      <c r="P251" s="563"/>
      <c r="Q251" s="124">
        <v>0</v>
      </c>
      <c r="U251" s="122">
        <v>20550.46</v>
      </c>
      <c r="V251" s="121">
        <v>1221192.1700000002</v>
      </c>
      <c r="X251" s="121">
        <v>748599.48</v>
      </c>
      <c r="Z251" s="122"/>
      <c r="AA251" s="121">
        <v>0</v>
      </c>
    </row>
    <row r="252" spans="1:27" x14ac:dyDescent="0.3">
      <c r="A252" s="125">
        <v>32362</v>
      </c>
      <c r="B252" s="19" t="s">
        <v>18</v>
      </c>
      <c r="C252" t="s">
        <v>853</v>
      </c>
      <c r="D252" s="563"/>
      <c r="E252" s="124">
        <v>1470698.1099999999</v>
      </c>
      <c r="F252" s="563">
        <v>0</v>
      </c>
      <c r="G252" s="124">
        <v>4222722.66</v>
      </c>
      <c r="H252" s="124">
        <v>5693420.7699999996</v>
      </c>
      <c r="I252" s="124">
        <v>0</v>
      </c>
      <c r="J252" s="372"/>
      <c r="K252" s="563">
        <v>0</v>
      </c>
      <c r="L252" s="124">
        <v>4222722.66</v>
      </c>
      <c r="N252" s="124">
        <v>1470698.1099999999</v>
      </c>
      <c r="P252" s="563"/>
      <c r="Q252" s="124">
        <v>0</v>
      </c>
      <c r="U252" s="122">
        <v>4740</v>
      </c>
      <c r="V252" s="121">
        <v>48908.77</v>
      </c>
      <c r="X252" s="121">
        <v>168588.59</v>
      </c>
      <c r="Z252" s="122"/>
      <c r="AA252" s="121">
        <v>0</v>
      </c>
    </row>
    <row r="253" spans="1:27" x14ac:dyDescent="0.3">
      <c r="A253" s="125">
        <v>32363</v>
      </c>
      <c r="B253" s="19" t="s">
        <v>18</v>
      </c>
      <c r="C253" t="s">
        <v>1009</v>
      </c>
      <c r="D253" s="563"/>
      <c r="E253" s="124">
        <v>8803352.3000000007</v>
      </c>
      <c r="F253" s="563"/>
      <c r="G253" s="124">
        <v>25430712.880000003</v>
      </c>
      <c r="H253" s="124">
        <v>34234065.18</v>
      </c>
      <c r="I253" s="124">
        <v>0</v>
      </c>
      <c r="J253" s="372"/>
      <c r="K253" s="563"/>
      <c r="L253" s="124">
        <v>25430712.880000003</v>
      </c>
      <c r="N253" s="124">
        <v>8803352.3000000007</v>
      </c>
      <c r="P253" s="563"/>
      <c r="Q253" s="124">
        <v>0</v>
      </c>
      <c r="U253" s="122"/>
      <c r="V253" s="121">
        <v>793186.32</v>
      </c>
      <c r="X253" s="121">
        <v>745533.52</v>
      </c>
      <c r="Z253" s="122"/>
      <c r="AA253" s="121">
        <v>0</v>
      </c>
    </row>
    <row r="254" spans="1:27" x14ac:dyDescent="0.3">
      <c r="A254" s="125">
        <v>32414</v>
      </c>
      <c r="B254" s="19" t="s">
        <v>18</v>
      </c>
      <c r="C254" t="s">
        <v>788</v>
      </c>
      <c r="D254" s="563"/>
      <c r="E254" s="124">
        <v>5366733.9800000004</v>
      </c>
      <c r="F254" s="563">
        <v>0</v>
      </c>
      <c r="G254" s="124">
        <v>17541528.759999998</v>
      </c>
      <c r="H254" s="124">
        <v>22908262.740000002</v>
      </c>
      <c r="I254" s="124">
        <v>0</v>
      </c>
      <c r="J254" s="372"/>
      <c r="K254" s="563">
        <v>0</v>
      </c>
      <c r="L254" s="124">
        <v>17541528.759999998</v>
      </c>
      <c r="N254" s="124">
        <v>5366733.9800000004</v>
      </c>
      <c r="P254" s="563"/>
      <c r="Q254" s="124">
        <v>0</v>
      </c>
      <c r="U254" s="122">
        <v>21863.56</v>
      </c>
      <c r="V254" s="121">
        <v>323831.52999999997</v>
      </c>
      <c r="X254" s="121">
        <v>1091651.05</v>
      </c>
      <c r="Z254" s="122"/>
      <c r="AA254" s="121">
        <v>0</v>
      </c>
    </row>
    <row r="255" spans="1:27" x14ac:dyDescent="0.3">
      <c r="A255" s="125">
        <v>32416</v>
      </c>
      <c r="B255" s="19" t="s">
        <v>18</v>
      </c>
      <c r="C255" t="s">
        <v>943</v>
      </c>
      <c r="D255" s="563"/>
      <c r="E255" s="124">
        <v>3505245.9699999997</v>
      </c>
      <c r="F255" s="563">
        <v>0</v>
      </c>
      <c r="G255" s="124">
        <v>10330065.4</v>
      </c>
      <c r="H255" s="124">
        <v>13835311.370000001</v>
      </c>
      <c r="I255" s="124">
        <v>0</v>
      </c>
      <c r="J255" s="372"/>
      <c r="K255" s="563">
        <v>0</v>
      </c>
      <c r="L255" s="124">
        <v>10330065.4</v>
      </c>
      <c r="N255" s="124">
        <v>3505245.9699999997</v>
      </c>
      <c r="P255" s="563"/>
      <c r="Q255" s="124">
        <v>0</v>
      </c>
      <c r="U255" s="122">
        <v>75</v>
      </c>
      <c r="V255" s="121">
        <v>231224.36</v>
      </c>
      <c r="X255" s="121">
        <v>208737.45</v>
      </c>
      <c r="Z255" s="122"/>
      <c r="AA255" s="121">
        <v>0</v>
      </c>
    </row>
    <row r="256" spans="1:27" x14ac:dyDescent="0.3">
      <c r="A256" s="125">
        <v>32801</v>
      </c>
      <c r="B256" s="19" t="s">
        <v>18</v>
      </c>
      <c r="C256" t="s">
        <v>796</v>
      </c>
      <c r="D256" s="563"/>
      <c r="E256" s="124">
        <v>15577954.559999999</v>
      </c>
      <c r="F256" s="563"/>
      <c r="G256" s="124">
        <v>1833383.6400000001</v>
      </c>
      <c r="H256" s="124">
        <v>17411338.199999999</v>
      </c>
      <c r="I256" s="124">
        <v>0</v>
      </c>
      <c r="J256" s="372"/>
      <c r="K256" s="563"/>
      <c r="L256" s="124">
        <v>1833383.6400000001</v>
      </c>
      <c r="N256" s="124">
        <v>15577954.559999999</v>
      </c>
      <c r="P256" s="563"/>
      <c r="Q256" s="124">
        <v>0</v>
      </c>
      <c r="U256" s="122"/>
      <c r="V256" s="121">
        <v>74065.84</v>
      </c>
      <c r="X256" s="121">
        <v>111940.31999999999</v>
      </c>
      <c r="Z256" s="122"/>
      <c r="AA256" s="121">
        <v>0</v>
      </c>
    </row>
    <row r="257" spans="1:27" x14ac:dyDescent="0.3">
      <c r="A257" s="125">
        <v>32901</v>
      </c>
      <c r="B257" s="19" t="s">
        <v>1039</v>
      </c>
      <c r="C257" t="s">
        <v>1025</v>
      </c>
      <c r="D257" s="563"/>
      <c r="E257" s="124">
        <v>1715963.3900000001</v>
      </c>
      <c r="F257" s="563"/>
      <c r="G257" s="124">
        <v>5085910.5199999996</v>
      </c>
      <c r="H257" s="124">
        <v>6801873.9100000001</v>
      </c>
      <c r="I257" s="124">
        <v>0</v>
      </c>
      <c r="J257" s="372"/>
      <c r="K257" s="563"/>
      <c r="L257" s="124">
        <v>5085910.5199999996</v>
      </c>
      <c r="N257" s="124">
        <v>1715963.3900000001</v>
      </c>
      <c r="P257" s="563"/>
      <c r="Q257" s="124">
        <v>0</v>
      </c>
      <c r="U257" s="122"/>
      <c r="V257" s="121">
        <v>119686.41</v>
      </c>
      <c r="X257" s="121">
        <v>67230.81</v>
      </c>
      <c r="Z257" s="122"/>
      <c r="AA257" s="121">
        <v>0</v>
      </c>
    </row>
    <row r="258" spans="1:27" x14ac:dyDescent="0.3">
      <c r="A258" s="125">
        <v>32903</v>
      </c>
      <c r="B258" s="19" t="s">
        <v>1039</v>
      </c>
      <c r="C258" t="s">
        <v>1220</v>
      </c>
      <c r="D258" s="563"/>
      <c r="E258" s="124">
        <v>297449.52</v>
      </c>
      <c r="F258" s="563"/>
      <c r="G258" s="124">
        <v>654956.44999999995</v>
      </c>
      <c r="H258" s="124">
        <v>952405.97</v>
      </c>
      <c r="I258" s="124">
        <v>0</v>
      </c>
      <c r="J258" s="372"/>
      <c r="K258" s="563"/>
      <c r="L258" s="124">
        <v>654956.44999999995</v>
      </c>
      <c r="N258" s="124">
        <v>297449.52</v>
      </c>
      <c r="P258" s="563"/>
      <c r="Q258" s="124">
        <v>0</v>
      </c>
      <c r="U258" s="122"/>
      <c r="V258" s="121">
        <v>0</v>
      </c>
      <c r="X258" s="121">
        <v>10690</v>
      </c>
      <c r="Z258" s="122"/>
      <c r="AA258" s="121">
        <v>0</v>
      </c>
    </row>
    <row r="259" spans="1:27" x14ac:dyDescent="0.3">
      <c r="A259" s="125">
        <v>32907</v>
      </c>
      <c r="B259" s="19" t="s">
        <v>1039</v>
      </c>
      <c r="C259" t="s">
        <v>1030</v>
      </c>
      <c r="D259" s="563"/>
      <c r="E259" s="124">
        <v>465760.14</v>
      </c>
      <c r="F259" s="563"/>
      <c r="G259" s="124">
        <v>2118345.0099999998</v>
      </c>
      <c r="H259" s="124">
        <v>2584105.1500000004</v>
      </c>
      <c r="I259" s="124">
        <v>0</v>
      </c>
      <c r="J259" s="372"/>
      <c r="K259" s="563"/>
      <c r="L259" s="124">
        <v>2118345.0099999998</v>
      </c>
      <c r="N259" s="124">
        <v>465760.14</v>
      </c>
      <c r="P259" s="563"/>
      <c r="Q259" s="124">
        <v>0</v>
      </c>
      <c r="U259" s="122"/>
      <c r="V259" s="121">
        <v>79637.5</v>
      </c>
      <c r="X259" s="121">
        <v>7644.5</v>
      </c>
      <c r="Z259" s="122"/>
      <c r="AA259" s="121">
        <v>0</v>
      </c>
    </row>
    <row r="260" spans="1:27" x14ac:dyDescent="0.3">
      <c r="A260" s="125">
        <v>33030</v>
      </c>
      <c r="B260" s="19" t="s">
        <v>18</v>
      </c>
      <c r="C260" t="s">
        <v>907</v>
      </c>
      <c r="D260" s="563"/>
      <c r="E260" s="124">
        <v>180330.74</v>
      </c>
      <c r="F260" s="563"/>
      <c r="G260" s="124">
        <v>343481.97</v>
      </c>
      <c r="H260" s="124">
        <v>523812.70999999996</v>
      </c>
      <c r="I260" s="124">
        <v>0</v>
      </c>
      <c r="J260" s="372"/>
      <c r="K260" s="563"/>
      <c r="L260" s="124">
        <v>343481.97</v>
      </c>
      <c r="N260" s="124">
        <v>180330.74</v>
      </c>
      <c r="P260" s="563"/>
      <c r="Q260" s="124">
        <v>0</v>
      </c>
      <c r="U260" s="122"/>
      <c r="V260" s="121">
        <v>44393.33</v>
      </c>
      <c r="X260" s="121">
        <v>50562.11</v>
      </c>
      <c r="Z260" s="122"/>
      <c r="AA260" s="121">
        <v>0</v>
      </c>
    </row>
    <row r="261" spans="1:27" x14ac:dyDescent="0.3">
      <c r="A261" s="125">
        <v>33036</v>
      </c>
      <c r="B261" s="19" t="s">
        <v>18</v>
      </c>
      <c r="C261" t="s">
        <v>764</v>
      </c>
      <c r="D261" s="563"/>
      <c r="E261" s="124">
        <v>2136718.75</v>
      </c>
      <c r="F261" s="563">
        <v>0</v>
      </c>
      <c r="G261" s="124">
        <v>5700999.8200000003</v>
      </c>
      <c r="H261" s="124">
        <v>7837718.5700000003</v>
      </c>
      <c r="I261" s="124">
        <v>0</v>
      </c>
      <c r="J261" s="372"/>
      <c r="K261" s="563">
        <v>0</v>
      </c>
      <c r="L261" s="124">
        <v>5700999.8200000003</v>
      </c>
      <c r="N261" s="124">
        <v>2136718.75</v>
      </c>
      <c r="P261" s="563"/>
      <c r="Q261" s="124">
        <v>0</v>
      </c>
      <c r="U261" s="122">
        <v>4800.33</v>
      </c>
      <c r="V261" s="121">
        <v>115121.56</v>
      </c>
      <c r="X261" s="121">
        <v>248407.88</v>
      </c>
      <c r="Z261" s="122"/>
      <c r="AA261" s="121">
        <v>0</v>
      </c>
    </row>
    <row r="262" spans="1:27" x14ac:dyDescent="0.3">
      <c r="A262" s="125">
        <v>33049</v>
      </c>
      <c r="B262" s="19" t="s">
        <v>18</v>
      </c>
      <c r="C262" t="s">
        <v>1006</v>
      </c>
      <c r="D262" s="563"/>
      <c r="E262" s="124">
        <v>2138649.9500000002</v>
      </c>
      <c r="F262" s="563"/>
      <c r="G262" s="124">
        <v>4487072.5</v>
      </c>
      <c r="H262" s="124">
        <v>6625722.4500000002</v>
      </c>
      <c r="I262" s="124">
        <v>0</v>
      </c>
      <c r="J262" s="372"/>
      <c r="K262" s="563"/>
      <c r="L262" s="124">
        <v>4487072.5</v>
      </c>
      <c r="N262" s="124">
        <v>2138649.9500000002</v>
      </c>
      <c r="P262" s="563"/>
      <c r="Q262" s="124">
        <v>0</v>
      </c>
      <c r="U262" s="122"/>
      <c r="V262" s="121">
        <v>172389.08000000002</v>
      </c>
      <c r="X262" s="121">
        <v>115677.14</v>
      </c>
      <c r="Z262" s="122"/>
      <c r="AA262" s="121">
        <v>0</v>
      </c>
    </row>
    <row r="263" spans="1:27" x14ac:dyDescent="0.3">
      <c r="A263" s="125">
        <v>33070</v>
      </c>
      <c r="B263" s="19" t="s">
        <v>18</v>
      </c>
      <c r="C263" t="s">
        <v>994</v>
      </c>
      <c r="D263" s="563"/>
      <c r="E263" s="124">
        <v>3735532.24</v>
      </c>
      <c r="F263" s="563"/>
      <c r="G263" s="124">
        <v>5419612.9500000002</v>
      </c>
      <c r="H263" s="124">
        <v>9155145.1900000013</v>
      </c>
      <c r="I263" s="124">
        <v>0</v>
      </c>
      <c r="J263" s="372"/>
      <c r="K263" s="563"/>
      <c r="L263" s="124">
        <v>5419612.9500000002</v>
      </c>
      <c r="N263" s="124">
        <v>3735532.24</v>
      </c>
      <c r="P263" s="563"/>
      <c r="Q263" s="124">
        <v>0</v>
      </c>
      <c r="U263" s="122"/>
      <c r="V263" s="121">
        <v>54719.55</v>
      </c>
      <c r="X263" s="121">
        <v>184803.01</v>
      </c>
      <c r="Z263" s="122"/>
      <c r="AA263" s="121">
        <v>0</v>
      </c>
    </row>
    <row r="264" spans="1:27" x14ac:dyDescent="0.3">
      <c r="A264" s="125">
        <v>33115</v>
      </c>
      <c r="B264" s="19" t="s">
        <v>18</v>
      </c>
      <c r="C264" t="s">
        <v>774</v>
      </c>
      <c r="D264" s="563"/>
      <c r="E264" s="124">
        <v>4345522.71</v>
      </c>
      <c r="F264" s="563">
        <v>0</v>
      </c>
      <c r="G264" s="124">
        <v>11419809.48</v>
      </c>
      <c r="H264" s="124">
        <v>15765332.190000001</v>
      </c>
      <c r="I264" s="124">
        <v>0</v>
      </c>
      <c r="J264" s="372"/>
      <c r="K264" s="563">
        <v>0</v>
      </c>
      <c r="L264" s="124">
        <v>11419809.48</v>
      </c>
      <c r="N264" s="124">
        <v>4345522.71</v>
      </c>
      <c r="P264" s="563"/>
      <c r="Q264" s="124">
        <v>0</v>
      </c>
      <c r="U264" s="122">
        <v>6469</v>
      </c>
      <c r="V264" s="121">
        <v>300319.38</v>
      </c>
      <c r="X264" s="121">
        <v>250270.28999999998</v>
      </c>
      <c r="Z264" s="122"/>
      <c r="AA264" s="121">
        <v>0</v>
      </c>
    </row>
    <row r="265" spans="1:27" x14ac:dyDescent="0.3">
      <c r="A265" s="125">
        <v>33183</v>
      </c>
      <c r="B265" s="19" t="s">
        <v>18</v>
      </c>
      <c r="C265" t="s">
        <v>856</v>
      </c>
      <c r="D265" s="563"/>
      <c r="E265" s="124">
        <v>517564.51</v>
      </c>
      <c r="F265" s="563"/>
      <c r="G265" s="124">
        <v>1358325.65</v>
      </c>
      <c r="H265" s="124">
        <v>1875890.1600000001</v>
      </c>
      <c r="I265" s="124">
        <v>0</v>
      </c>
      <c r="J265" s="372"/>
      <c r="K265" s="563"/>
      <c r="L265" s="124">
        <v>1358325.65</v>
      </c>
      <c r="N265" s="124">
        <v>517564.51</v>
      </c>
      <c r="P265" s="563"/>
      <c r="Q265" s="124">
        <v>0</v>
      </c>
      <c r="U265" s="122"/>
      <c r="V265" s="121">
        <v>59382.66</v>
      </c>
      <c r="X265" s="121">
        <v>92721.920000000013</v>
      </c>
      <c r="Z265" s="122"/>
      <c r="AA265" s="121">
        <v>0</v>
      </c>
    </row>
    <row r="266" spans="1:27" x14ac:dyDescent="0.3">
      <c r="A266" s="125">
        <v>33202</v>
      </c>
      <c r="B266" s="19" t="s">
        <v>18</v>
      </c>
      <c r="C266" t="s">
        <v>977</v>
      </c>
      <c r="D266" s="563"/>
      <c r="E266" s="124">
        <v>225185.9</v>
      </c>
      <c r="F266" s="563"/>
      <c r="G266" s="124">
        <v>515701.26999999996</v>
      </c>
      <c r="H266" s="124">
        <v>740887.16999999993</v>
      </c>
      <c r="I266" s="124">
        <v>0</v>
      </c>
      <c r="J266" s="372"/>
      <c r="K266" s="563"/>
      <c r="L266" s="124">
        <v>515701.26999999996</v>
      </c>
      <c r="N266" s="124">
        <v>225185.9</v>
      </c>
      <c r="P266" s="563"/>
      <c r="Q266" s="124">
        <v>0</v>
      </c>
      <c r="U266" s="122"/>
      <c r="V266" s="121">
        <v>11033.57</v>
      </c>
      <c r="X266" s="121">
        <v>14633.4</v>
      </c>
      <c r="Z266" s="122"/>
      <c r="AA266" s="121">
        <v>0</v>
      </c>
    </row>
    <row r="267" spans="1:27" x14ac:dyDescent="0.3">
      <c r="A267" s="125">
        <v>33205</v>
      </c>
      <c r="B267" s="19" t="s">
        <v>18</v>
      </c>
      <c r="C267" t="s">
        <v>810</v>
      </c>
      <c r="D267" s="563"/>
      <c r="E267" s="124">
        <v>102940.3</v>
      </c>
      <c r="F267" s="563">
        <v>0</v>
      </c>
      <c r="G267" s="124">
        <v>189266.25</v>
      </c>
      <c r="H267" s="124">
        <v>292206.55</v>
      </c>
      <c r="I267" s="124">
        <v>0</v>
      </c>
      <c r="J267" s="372"/>
      <c r="K267" s="563">
        <v>0</v>
      </c>
      <c r="L267" s="124">
        <v>189266.25</v>
      </c>
      <c r="N267" s="124">
        <v>102940.3</v>
      </c>
      <c r="P267" s="563"/>
      <c r="Q267" s="124">
        <v>0</v>
      </c>
      <c r="U267" s="122">
        <v>69290.77</v>
      </c>
      <c r="V267" s="121">
        <v>700</v>
      </c>
      <c r="X267" s="121">
        <v>7573.82</v>
      </c>
      <c r="Z267" s="122"/>
      <c r="AA267" s="121">
        <v>0</v>
      </c>
    </row>
    <row r="268" spans="1:27" x14ac:dyDescent="0.3">
      <c r="A268" s="125">
        <v>33206</v>
      </c>
      <c r="B268" s="19" t="s">
        <v>18</v>
      </c>
      <c r="C268" t="s">
        <v>772</v>
      </c>
      <c r="D268" s="563"/>
      <c r="E268" s="124">
        <v>490078.13</v>
      </c>
      <c r="F268" s="563">
        <v>0</v>
      </c>
      <c r="G268" s="124">
        <v>1199326.56</v>
      </c>
      <c r="H268" s="124">
        <v>1689404.69</v>
      </c>
      <c r="I268" s="124">
        <v>0</v>
      </c>
      <c r="J268" s="372"/>
      <c r="K268" s="563">
        <v>0</v>
      </c>
      <c r="L268" s="124">
        <v>1199326.56</v>
      </c>
      <c r="N268" s="124">
        <v>490078.13</v>
      </c>
      <c r="P268" s="563"/>
      <c r="Q268" s="124">
        <v>0</v>
      </c>
      <c r="U268" s="122">
        <v>3655</v>
      </c>
      <c r="V268" s="121">
        <v>22121.25</v>
      </c>
      <c r="X268" s="121">
        <v>76448.100000000006</v>
      </c>
      <c r="Z268" s="122"/>
      <c r="AA268" s="121">
        <v>0</v>
      </c>
    </row>
    <row r="269" spans="1:27" x14ac:dyDescent="0.3">
      <c r="A269" s="125">
        <v>33207</v>
      </c>
      <c r="B269" s="19" t="s">
        <v>18</v>
      </c>
      <c r="C269" t="s">
        <v>864</v>
      </c>
      <c r="D269" s="563"/>
      <c r="E269" s="124">
        <v>1393488.82</v>
      </c>
      <c r="F269" s="563"/>
      <c r="G269" s="124">
        <v>3201060.27</v>
      </c>
      <c r="H269" s="124">
        <v>4594549.09</v>
      </c>
      <c r="I269" s="124">
        <v>0</v>
      </c>
      <c r="J269" s="372"/>
      <c r="K269" s="563"/>
      <c r="L269" s="124">
        <v>3201060.27</v>
      </c>
      <c r="N269" s="124">
        <v>1393488.82</v>
      </c>
      <c r="P269" s="563"/>
      <c r="Q269" s="124">
        <v>0</v>
      </c>
      <c r="U269" s="122"/>
      <c r="V269" s="121">
        <v>24373.96</v>
      </c>
      <c r="X269" s="121">
        <v>188115.07</v>
      </c>
      <c r="Z269" s="122"/>
      <c r="AA269" s="121">
        <v>0</v>
      </c>
    </row>
    <row r="270" spans="1:27" x14ac:dyDescent="0.3">
      <c r="A270" s="125">
        <v>33211</v>
      </c>
      <c r="B270" s="19" t="s">
        <v>18</v>
      </c>
      <c r="C270" t="s">
        <v>895</v>
      </c>
      <c r="D270" s="563"/>
      <c r="E270" s="124">
        <v>911072.54</v>
      </c>
      <c r="F270" s="563"/>
      <c r="G270" s="124">
        <v>2007628.57</v>
      </c>
      <c r="H270" s="124">
        <v>2918701.1100000003</v>
      </c>
      <c r="I270" s="124">
        <v>0</v>
      </c>
      <c r="J270" s="372"/>
      <c r="K270" s="563"/>
      <c r="L270" s="124">
        <v>2007628.57</v>
      </c>
      <c r="N270" s="124">
        <v>911072.54</v>
      </c>
      <c r="P270" s="563"/>
      <c r="Q270" s="124">
        <v>0</v>
      </c>
      <c r="U270" s="122"/>
      <c r="V270" s="121">
        <v>9230.7199999999993</v>
      </c>
      <c r="X270" s="121">
        <v>136569.57</v>
      </c>
      <c r="Z270" s="122"/>
      <c r="AA270" s="121">
        <v>0</v>
      </c>
    </row>
    <row r="271" spans="1:27" x14ac:dyDescent="0.3">
      <c r="A271" s="125">
        <v>33212</v>
      </c>
      <c r="B271" s="19" t="s">
        <v>18</v>
      </c>
      <c r="C271" t="s">
        <v>842</v>
      </c>
      <c r="D271" s="563"/>
      <c r="E271" s="124">
        <v>3130650.32</v>
      </c>
      <c r="F271" s="563">
        <v>0</v>
      </c>
      <c r="G271" s="124">
        <v>6834223.0399999991</v>
      </c>
      <c r="H271" s="124">
        <v>9964873.3599999994</v>
      </c>
      <c r="I271" s="124">
        <v>0</v>
      </c>
      <c r="J271" s="372"/>
      <c r="K271" s="563">
        <v>0</v>
      </c>
      <c r="L271" s="124">
        <v>6834223.0399999991</v>
      </c>
      <c r="N271" s="124">
        <v>3130650.32</v>
      </c>
      <c r="P271" s="563"/>
      <c r="Q271" s="124">
        <v>0</v>
      </c>
      <c r="U271" s="122">
        <v>4590</v>
      </c>
      <c r="V271" s="121">
        <v>111533.16</v>
      </c>
      <c r="X271" s="121">
        <v>165445.81999999998</v>
      </c>
      <c r="Z271" s="122"/>
      <c r="AA271" s="121">
        <v>0</v>
      </c>
    </row>
    <row r="272" spans="1:27" x14ac:dyDescent="0.3">
      <c r="A272" s="125">
        <v>34002</v>
      </c>
      <c r="B272" s="19" t="s">
        <v>13</v>
      </c>
      <c r="C272" t="s">
        <v>1021</v>
      </c>
      <c r="D272" s="563">
        <v>3095.44</v>
      </c>
      <c r="E272" s="124">
        <v>14701175.49</v>
      </c>
      <c r="F272" s="563">
        <v>0</v>
      </c>
      <c r="G272" s="124">
        <v>39595688.310000002</v>
      </c>
      <c r="H272" s="124">
        <v>54299959.240000002</v>
      </c>
      <c r="I272" s="124">
        <v>0</v>
      </c>
      <c r="J272" s="372"/>
      <c r="K272" s="563">
        <v>0</v>
      </c>
      <c r="L272" s="124">
        <v>39595688.310000002</v>
      </c>
      <c r="N272" s="124">
        <v>14701175.49</v>
      </c>
      <c r="P272" s="563">
        <v>3095.44</v>
      </c>
      <c r="Q272" s="124">
        <v>0</v>
      </c>
      <c r="U272" s="122">
        <v>26768.880000000001</v>
      </c>
      <c r="V272" s="121">
        <v>1009876.99</v>
      </c>
      <c r="X272" s="121">
        <v>974801.94</v>
      </c>
      <c r="Z272" s="122">
        <v>0</v>
      </c>
      <c r="AA272" s="121">
        <v>0</v>
      </c>
    </row>
    <row r="273" spans="1:27" x14ac:dyDescent="0.3">
      <c r="A273" s="125">
        <v>34003</v>
      </c>
      <c r="B273" s="19" t="s">
        <v>13</v>
      </c>
      <c r="C273" t="s">
        <v>1125</v>
      </c>
      <c r="D273" s="563">
        <v>90153.36</v>
      </c>
      <c r="E273" s="124">
        <v>45287137.079999998</v>
      </c>
      <c r="F273" s="563">
        <v>209202.44</v>
      </c>
      <c r="G273" s="124">
        <v>126880172.27</v>
      </c>
      <c r="H273" s="124">
        <v>172466665.14999998</v>
      </c>
      <c r="I273" s="124">
        <v>0</v>
      </c>
      <c r="J273" s="372"/>
      <c r="K273" s="563">
        <v>209202.44</v>
      </c>
      <c r="L273" s="124">
        <v>126880172.27</v>
      </c>
      <c r="N273" s="124">
        <v>45287137.079999998</v>
      </c>
      <c r="P273" s="563">
        <v>90153.36</v>
      </c>
      <c r="Q273" s="124">
        <v>0</v>
      </c>
      <c r="U273" s="122">
        <v>110816.69</v>
      </c>
      <c r="V273" s="121">
        <v>2722280.3200000003</v>
      </c>
      <c r="X273" s="121">
        <v>3122872.57</v>
      </c>
      <c r="Z273" s="122">
        <v>0</v>
      </c>
      <c r="AA273" s="121">
        <v>0</v>
      </c>
    </row>
    <row r="274" spans="1:27" x14ac:dyDescent="0.3">
      <c r="A274" s="125">
        <v>34033</v>
      </c>
      <c r="B274" s="19" t="s">
        <v>13</v>
      </c>
      <c r="C274" t="s">
        <v>991</v>
      </c>
      <c r="D274" s="563">
        <v>9871.18</v>
      </c>
      <c r="E274" s="124">
        <v>19975288.059999999</v>
      </c>
      <c r="F274" s="563">
        <v>122714.98</v>
      </c>
      <c r="G274" s="124">
        <v>49342281.219999999</v>
      </c>
      <c r="H274" s="124">
        <v>69450155.439999998</v>
      </c>
      <c r="I274" s="124">
        <v>0</v>
      </c>
      <c r="J274" s="372"/>
      <c r="K274" s="563">
        <v>122714.98</v>
      </c>
      <c r="L274" s="124">
        <v>49342281.219999999</v>
      </c>
      <c r="N274" s="124">
        <v>19975288.059999999</v>
      </c>
      <c r="P274" s="563">
        <v>9871.18</v>
      </c>
      <c r="Q274" s="124">
        <v>0</v>
      </c>
      <c r="U274" s="122">
        <v>75923.78</v>
      </c>
      <c r="V274" s="121">
        <v>1926265.3499999999</v>
      </c>
      <c r="X274" s="121">
        <v>2018854.19</v>
      </c>
      <c r="Z274" s="122">
        <v>0</v>
      </c>
      <c r="AA274" s="121">
        <v>0</v>
      </c>
    </row>
    <row r="275" spans="1:27" x14ac:dyDescent="0.3">
      <c r="A275" s="125">
        <v>34111</v>
      </c>
      <c r="B275" s="19" t="s">
        <v>13</v>
      </c>
      <c r="C275" t="s">
        <v>904</v>
      </c>
      <c r="D275" s="563">
        <v>126008.43</v>
      </c>
      <c r="E275" s="124">
        <v>29428497.919999998</v>
      </c>
      <c r="F275" s="563">
        <v>0</v>
      </c>
      <c r="G275" s="124">
        <v>76814605.670000002</v>
      </c>
      <c r="H275" s="124">
        <v>106369112.02000001</v>
      </c>
      <c r="I275" s="124">
        <v>0</v>
      </c>
      <c r="J275" s="372"/>
      <c r="K275" s="563">
        <v>0</v>
      </c>
      <c r="L275" s="124">
        <v>76814605.670000002</v>
      </c>
      <c r="N275" s="124">
        <v>29428497.919999998</v>
      </c>
      <c r="P275" s="563">
        <v>126008.43</v>
      </c>
      <c r="Q275" s="124">
        <v>0</v>
      </c>
      <c r="U275" s="122">
        <v>138832.01</v>
      </c>
      <c r="V275" s="121">
        <v>1810687.99</v>
      </c>
      <c r="X275" s="121">
        <v>2019156.89</v>
      </c>
      <c r="Z275" s="122">
        <v>0</v>
      </c>
      <c r="AA275" s="121">
        <v>0</v>
      </c>
    </row>
    <row r="276" spans="1:27" x14ac:dyDescent="0.3">
      <c r="A276" s="125">
        <v>34307</v>
      </c>
      <c r="B276" s="19" t="s">
        <v>13</v>
      </c>
      <c r="C276" t="s">
        <v>935</v>
      </c>
      <c r="D276" s="563"/>
      <c r="E276" s="124">
        <v>2401986.2800000003</v>
      </c>
      <c r="F276" s="563">
        <v>0</v>
      </c>
      <c r="G276" s="124">
        <v>6607670.9199999999</v>
      </c>
      <c r="H276" s="124">
        <v>9009657.1999999993</v>
      </c>
      <c r="I276" s="124">
        <v>0</v>
      </c>
      <c r="J276" s="372"/>
      <c r="K276" s="563">
        <v>0</v>
      </c>
      <c r="L276" s="124">
        <v>6607670.9199999999</v>
      </c>
      <c r="N276" s="124">
        <v>2401986.2800000003</v>
      </c>
      <c r="P276" s="563"/>
      <c r="Q276" s="124">
        <v>0</v>
      </c>
      <c r="U276" s="122">
        <v>75918.86</v>
      </c>
      <c r="V276" s="121">
        <v>187985.13</v>
      </c>
      <c r="X276" s="121">
        <v>268707.60000000003</v>
      </c>
      <c r="Z276" s="122"/>
      <c r="AA276" s="121">
        <v>0</v>
      </c>
    </row>
    <row r="277" spans="1:27" x14ac:dyDescent="0.3">
      <c r="A277" s="125">
        <v>34324</v>
      </c>
      <c r="B277" s="19" t="s">
        <v>13</v>
      </c>
      <c r="C277" t="s">
        <v>826</v>
      </c>
      <c r="D277" s="563"/>
      <c r="E277" s="124">
        <v>2022678.91</v>
      </c>
      <c r="F277" s="563">
        <v>0</v>
      </c>
      <c r="G277" s="124">
        <v>4368619.92</v>
      </c>
      <c r="H277" s="124">
        <v>6391298.8300000001</v>
      </c>
      <c r="I277" s="124">
        <v>0</v>
      </c>
      <c r="J277" s="372"/>
      <c r="K277" s="563">
        <v>0</v>
      </c>
      <c r="L277" s="124">
        <v>4368619.92</v>
      </c>
      <c r="N277" s="124">
        <v>2022678.91</v>
      </c>
      <c r="P277" s="563"/>
      <c r="Q277" s="124">
        <v>0</v>
      </c>
      <c r="U277" s="122">
        <v>1199.99</v>
      </c>
      <c r="V277" s="121">
        <v>103874.63</v>
      </c>
      <c r="X277" s="121">
        <v>55577.73</v>
      </c>
      <c r="Z277" s="122"/>
      <c r="AA277" s="121">
        <v>0</v>
      </c>
    </row>
    <row r="278" spans="1:27" x14ac:dyDescent="0.3">
      <c r="A278" s="125">
        <v>34401</v>
      </c>
      <c r="B278" s="19" t="s">
        <v>13</v>
      </c>
      <c r="C278" t="s">
        <v>945</v>
      </c>
      <c r="D278" s="563"/>
      <c r="E278" s="124">
        <v>4195504.83</v>
      </c>
      <c r="F278" s="563"/>
      <c r="G278" s="124">
        <v>15580339.970000001</v>
      </c>
      <c r="H278" s="124">
        <v>19775844.800000001</v>
      </c>
      <c r="I278" s="124">
        <v>0</v>
      </c>
      <c r="J278" s="372"/>
      <c r="K278" s="563"/>
      <c r="L278" s="124">
        <v>15580339.970000001</v>
      </c>
      <c r="N278" s="124">
        <v>4195504.83</v>
      </c>
      <c r="P278" s="563"/>
      <c r="Q278" s="124">
        <v>0</v>
      </c>
      <c r="U278" s="122"/>
      <c r="V278" s="121">
        <v>162759.70000000001</v>
      </c>
      <c r="X278" s="121">
        <v>230457.56</v>
      </c>
      <c r="Z278" s="122"/>
      <c r="AA278" s="121">
        <v>0</v>
      </c>
    </row>
    <row r="279" spans="1:27" x14ac:dyDescent="0.3">
      <c r="A279" s="125">
        <v>34402</v>
      </c>
      <c r="B279" s="19" t="s">
        <v>13</v>
      </c>
      <c r="C279" t="s">
        <v>983</v>
      </c>
      <c r="D279" s="563"/>
      <c r="E279" s="124">
        <v>3236072.6</v>
      </c>
      <c r="F279" s="563"/>
      <c r="G279" s="124">
        <v>8247433.1099999994</v>
      </c>
      <c r="H279" s="124">
        <v>11483505.710000001</v>
      </c>
      <c r="I279" s="124">
        <v>0</v>
      </c>
      <c r="J279" s="372"/>
      <c r="K279" s="563"/>
      <c r="L279" s="124">
        <v>8247433.1099999994</v>
      </c>
      <c r="N279" s="124">
        <v>3236072.6</v>
      </c>
      <c r="P279" s="563"/>
      <c r="Q279" s="124">
        <v>0</v>
      </c>
      <c r="U279" s="122"/>
      <c r="V279" s="121">
        <v>250351.78</v>
      </c>
      <c r="X279" s="121">
        <v>307990.06</v>
      </c>
      <c r="Z279" s="122"/>
      <c r="AA279" s="121">
        <v>0</v>
      </c>
    </row>
    <row r="280" spans="1:27" x14ac:dyDescent="0.3">
      <c r="A280" s="125">
        <v>34801</v>
      </c>
      <c r="B280" s="19">
        <v>113</v>
      </c>
      <c r="C280" t="s">
        <v>799</v>
      </c>
      <c r="D280" s="563"/>
      <c r="E280" s="124">
        <v>23163121.5</v>
      </c>
      <c r="F280" s="563"/>
      <c r="G280" s="124">
        <v>8135606.4299999997</v>
      </c>
      <c r="H280" s="124">
        <v>31298727.93</v>
      </c>
      <c r="I280" s="124">
        <v>0</v>
      </c>
      <c r="J280" s="372"/>
      <c r="K280" s="563"/>
      <c r="L280" s="124">
        <v>8135606.4299999997</v>
      </c>
      <c r="N280" s="124">
        <v>23163121.5</v>
      </c>
      <c r="P280" s="563"/>
      <c r="Q280" s="124">
        <v>0</v>
      </c>
      <c r="U280" s="122"/>
      <c r="V280" s="121">
        <v>66849.38</v>
      </c>
      <c r="X280" s="121">
        <v>491915.88</v>
      </c>
      <c r="Z280" s="122"/>
      <c r="AA280" s="121">
        <v>0</v>
      </c>
    </row>
    <row r="281" spans="1:27" x14ac:dyDescent="0.3">
      <c r="A281" s="125">
        <v>35200</v>
      </c>
      <c r="B281" s="19" t="s">
        <v>34</v>
      </c>
      <c r="C281" t="s">
        <v>997</v>
      </c>
      <c r="D281" s="563"/>
      <c r="E281" s="124">
        <v>1110458</v>
      </c>
      <c r="F281" s="563"/>
      <c r="G281" s="124">
        <v>2354985.88</v>
      </c>
      <c r="H281" s="124">
        <v>3465443.88</v>
      </c>
      <c r="I281" s="124">
        <v>0</v>
      </c>
      <c r="J281" s="372"/>
      <c r="K281" s="563"/>
      <c r="L281" s="124">
        <v>2354985.88</v>
      </c>
      <c r="N281" s="124">
        <v>1110458</v>
      </c>
      <c r="P281" s="563"/>
      <c r="Q281" s="124">
        <v>0</v>
      </c>
      <c r="U281" s="122"/>
      <c r="V281" s="121">
        <v>184150.33000000002</v>
      </c>
      <c r="X281" s="121">
        <v>109251.66</v>
      </c>
      <c r="Z281" s="122"/>
      <c r="AA281" s="121">
        <v>0</v>
      </c>
    </row>
    <row r="282" spans="1:27" x14ac:dyDescent="0.3">
      <c r="A282" s="125">
        <v>36101</v>
      </c>
      <c r="B282" s="19" t="s">
        <v>26</v>
      </c>
      <c r="C282" t="s">
        <v>790</v>
      </c>
      <c r="D282" s="563"/>
      <c r="E282" s="124">
        <v>215439.82</v>
      </c>
      <c r="F282" s="563"/>
      <c r="G282" s="124">
        <v>187981.16999999998</v>
      </c>
      <c r="H282" s="124">
        <v>403420.99</v>
      </c>
      <c r="I282" s="124">
        <v>0</v>
      </c>
      <c r="J282" s="372"/>
      <c r="K282" s="563"/>
      <c r="L282" s="124">
        <v>187981.16999999998</v>
      </c>
      <c r="N282" s="124">
        <v>215439.82</v>
      </c>
      <c r="P282" s="563"/>
      <c r="Q282" s="124">
        <v>0</v>
      </c>
      <c r="U282" s="122"/>
      <c r="V282" s="121">
        <v>0</v>
      </c>
      <c r="X282" s="121">
        <v>19661.04</v>
      </c>
      <c r="Z282" s="122"/>
      <c r="AA282" s="121">
        <v>0</v>
      </c>
    </row>
    <row r="283" spans="1:27" x14ac:dyDescent="0.3">
      <c r="A283" s="125">
        <v>36140</v>
      </c>
      <c r="B283" s="19" t="s">
        <v>26</v>
      </c>
      <c r="C283" t="s">
        <v>1000</v>
      </c>
      <c r="D283" s="563">
        <v>39013.01</v>
      </c>
      <c r="E283" s="124">
        <v>15129886.27</v>
      </c>
      <c r="F283" s="563">
        <v>0</v>
      </c>
      <c r="G283" s="124">
        <v>39293820.049999997</v>
      </c>
      <c r="H283" s="124">
        <v>54462719.329999998</v>
      </c>
      <c r="I283" s="124">
        <v>0</v>
      </c>
      <c r="J283" s="372"/>
      <c r="K283" s="563">
        <v>0</v>
      </c>
      <c r="L283" s="124">
        <v>39293820.049999997</v>
      </c>
      <c r="N283" s="124">
        <v>15129886.27</v>
      </c>
      <c r="P283" s="563">
        <v>39013.01</v>
      </c>
      <c r="Q283" s="124">
        <v>0</v>
      </c>
      <c r="U283" s="122">
        <v>25616.33</v>
      </c>
      <c r="V283" s="121">
        <v>1824267.3499999999</v>
      </c>
      <c r="X283" s="121">
        <v>1313348.9700000002</v>
      </c>
      <c r="Z283" s="122">
        <v>0</v>
      </c>
      <c r="AA283" s="121">
        <v>0</v>
      </c>
    </row>
    <row r="284" spans="1:27" x14ac:dyDescent="0.3">
      <c r="A284" s="125">
        <v>36250</v>
      </c>
      <c r="B284" s="19" t="s">
        <v>26</v>
      </c>
      <c r="C284" t="s">
        <v>770</v>
      </c>
      <c r="D284" s="563"/>
      <c r="E284" s="124">
        <v>4248899.63</v>
      </c>
      <c r="F284" s="563">
        <v>0</v>
      </c>
      <c r="G284" s="124">
        <v>11180633.65</v>
      </c>
      <c r="H284" s="124">
        <v>15429533.280000001</v>
      </c>
      <c r="I284" s="124">
        <v>0</v>
      </c>
      <c r="J284" s="372"/>
      <c r="K284" s="563">
        <v>0</v>
      </c>
      <c r="L284" s="124">
        <v>11180633.65</v>
      </c>
      <c r="N284" s="124">
        <v>4248899.63</v>
      </c>
      <c r="P284" s="563"/>
      <c r="Q284" s="124">
        <v>0</v>
      </c>
      <c r="U284" s="122">
        <v>13217.75</v>
      </c>
      <c r="V284" s="121">
        <v>309664.46000000002</v>
      </c>
      <c r="X284" s="121">
        <v>401504.78</v>
      </c>
      <c r="Z284" s="122"/>
      <c r="AA284" s="121">
        <v>0</v>
      </c>
    </row>
    <row r="285" spans="1:27" x14ac:dyDescent="0.3">
      <c r="A285" s="125">
        <v>36300</v>
      </c>
      <c r="B285" s="19" t="s">
        <v>26</v>
      </c>
      <c r="C285" t="s">
        <v>988</v>
      </c>
      <c r="D285" s="563"/>
      <c r="E285" s="124">
        <v>481867.55</v>
      </c>
      <c r="F285" s="563"/>
      <c r="G285" s="124">
        <v>1838566.64</v>
      </c>
      <c r="H285" s="124">
        <v>2320434.19</v>
      </c>
      <c r="I285" s="124">
        <v>0</v>
      </c>
      <c r="J285" s="372"/>
      <c r="K285" s="563"/>
      <c r="L285" s="124">
        <v>1838566.64</v>
      </c>
      <c r="N285" s="124">
        <v>481867.55</v>
      </c>
      <c r="P285" s="563"/>
      <c r="Q285" s="124">
        <v>0</v>
      </c>
      <c r="U285" s="122"/>
      <c r="V285" s="121">
        <v>14028.83</v>
      </c>
      <c r="X285" s="121">
        <v>130082.18</v>
      </c>
      <c r="Z285" s="122"/>
      <c r="AA285" s="121">
        <v>0</v>
      </c>
    </row>
    <row r="286" spans="1:27" x14ac:dyDescent="0.3">
      <c r="A286" s="125">
        <v>36400</v>
      </c>
      <c r="B286" s="19" t="s">
        <v>26</v>
      </c>
      <c r="C286" t="s">
        <v>773</v>
      </c>
      <c r="D286" s="563">
        <v>43702.49</v>
      </c>
      <c r="E286" s="124">
        <v>2141193.2000000002</v>
      </c>
      <c r="F286" s="563">
        <v>0</v>
      </c>
      <c r="G286" s="124">
        <v>6214572.3300000001</v>
      </c>
      <c r="H286" s="124">
        <v>8399468.0199999996</v>
      </c>
      <c r="I286" s="124">
        <v>0</v>
      </c>
      <c r="J286" s="372"/>
      <c r="K286" s="563">
        <v>0</v>
      </c>
      <c r="L286" s="124">
        <v>6214572.3300000001</v>
      </c>
      <c r="N286" s="124">
        <v>2141193.2000000002</v>
      </c>
      <c r="P286" s="563">
        <v>43702.49</v>
      </c>
      <c r="Q286" s="124">
        <v>0</v>
      </c>
      <c r="U286" s="122">
        <v>1275</v>
      </c>
      <c r="V286" s="121">
        <v>76945.73000000001</v>
      </c>
      <c r="X286" s="121">
        <v>215357.94</v>
      </c>
      <c r="Z286" s="122">
        <v>0</v>
      </c>
      <c r="AA286" s="121">
        <v>0</v>
      </c>
    </row>
    <row r="287" spans="1:27" x14ac:dyDescent="0.3">
      <c r="A287" s="125">
        <v>36401</v>
      </c>
      <c r="B287" s="19" t="s">
        <v>26</v>
      </c>
      <c r="C287" t="s">
        <v>999</v>
      </c>
      <c r="D287" s="563"/>
      <c r="E287" s="124">
        <v>938061.71</v>
      </c>
      <c r="F287" s="563"/>
      <c r="G287" s="124">
        <v>1628658.8599999999</v>
      </c>
      <c r="H287" s="124">
        <v>2566720.5699999998</v>
      </c>
      <c r="I287" s="124">
        <v>0</v>
      </c>
      <c r="J287" s="372"/>
      <c r="K287" s="563"/>
      <c r="L287" s="124">
        <v>1628658.8599999999</v>
      </c>
      <c r="N287" s="124">
        <v>938061.71</v>
      </c>
      <c r="P287" s="563"/>
      <c r="Q287" s="124">
        <v>0</v>
      </c>
      <c r="U287" s="122"/>
      <c r="V287" s="121">
        <v>150018.64000000001</v>
      </c>
      <c r="X287" s="121">
        <v>86493.91</v>
      </c>
      <c r="Z287" s="122"/>
      <c r="AA287" s="121">
        <v>0</v>
      </c>
    </row>
    <row r="288" spans="1:27" x14ac:dyDescent="0.3">
      <c r="A288" s="125">
        <v>36402</v>
      </c>
      <c r="B288" s="19" t="s">
        <v>26</v>
      </c>
      <c r="C288" t="s">
        <v>926</v>
      </c>
      <c r="D288" s="563"/>
      <c r="E288" s="124">
        <v>1136448.83</v>
      </c>
      <c r="F288" s="563">
        <v>0</v>
      </c>
      <c r="G288" s="124">
        <v>2810395.54</v>
      </c>
      <c r="H288" s="124">
        <v>3946844.37</v>
      </c>
      <c r="I288" s="124">
        <v>0</v>
      </c>
      <c r="J288" s="372"/>
      <c r="K288" s="563">
        <v>0</v>
      </c>
      <c r="L288" s="124">
        <v>2810395.54</v>
      </c>
      <c r="N288" s="124">
        <v>1136448.83</v>
      </c>
      <c r="P288" s="563"/>
      <c r="Q288" s="124">
        <v>0</v>
      </c>
      <c r="U288" s="122">
        <v>12818.68</v>
      </c>
      <c r="V288" s="121">
        <v>-90689.58</v>
      </c>
      <c r="X288" s="121">
        <v>167336.07</v>
      </c>
      <c r="Z288" s="122"/>
      <c r="AA288" s="121">
        <v>0</v>
      </c>
    </row>
    <row r="289" spans="1:27" x14ac:dyDescent="0.3">
      <c r="A289" s="125">
        <v>37501</v>
      </c>
      <c r="B289" s="19" t="s">
        <v>21</v>
      </c>
      <c r="C289" t="s">
        <v>741</v>
      </c>
      <c r="D289" s="563"/>
      <c r="E289" s="124">
        <v>38645707.239999995</v>
      </c>
      <c r="F289" s="563"/>
      <c r="G289" s="124">
        <v>104398657.97</v>
      </c>
      <c r="H289" s="124">
        <v>143044365.21000001</v>
      </c>
      <c r="I289" s="124">
        <v>0</v>
      </c>
      <c r="J289" s="372"/>
      <c r="K289" s="563"/>
      <c r="L289" s="124">
        <v>104398657.97</v>
      </c>
      <c r="N289" s="124">
        <v>38645707.239999995</v>
      </c>
      <c r="P289" s="563"/>
      <c r="Q289" s="124">
        <v>0</v>
      </c>
      <c r="U289" s="122"/>
      <c r="V289" s="121">
        <v>2308211.91</v>
      </c>
      <c r="X289" s="121">
        <v>3776478.76</v>
      </c>
      <c r="Z289" s="122"/>
      <c r="AA289" s="121">
        <v>0</v>
      </c>
    </row>
    <row r="290" spans="1:27" x14ac:dyDescent="0.3">
      <c r="A290" s="125">
        <v>37502</v>
      </c>
      <c r="B290" s="19" t="s">
        <v>21</v>
      </c>
      <c r="C290" t="s">
        <v>1221</v>
      </c>
      <c r="D290" s="563"/>
      <c r="E290" s="124">
        <v>14249244.039999999</v>
      </c>
      <c r="F290" s="563">
        <v>21365.88</v>
      </c>
      <c r="G290" s="124">
        <v>35427403.590000004</v>
      </c>
      <c r="H290" s="124">
        <v>49698013.509999998</v>
      </c>
      <c r="I290" s="124">
        <v>0</v>
      </c>
      <c r="J290" s="372"/>
      <c r="K290" s="563">
        <v>21365.88</v>
      </c>
      <c r="L290" s="124">
        <v>35427403.590000004</v>
      </c>
      <c r="N290" s="124">
        <v>14249244.039999999</v>
      </c>
      <c r="P290" s="563"/>
      <c r="Q290" s="124">
        <v>0</v>
      </c>
      <c r="U290" s="122">
        <v>4173</v>
      </c>
      <c r="V290" s="121">
        <v>746533.35</v>
      </c>
      <c r="X290" s="121">
        <v>1250989.4400000002</v>
      </c>
      <c r="Z290" s="122"/>
      <c r="AA290" s="121">
        <v>0</v>
      </c>
    </row>
    <row r="291" spans="1:27" x14ac:dyDescent="0.3">
      <c r="A291" s="125">
        <v>37503</v>
      </c>
      <c r="B291" s="19" t="s">
        <v>21</v>
      </c>
      <c r="C291" t="s">
        <v>745</v>
      </c>
      <c r="D291" s="563"/>
      <c r="E291" s="124">
        <v>6705509.0800000001</v>
      </c>
      <c r="F291" s="563">
        <v>0</v>
      </c>
      <c r="G291" s="124">
        <v>18212420.560000002</v>
      </c>
      <c r="H291" s="124">
        <v>24917929.640000001</v>
      </c>
      <c r="I291" s="124">
        <v>0</v>
      </c>
      <c r="J291" s="372"/>
      <c r="K291" s="563">
        <v>0</v>
      </c>
      <c r="L291" s="124">
        <v>18212420.560000002</v>
      </c>
      <c r="N291" s="124">
        <v>6705509.0800000001</v>
      </c>
      <c r="P291" s="563"/>
      <c r="Q291" s="124">
        <v>0</v>
      </c>
      <c r="U291" s="122">
        <v>6270.27</v>
      </c>
      <c r="V291" s="121">
        <v>558352.95000000007</v>
      </c>
      <c r="X291" s="121">
        <v>862899.09</v>
      </c>
      <c r="Z291" s="122"/>
      <c r="AA291" s="121">
        <v>0</v>
      </c>
    </row>
    <row r="292" spans="1:27" x14ac:dyDescent="0.3">
      <c r="A292" s="125">
        <v>37504</v>
      </c>
      <c r="B292" s="19" t="s">
        <v>21</v>
      </c>
      <c r="C292" t="s">
        <v>859</v>
      </c>
      <c r="D292" s="563"/>
      <c r="E292" s="124">
        <v>9304029</v>
      </c>
      <c r="F292" s="563">
        <v>0</v>
      </c>
      <c r="G292" s="124">
        <v>26767055.899999999</v>
      </c>
      <c r="H292" s="124">
        <v>36071084.900000006</v>
      </c>
      <c r="I292" s="124">
        <v>0</v>
      </c>
      <c r="J292" s="372"/>
      <c r="K292" s="563">
        <v>0</v>
      </c>
      <c r="L292" s="124">
        <v>26767055.899999999</v>
      </c>
      <c r="N292" s="124">
        <v>9304029</v>
      </c>
      <c r="P292" s="563"/>
      <c r="Q292" s="124">
        <v>0</v>
      </c>
      <c r="U292" s="122">
        <v>7310</v>
      </c>
      <c r="V292" s="121">
        <v>633801.89</v>
      </c>
      <c r="X292" s="121">
        <v>1026527.9099999999</v>
      </c>
      <c r="Z292" s="122"/>
      <c r="AA292" s="121">
        <v>0</v>
      </c>
    </row>
    <row r="293" spans="1:27" x14ac:dyDescent="0.3">
      <c r="A293" s="125">
        <v>37505</v>
      </c>
      <c r="B293" s="19" t="s">
        <v>21</v>
      </c>
      <c r="C293" t="s">
        <v>870</v>
      </c>
      <c r="D293" s="563"/>
      <c r="E293" s="124">
        <v>5653974.0999999996</v>
      </c>
      <c r="F293" s="563">
        <v>0</v>
      </c>
      <c r="G293" s="124">
        <v>13932630.190000001</v>
      </c>
      <c r="H293" s="124">
        <v>19586604.289999999</v>
      </c>
      <c r="I293" s="124">
        <v>0</v>
      </c>
      <c r="J293" s="372"/>
      <c r="K293" s="563">
        <v>0</v>
      </c>
      <c r="L293" s="124">
        <v>13932630.190000001</v>
      </c>
      <c r="N293" s="124">
        <v>5653974.0999999996</v>
      </c>
      <c r="P293" s="563"/>
      <c r="Q293" s="124">
        <v>0</v>
      </c>
      <c r="U293" s="122">
        <v>1137.5</v>
      </c>
      <c r="V293" s="121">
        <v>468753.08</v>
      </c>
      <c r="X293" s="121">
        <v>592607.41999999993</v>
      </c>
      <c r="Z293" s="122"/>
      <c r="AA293" s="121">
        <v>0</v>
      </c>
    </row>
    <row r="294" spans="1:27" x14ac:dyDescent="0.3">
      <c r="A294" s="125">
        <v>37506</v>
      </c>
      <c r="B294" s="19" t="s">
        <v>21</v>
      </c>
      <c r="C294" t="s">
        <v>890</v>
      </c>
      <c r="D294" s="563"/>
      <c r="E294" s="124">
        <v>5901049.6200000001</v>
      </c>
      <c r="F294" s="563"/>
      <c r="G294" s="124">
        <v>15417090.720000001</v>
      </c>
      <c r="H294" s="124">
        <v>21318140.34</v>
      </c>
      <c r="I294" s="124">
        <v>0</v>
      </c>
      <c r="J294" s="372"/>
      <c r="K294" s="563"/>
      <c r="L294" s="124">
        <v>15417090.720000001</v>
      </c>
      <c r="N294" s="124">
        <v>5901049.6200000001</v>
      </c>
      <c r="P294" s="563"/>
      <c r="Q294" s="124">
        <v>0</v>
      </c>
      <c r="U294" s="122"/>
      <c r="V294" s="121">
        <v>594983.9</v>
      </c>
      <c r="X294" s="121">
        <v>843370.26</v>
      </c>
      <c r="Z294" s="122"/>
      <c r="AA294" s="121">
        <v>0</v>
      </c>
    </row>
    <row r="295" spans="1:27" x14ac:dyDescent="0.3">
      <c r="A295" s="125">
        <v>37507</v>
      </c>
      <c r="B295" s="19" t="s">
        <v>21</v>
      </c>
      <c r="C295" t="s">
        <v>879</v>
      </c>
      <c r="D295" s="563"/>
      <c r="E295" s="124">
        <v>5797927.2999999998</v>
      </c>
      <c r="F295" s="563">
        <v>0</v>
      </c>
      <c r="G295" s="124">
        <v>13702240.630000001</v>
      </c>
      <c r="H295" s="124">
        <v>19500167.93</v>
      </c>
      <c r="I295" s="124">
        <v>0</v>
      </c>
      <c r="J295" s="372"/>
      <c r="K295" s="563">
        <v>0</v>
      </c>
      <c r="L295" s="124">
        <v>13702240.630000001</v>
      </c>
      <c r="N295" s="124">
        <v>5797927.2999999998</v>
      </c>
      <c r="P295" s="563"/>
      <c r="Q295" s="124">
        <v>0</v>
      </c>
      <c r="U295" s="122">
        <v>3360.4</v>
      </c>
      <c r="V295" s="121">
        <v>248075.87</v>
      </c>
      <c r="X295" s="121">
        <v>684034.91</v>
      </c>
      <c r="Z295" s="122"/>
      <c r="AA295" s="121">
        <v>0</v>
      </c>
    </row>
    <row r="296" spans="1:27" x14ac:dyDescent="0.3">
      <c r="A296" s="125">
        <v>37902</v>
      </c>
      <c r="B296" s="19" t="s">
        <v>1039</v>
      </c>
      <c r="C296" t="s">
        <v>1222</v>
      </c>
      <c r="D296" s="563"/>
      <c r="E296" s="124">
        <v>162812.56</v>
      </c>
      <c r="F296" s="563"/>
      <c r="G296" s="124">
        <v>756849.16</v>
      </c>
      <c r="H296" s="124">
        <v>919661.72000000009</v>
      </c>
      <c r="I296" s="124">
        <v>0</v>
      </c>
      <c r="J296" s="372"/>
      <c r="K296" s="563"/>
      <c r="L296" s="124">
        <v>756849.16</v>
      </c>
      <c r="N296" s="124">
        <v>162812.56</v>
      </c>
      <c r="P296" s="563"/>
      <c r="Q296" s="124">
        <v>0</v>
      </c>
      <c r="U296" s="122"/>
      <c r="V296" s="121">
        <v>20178.330000000002</v>
      </c>
      <c r="X296" s="121">
        <v>45152.1</v>
      </c>
      <c r="Z296" s="122"/>
      <c r="AA296" s="121">
        <v>0</v>
      </c>
    </row>
    <row r="297" spans="1:27" x14ac:dyDescent="0.3">
      <c r="A297" s="125">
        <v>38126</v>
      </c>
      <c r="B297" s="19" t="s">
        <v>18</v>
      </c>
      <c r="C297" t="s">
        <v>1057</v>
      </c>
      <c r="D297" s="563"/>
      <c r="E297" s="124">
        <v>524553.32000000007</v>
      </c>
      <c r="F297" s="563">
        <v>0</v>
      </c>
      <c r="G297" s="124">
        <v>1053160.92</v>
      </c>
      <c r="H297" s="124">
        <v>1577714.2400000002</v>
      </c>
      <c r="I297" s="124">
        <v>0</v>
      </c>
      <c r="J297" s="372"/>
      <c r="K297" s="563">
        <v>0</v>
      </c>
      <c r="L297" s="124">
        <v>1053160.92</v>
      </c>
      <c r="N297" s="124">
        <v>524553.32000000007</v>
      </c>
      <c r="P297" s="563"/>
      <c r="Q297" s="124">
        <v>0</v>
      </c>
      <c r="U297" s="122">
        <v>85065.67</v>
      </c>
      <c r="V297" s="121">
        <v>55348.03</v>
      </c>
      <c r="X297" s="121">
        <v>32061.17</v>
      </c>
      <c r="Z297" s="122"/>
      <c r="AA297" s="121">
        <v>0</v>
      </c>
    </row>
    <row r="298" spans="1:27" x14ac:dyDescent="0.3">
      <c r="A298" s="125">
        <v>38264</v>
      </c>
      <c r="B298" s="19" t="s">
        <v>18</v>
      </c>
      <c r="C298" t="s">
        <v>852</v>
      </c>
      <c r="D298" s="563"/>
      <c r="E298" s="124">
        <v>156652.46000000002</v>
      </c>
      <c r="F298" s="563">
        <v>0</v>
      </c>
      <c r="G298" s="124">
        <v>487691.05</v>
      </c>
      <c r="H298" s="124">
        <v>644343.51</v>
      </c>
      <c r="I298" s="124">
        <v>0</v>
      </c>
      <c r="J298" s="372"/>
      <c r="K298" s="563">
        <v>0</v>
      </c>
      <c r="L298" s="124">
        <v>487691.05</v>
      </c>
      <c r="N298" s="124">
        <v>156652.46000000002</v>
      </c>
      <c r="P298" s="563"/>
      <c r="Q298" s="124">
        <v>0</v>
      </c>
      <c r="U298" s="122">
        <v>450</v>
      </c>
      <c r="V298" s="121">
        <v>11850</v>
      </c>
      <c r="X298" s="121">
        <v>19285.13</v>
      </c>
      <c r="Z298" s="122"/>
      <c r="AA298" s="121">
        <v>0</v>
      </c>
    </row>
    <row r="299" spans="1:27" x14ac:dyDescent="0.3">
      <c r="A299" s="125">
        <v>38265</v>
      </c>
      <c r="B299" s="19" t="s">
        <v>18</v>
      </c>
      <c r="C299" t="s">
        <v>982</v>
      </c>
      <c r="D299" s="563"/>
      <c r="E299" s="124">
        <v>645218.86</v>
      </c>
      <c r="F299" s="563">
        <v>0</v>
      </c>
      <c r="G299" s="124">
        <v>1660803.0799999998</v>
      </c>
      <c r="H299" s="124">
        <v>2306021.94</v>
      </c>
      <c r="I299" s="124">
        <v>0</v>
      </c>
      <c r="J299" s="372"/>
      <c r="K299" s="563">
        <v>0</v>
      </c>
      <c r="L299" s="124">
        <v>1660803.0799999998</v>
      </c>
      <c r="N299" s="124">
        <v>645218.86</v>
      </c>
      <c r="P299" s="563"/>
      <c r="Q299" s="124">
        <v>0</v>
      </c>
      <c r="U299" s="122">
        <v>982.5</v>
      </c>
      <c r="V299" s="121">
        <v>9672.27</v>
      </c>
      <c r="X299" s="121">
        <v>110314.6</v>
      </c>
      <c r="Z299" s="122"/>
      <c r="AA299" s="121">
        <v>0</v>
      </c>
    </row>
    <row r="300" spans="1:27" x14ac:dyDescent="0.3">
      <c r="A300" s="125">
        <v>38267</v>
      </c>
      <c r="B300" s="19" t="s">
        <v>18</v>
      </c>
      <c r="C300" t="s">
        <v>928</v>
      </c>
      <c r="D300" s="563"/>
      <c r="E300" s="124">
        <v>6668275.7699999996</v>
      </c>
      <c r="F300" s="563">
        <v>0</v>
      </c>
      <c r="G300" s="124">
        <v>19439955.059999999</v>
      </c>
      <c r="H300" s="124">
        <v>26108230.829999998</v>
      </c>
      <c r="I300" s="124">
        <v>0</v>
      </c>
      <c r="J300" s="372"/>
      <c r="K300" s="563">
        <v>0</v>
      </c>
      <c r="L300" s="124">
        <v>19439955.059999999</v>
      </c>
      <c r="N300" s="124">
        <v>6668275.7699999996</v>
      </c>
      <c r="P300" s="563"/>
      <c r="Q300" s="124">
        <v>0</v>
      </c>
      <c r="U300" s="122">
        <v>19125</v>
      </c>
      <c r="V300" s="121">
        <v>494334.53</v>
      </c>
      <c r="X300" s="121">
        <v>484989.74000000005</v>
      </c>
      <c r="Z300" s="122"/>
      <c r="AA300" s="121">
        <v>0</v>
      </c>
    </row>
    <row r="301" spans="1:27" x14ac:dyDescent="0.3">
      <c r="A301" s="125">
        <v>38300</v>
      </c>
      <c r="B301" s="19" t="s">
        <v>18</v>
      </c>
      <c r="C301" t="s">
        <v>769</v>
      </c>
      <c r="D301" s="563"/>
      <c r="E301" s="124">
        <v>1377315.77</v>
      </c>
      <c r="F301" s="563"/>
      <c r="G301" s="124">
        <v>3761514.0199999996</v>
      </c>
      <c r="H301" s="124">
        <v>5138829.79</v>
      </c>
      <c r="I301" s="124">
        <v>0</v>
      </c>
      <c r="J301" s="372"/>
      <c r="K301" s="563"/>
      <c r="L301" s="124">
        <v>3761514.0199999996</v>
      </c>
      <c r="N301" s="124">
        <v>1377315.77</v>
      </c>
      <c r="P301" s="563"/>
      <c r="Q301" s="124">
        <v>0</v>
      </c>
      <c r="U301" s="122"/>
      <c r="V301" s="121">
        <v>64357.67</v>
      </c>
      <c r="X301" s="121">
        <v>187423.54</v>
      </c>
      <c r="Z301" s="122"/>
      <c r="AA301" s="121">
        <v>0</v>
      </c>
    </row>
    <row r="302" spans="1:27" x14ac:dyDescent="0.3">
      <c r="A302" s="125">
        <v>38301</v>
      </c>
      <c r="B302" s="19" t="s">
        <v>18</v>
      </c>
      <c r="C302" t="s">
        <v>916</v>
      </c>
      <c r="D302" s="563"/>
      <c r="E302" s="124">
        <v>506866.77999999997</v>
      </c>
      <c r="F302" s="563">
        <v>0</v>
      </c>
      <c r="G302" s="124">
        <v>1747974.37</v>
      </c>
      <c r="H302" s="124">
        <v>2254841.15</v>
      </c>
      <c r="I302" s="124">
        <v>0</v>
      </c>
      <c r="J302" s="372"/>
      <c r="K302" s="563">
        <v>0</v>
      </c>
      <c r="L302" s="124">
        <v>1747974.37</v>
      </c>
      <c r="N302" s="124">
        <v>506866.77999999997</v>
      </c>
      <c r="P302" s="563"/>
      <c r="Q302" s="124">
        <v>0</v>
      </c>
      <c r="U302" s="122">
        <v>7897.5</v>
      </c>
      <c r="V302" s="121">
        <v>82346.070000000007</v>
      </c>
      <c r="X302" s="121">
        <v>56574.96</v>
      </c>
      <c r="Z302" s="122"/>
      <c r="AA302" s="121">
        <v>0</v>
      </c>
    </row>
    <row r="303" spans="1:27" x14ac:dyDescent="0.3">
      <c r="A303" s="125">
        <v>38302</v>
      </c>
      <c r="B303" s="19" t="s">
        <v>18</v>
      </c>
      <c r="C303" t="s">
        <v>816</v>
      </c>
      <c r="D303" s="563"/>
      <c r="E303" s="124">
        <v>593798.90999999992</v>
      </c>
      <c r="F303" s="563">
        <v>0</v>
      </c>
      <c r="G303" s="124">
        <v>1177517.51</v>
      </c>
      <c r="H303" s="124">
        <v>1771316.42</v>
      </c>
      <c r="I303" s="124">
        <v>0</v>
      </c>
      <c r="J303" s="372"/>
      <c r="K303" s="563">
        <v>0</v>
      </c>
      <c r="L303" s="124">
        <v>1177517.51</v>
      </c>
      <c r="N303" s="124">
        <v>593798.90999999992</v>
      </c>
      <c r="P303" s="563"/>
      <c r="Q303" s="124">
        <v>0</v>
      </c>
      <c r="U303" s="122">
        <v>5737.5</v>
      </c>
      <c r="V303" s="121">
        <v>22241.5</v>
      </c>
      <c r="X303" s="121">
        <v>97905.09</v>
      </c>
      <c r="Z303" s="122"/>
      <c r="AA303" s="121">
        <v>0</v>
      </c>
    </row>
    <row r="304" spans="1:27" x14ac:dyDescent="0.3">
      <c r="A304" s="125">
        <v>38304</v>
      </c>
      <c r="B304" s="19" t="s">
        <v>18</v>
      </c>
      <c r="C304" t="s">
        <v>974</v>
      </c>
      <c r="D304" s="563"/>
      <c r="E304" s="124">
        <v>107591.19</v>
      </c>
      <c r="F304" s="563"/>
      <c r="G304" s="124">
        <v>405306.7</v>
      </c>
      <c r="H304" s="124">
        <v>512897.89</v>
      </c>
      <c r="I304" s="124">
        <v>0</v>
      </c>
      <c r="J304" s="372"/>
      <c r="K304" s="563"/>
      <c r="L304" s="124">
        <v>405306.7</v>
      </c>
      <c r="N304" s="124">
        <v>107591.19</v>
      </c>
      <c r="P304" s="563"/>
      <c r="Q304" s="124">
        <v>0</v>
      </c>
      <c r="U304" s="122"/>
      <c r="V304" s="121">
        <v>4972.8</v>
      </c>
      <c r="X304" s="121">
        <v>17456.71</v>
      </c>
      <c r="Z304" s="122"/>
      <c r="AA304" s="121">
        <v>0</v>
      </c>
    </row>
    <row r="305" spans="1:27" x14ac:dyDescent="0.3">
      <c r="A305" s="125">
        <v>38306</v>
      </c>
      <c r="B305" s="19" t="s">
        <v>18</v>
      </c>
      <c r="C305" t="s">
        <v>771</v>
      </c>
      <c r="D305" s="563"/>
      <c r="E305" s="124">
        <v>575139</v>
      </c>
      <c r="F305" s="563">
        <v>0</v>
      </c>
      <c r="G305" s="124">
        <v>1427979.53</v>
      </c>
      <c r="H305" s="124">
        <v>2003118.53</v>
      </c>
      <c r="I305" s="124">
        <v>0</v>
      </c>
      <c r="J305" s="372"/>
      <c r="K305" s="563">
        <v>0</v>
      </c>
      <c r="L305" s="124">
        <v>1427979.53</v>
      </c>
      <c r="N305" s="124">
        <v>575139</v>
      </c>
      <c r="P305" s="563"/>
      <c r="Q305" s="124">
        <v>0</v>
      </c>
      <c r="U305" s="122">
        <v>1575</v>
      </c>
      <c r="V305" s="121">
        <v>21615</v>
      </c>
      <c r="X305" s="121">
        <v>93272.960000000006</v>
      </c>
      <c r="Z305" s="122"/>
      <c r="AA305" s="121">
        <v>0</v>
      </c>
    </row>
    <row r="306" spans="1:27" x14ac:dyDescent="0.3">
      <c r="A306" s="125">
        <v>38308</v>
      </c>
      <c r="B306" s="19" t="s">
        <v>18</v>
      </c>
      <c r="C306" t="s">
        <v>803</v>
      </c>
      <c r="D306" s="563"/>
      <c r="E306" s="124">
        <v>479312.91000000003</v>
      </c>
      <c r="F306" s="563"/>
      <c r="G306" s="124">
        <v>1200831.8199999998</v>
      </c>
      <c r="H306" s="124">
        <v>1680144.73</v>
      </c>
      <c r="I306" s="124">
        <v>0</v>
      </c>
      <c r="J306" s="372"/>
      <c r="K306" s="563"/>
      <c r="L306" s="124">
        <v>1200831.8199999998</v>
      </c>
      <c r="N306" s="124">
        <v>479312.91000000003</v>
      </c>
      <c r="P306" s="563"/>
      <c r="Q306" s="124">
        <v>0</v>
      </c>
      <c r="U306" s="122"/>
      <c r="V306" s="121">
        <v>27050.49</v>
      </c>
      <c r="X306" s="121">
        <v>54937.919999999998</v>
      </c>
      <c r="Z306" s="122"/>
      <c r="AA306" s="121">
        <v>0</v>
      </c>
    </row>
    <row r="307" spans="1:27" x14ac:dyDescent="0.3">
      <c r="A307" s="125">
        <v>38320</v>
      </c>
      <c r="B307" s="19" t="s">
        <v>18</v>
      </c>
      <c r="C307" t="s">
        <v>947</v>
      </c>
      <c r="D307" s="563"/>
      <c r="E307" s="124">
        <v>738831.03</v>
      </c>
      <c r="F307" s="563"/>
      <c r="G307" s="124">
        <v>1678643.5</v>
      </c>
      <c r="H307" s="124">
        <v>2417474.5300000003</v>
      </c>
      <c r="I307" s="124">
        <v>0</v>
      </c>
      <c r="J307" s="372"/>
      <c r="K307" s="563"/>
      <c r="L307" s="124">
        <v>1678643.5</v>
      </c>
      <c r="N307" s="124">
        <v>738831.03</v>
      </c>
      <c r="P307" s="563"/>
      <c r="Q307" s="124">
        <v>0</v>
      </c>
      <c r="U307" s="122"/>
      <c r="V307" s="121">
        <v>22115.48</v>
      </c>
      <c r="X307" s="121">
        <v>88430.83</v>
      </c>
      <c r="Z307" s="122"/>
      <c r="AA307" s="121">
        <v>0</v>
      </c>
    </row>
    <row r="308" spans="1:27" x14ac:dyDescent="0.3">
      <c r="A308" s="125">
        <v>38322</v>
      </c>
      <c r="B308" s="19" t="s">
        <v>18</v>
      </c>
      <c r="C308" t="s">
        <v>970</v>
      </c>
      <c r="D308" s="563">
        <v>23645.02</v>
      </c>
      <c r="E308" s="124">
        <v>470405.64</v>
      </c>
      <c r="F308" s="563">
        <v>0</v>
      </c>
      <c r="G308" s="124">
        <v>1020763.6599999999</v>
      </c>
      <c r="H308" s="124">
        <v>1514814.32</v>
      </c>
      <c r="I308" s="124">
        <v>0</v>
      </c>
      <c r="J308" s="372"/>
      <c r="K308" s="563">
        <v>0</v>
      </c>
      <c r="L308" s="124">
        <v>1020763.6599999999</v>
      </c>
      <c r="N308" s="124">
        <v>470405.64</v>
      </c>
      <c r="P308" s="563">
        <v>23645.02</v>
      </c>
      <c r="Q308" s="124">
        <v>0</v>
      </c>
      <c r="U308" s="122">
        <v>227012.24</v>
      </c>
      <c r="V308" s="121">
        <v>51053.79</v>
      </c>
      <c r="X308" s="121">
        <v>118092.5</v>
      </c>
      <c r="Z308" s="122">
        <v>0</v>
      </c>
      <c r="AA308" s="121">
        <v>0</v>
      </c>
    </row>
    <row r="309" spans="1:27" x14ac:dyDescent="0.3">
      <c r="A309" s="125">
        <v>38324</v>
      </c>
      <c r="B309" s="19" t="s">
        <v>18</v>
      </c>
      <c r="C309" t="s">
        <v>898</v>
      </c>
      <c r="D309" s="563"/>
      <c r="E309" s="124">
        <v>768316.02</v>
      </c>
      <c r="F309" s="563">
        <v>49924.36</v>
      </c>
      <c r="G309" s="124">
        <v>1134586.33</v>
      </c>
      <c r="H309" s="124">
        <v>1952826.71</v>
      </c>
      <c r="I309" s="124">
        <v>0</v>
      </c>
      <c r="J309" s="372"/>
      <c r="K309" s="563">
        <v>49924.36</v>
      </c>
      <c r="L309" s="124">
        <v>1134586.33</v>
      </c>
      <c r="N309" s="124">
        <v>768316.02</v>
      </c>
      <c r="P309" s="563"/>
      <c r="Q309" s="124">
        <v>0</v>
      </c>
      <c r="U309" s="122">
        <v>16704.32</v>
      </c>
      <c r="V309" s="121">
        <v>35863.71</v>
      </c>
      <c r="X309" s="121">
        <v>100179.22</v>
      </c>
      <c r="Z309" s="122"/>
      <c r="AA309" s="121">
        <v>0</v>
      </c>
    </row>
    <row r="310" spans="1:27" x14ac:dyDescent="0.3">
      <c r="A310" s="125">
        <v>38901</v>
      </c>
      <c r="B310" s="19" t="s">
        <v>1039</v>
      </c>
      <c r="C310" t="s">
        <v>1223</v>
      </c>
      <c r="D310" s="563"/>
      <c r="E310" s="124">
        <v>68530.06</v>
      </c>
      <c r="F310" s="563"/>
      <c r="G310" s="124">
        <v>111488.78</v>
      </c>
      <c r="H310" s="124">
        <v>180018.84000000003</v>
      </c>
      <c r="I310" s="124">
        <v>0</v>
      </c>
      <c r="J310" s="372"/>
      <c r="K310" s="563"/>
      <c r="L310" s="124">
        <v>111488.78</v>
      </c>
      <c r="N310" s="124">
        <v>68530.06</v>
      </c>
      <c r="P310" s="563"/>
      <c r="Q310" s="124">
        <v>0</v>
      </c>
      <c r="U310" s="122"/>
      <c r="V310" s="121">
        <v>2858.75</v>
      </c>
      <c r="X310" s="121">
        <v>4017.77</v>
      </c>
      <c r="Z310" s="122"/>
      <c r="AA310" s="121">
        <v>0</v>
      </c>
    </row>
    <row r="311" spans="1:27" x14ac:dyDescent="0.3">
      <c r="A311" s="125">
        <v>39002</v>
      </c>
      <c r="B311" s="19" t="s">
        <v>45</v>
      </c>
      <c r="C311" t="s">
        <v>992</v>
      </c>
      <c r="D311" s="563"/>
      <c r="E311" s="124">
        <v>1646033.25</v>
      </c>
      <c r="F311" s="563">
        <v>0</v>
      </c>
      <c r="G311" s="124">
        <v>3615086.82</v>
      </c>
      <c r="H311" s="124">
        <v>5261120.07</v>
      </c>
      <c r="I311" s="124">
        <v>0</v>
      </c>
      <c r="J311" s="372"/>
      <c r="K311" s="563">
        <v>0</v>
      </c>
      <c r="L311" s="124">
        <v>3615086.82</v>
      </c>
      <c r="N311" s="124">
        <v>1646033.25</v>
      </c>
      <c r="P311" s="563"/>
      <c r="Q311" s="124">
        <v>0</v>
      </c>
      <c r="U311" s="122">
        <v>1080</v>
      </c>
      <c r="V311" s="121">
        <v>128664.61</v>
      </c>
      <c r="X311" s="121">
        <v>95210.6</v>
      </c>
      <c r="Z311" s="122"/>
      <c r="AA311" s="121">
        <v>0</v>
      </c>
    </row>
    <row r="312" spans="1:27" x14ac:dyDescent="0.3">
      <c r="A312" s="125">
        <v>39003</v>
      </c>
      <c r="B312" s="19" t="s">
        <v>45</v>
      </c>
      <c r="C312" t="s">
        <v>884</v>
      </c>
      <c r="D312" s="563"/>
      <c r="E312" s="124">
        <v>3472431.19</v>
      </c>
      <c r="F312" s="563">
        <v>102897.53</v>
      </c>
      <c r="G312" s="124">
        <v>8327108.4399999995</v>
      </c>
      <c r="H312" s="124">
        <v>11902437.16</v>
      </c>
      <c r="I312" s="124">
        <v>0</v>
      </c>
      <c r="J312" s="372"/>
      <c r="K312" s="563">
        <v>102897.53</v>
      </c>
      <c r="L312" s="124">
        <v>8327108.4399999995</v>
      </c>
      <c r="N312" s="124">
        <v>3472431.19</v>
      </c>
      <c r="P312" s="563"/>
      <c r="Q312" s="124">
        <v>0</v>
      </c>
      <c r="U312" s="122">
        <v>22182.54</v>
      </c>
      <c r="V312" s="121">
        <v>221751.28</v>
      </c>
      <c r="X312" s="121">
        <v>415575.23</v>
      </c>
      <c r="Z312" s="122"/>
      <c r="AA312" s="121">
        <v>0</v>
      </c>
    </row>
    <row r="313" spans="1:27" x14ac:dyDescent="0.3">
      <c r="A313" s="125">
        <v>39007</v>
      </c>
      <c r="B313" s="19" t="s">
        <v>45</v>
      </c>
      <c r="C313" t="s">
        <v>1020</v>
      </c>
      <c r="D313" s="563">
        <v>91387.77</v>
      </c>
      <c r="E313" s="124">
        <v>46528218.629999995</v>
      </c>
      <c r="F313" s="563">
        <v>18370.099999999999</v>
      </c>
      <c r="G313" s="124">
        <v>118356050.67</v>
      </c>
      <c r="H313" s="124">
        <v>164994027.17000002</v>
      </c>
      <c r="I313" s="124">
        <v>0</v>
      </c>
      <c r="J313" s="372"/>
      <c r="K313" s="563">
        <v>18370.099999999999</v>
      </c>
      <c r="L313" s="124">
        <v>118356050.67</v>
      </c>
      <c r="N313" s="124">
        <v>46528218.629999995</v>
      </c>
      <c r="P313" s="563">
        <v>91387.77</v>
      </c>
      <c r="Q313" s="124">
        <v>0</v>
      </c>
      <c r="U313" s="122">
        <v>215057.99</v>
      </c>
      <c r="V313" s="121">
        <v>4992137.6899999995</v>
      </c>
      <c r="X313" s="121">
        <v>3101106.42</v>
      </c>
      <c r="Z313" s="122">
        <v>0</v>
      </c>
      <c r="AA313" s="121">
        <v>0</v>
      </c>
    </row>
    <row r="314" spans="1:27" x14ac:dyDescent="0.3">
      <c r="A314" s="125">
        <v>39090</v>
      </c>
      <c r="B314" s="19" t="s">
        <v>45</v>
      </c>
      <c r="C314" t="s">
        <v>882</v>
      </c>
      <c r="D314" s="563"/>
      <c r="E314" s="124">
        <v>7864504.04</v>
      </c>
      <c r="F314" s="563">
        <v>0</v>
      </c>
      <c r="G314" s="124">
        <v>23457105.990000002</v>
      </c>
      <c r="H314" s="124">
        <v>31321610.030000001</v>
      </c>
      <c r="I314" s="124">
        <v>0</v>
      </c>
      <c r="J314" s="372"/>
      <c r="K314" s="563">
        <v>0</v>
      </c>
      <c r="L314" s="124">
        <v>23457105.990000002</v>
      </c>
      <c r="N314" s="124">
        <v>7864504.04</v>
      </c>
      <c r="P314" s="563"/>
      <c r="Q314" s="124">
        <v>0</v>
      </c>
      <c r="U314" s="122">
        <v>285</v>
      </c>
      <c r="V314" s="121">
        <v>740157.85000000009</v>
      </c>
      <c r="X314" s="121">
        <v>695843.45000000007</v>
      </c>
      <c r="Z314" s="122"/>
      <c r="AA314" s="121">
        <v>0</v>
      </c>
    </row>
    <row r="315" spans="1:27" x14ac:dyDescent="0.3">
      <c r="A315" s="125">
        <v>39119</v>
      </c>
      <c r="B315" s="19" t="s">
        <v>45</v>
      </c>
      <c r="C315" t="s">
        <v>953</v>
      </c>
      <c r="D315" s="563"/>
      <c r="E315" s="124">
        <v>9857605.8399999999</v>
      </c>
      <c r="F315" s="563">
        <v>0</v>
      </c>
      <c r="G315" s="124">
        <v>27549873.82</v>
      </c>
      <c r="H315" s="124">
        <v>37407479.659999996</v>
      </c>
      <c r="I315" s="124">
        <v>0</v>
      </c>
      <c r="J315" s="372"/>
      <c r="K315" s="563">
        <v>0</v>
      </c>
      <c r="L315" s="124">
        <v>27549873.82</v>
      </c>
      <c r="N315" s="124">
        <v>9857605.8399999999</v>
      </c>
      <c r="P315" s="563"/>
      <c r="Q315" s="124">
        <v>0</v>
      </c>
      <c r="U315" s="122">
        <v>1207.79</v>
      </c>
      <c r="V315" s="121">
        <v>1032616.6</v>
      </c>
      <c r="X315" s="121">
        <v>937929.59000000008</v>
      </c>
      <c r="Z315" s="122"/>
      <c r="AA315" s="121">
        <v>0</v>
      </c>
    </row>
    <row r="316" spans="1:27" x14ac:dyDescent="0.3">
      <c r="A316" s="125">
        <v>39120</v>
      </c>
      <c r="B316" s="19" t="s">
        <v>45</v>
      </c>
      <c r="C316" t="s">
        <v>860</v>
      </c>
      <c r="D316" s="563"/>
      <c r="E316" s="124">
        <v>2115580.3899999997</v>
      </c>
      <c r="F316" s="563"/>
      <c r="G316" s="124">
        <v>5680942.4299999997</v>
      </c>
      <c r="H316" s="124">
        <v>7796522.8200000003</v>
      </c>
      <c r="I316" s="124">
        <v>0</v>
      </c>
      <c r="J316" s="372"/>
      <c r="K316" s="563"/>
      <c r="L316" s="124">
        <v>5680942.4299999997</v>
      </c>
      <c r="N316" s="124">
        <v>2115580.3899999997</v>
      </c>
      <c r="P316" s="563"/>
      <c r="Q316" s="124">
        <v>0</v>
      </c>
      <c r="U316" s="122"/>
      <c r="V316" s="121">
        <v>182225.8</v>
      </c>
      <c r="X316" s="121">
        <v>76889.320000000007</v>
      </c>
      <c r="Z316" s="122"/>
      <c r="AA316" s="121">
        <v>0</v>
      </c>
    </row>
    <row r="317" spans="1:27" x14ac:dyDescent="0.3">
      <c r="A317" s="125">
        <v>39200</v>
      </c>
      <c r="B317" s="19" t="s">
        <v>45</v>
      </c>
      <c r="C317" t="s">
        <v>820</v>
      </c>
      <c r="D317" s="563">
        <v>38314.94</v>
      </c>
      <c r="E317" s="124">
        <v>11861026.879999999</v>
      </c>
      <c r="F317" s="563"/>
      <c r="G317" s="124">
        <v>27572257.739999998</v>
      </c>
      <c r="H317" s="124">
        <v>39471599.559999995</v>
      </c>
      <c r="I317" s="124">
        <v>0</v>
      </c>
      <c r="J317" s="372"/>
      <c r="K317" s="563"/>
      <c r="L317" s="124">
        <v>27572257.739999998</v>
      </c>
      <c r="N317" s="124">
        <v>11861026.879999999</v>
      </c>
      <c r="P317" s="563">
        <v>38314.94</v>
      </c>
      <c r="Q317" s="124">
        <v>0</v>
      </c>
      <c r="U317" s="122"/>
      <c r="V317" s="121">
        <v>1145288.08</v>
      </c>
      <c r="X317" s="121">
        <v>657061.30000000005</v>
      </c>
      <c r="Z317" s="122">
        <v>0</v>
      </c>
      <c r="AA317" s="121">
        <v>0</v>
      </c>
    </row>
    <row r="318" spans="1:27" x14ac:dyDescent="0.3">
      <c r="A318" s="125">
        <v>39201</v>
      </c>
      <c r="B318" s="19" t="s">
        <v>45</v>
      </c>
      <c r="C318" t="s">
        <v>978</v>
      </c>
      <c r="D318" s="563">
        <v>110601.13</v>
      </c>
      <c r="E318" s="124">
        <v>19283996.890000001</v>
      </c>
      <c r="F318" s="563">
        <v>123401.44</v>
      </c>
      <c r="G318" s="124">
        <v>44739061</v>
      </c>
      <c r="H318" s="124">
        <v>64257060.459999993</v>
      </c>
      <c r="I318" s="124">
        <v>0</v>
      </c>
      <c r="J318" s="372"/>
      <c r="K318" s="563">
        <v>123401.44</v>
      </c>
      <c r="L318" s="124">
        <v>44739061</v>
      </c>
      <c r="N318" s="124">
        <v>19283996.890000001</v>
      </c>
      <c r="P318" s="563">
        <v>110601.13</v>
      </c>
      <c r="Q318" s="124">
        <v>0</v>
      </c>
      <c r="U318" s="122">
        <v>0</v>
      </c>
      <c r="V318" s="121">
        <v>1258626.7</v>
      </c>
      <c r="X318" s="121">
        <v>1261031.6599999999</v>
      </c>
      <c r="Z318" s="122">
        <v>0</v>
      </c>
      <c r="AA318" s="121">
        <v>0</v>
      </c>
    </row>
    <row r="319" spans="1:27" x14ac:dyDescent="0.3">
      <c r="A319" s="125">
        <v>39202</v>
      </c>
      <c r="B319" s="19" t="s">
        <v>45</v>
      </c>
      <c r="C319" t="s">
        <v>987</v>
      </c>
      <c r="D319" s="563"/>
      <c r="E319" s="124">
        <v>11357975.030000001</v>
      </c>
      <c r="F319" s="563">
        <v>0</v>
      </c>
      <c r="G319" s="124">
        <v>24749717.280000001</v>
      </c>
      <c r="H319" s="124">
        <v>36107692.310000002</v>
      </c>
      <c r="I319" s="124">
        <v>0</v>
      </c>
      <c r="J319" s="372"/>
      <c r="K319" s="563">
        <v>0</v>
      </c>
      <c r="L319" s="124">
        <v>24749717.280000001</v>
      </c>
      <c r="N319" s="124">
        <v>11357975.030000001</v>
      </c>
      <c r="P319" s="563"/>
      <c r="Q319" s="124">
        <v>0</v>
      </c>
      <c r="U319" s="122">
        <v>25150.06</v>
      </c>
      <c r="V319" s="121">
        <v>1105358.95</v>
      </c>
      <c r="X319" s="121">
        <v>856431.63</v>
      </c>
      <c r="Z319" s="122"/>
      <c r="AA319" s="121">
        <v>0</v>
      </c>
    </row>
    <row r="320" spans="1:27" x14ac:dyDescent="0.3">
      <c r="A320" s="125">
        <v>39203</v>
      </c>
      <c r="B320" s="19" t="s">
        <v>45</v>
      </c>
      <c r="C320" t="s">
        <v>828</v>
      </c>
      <c r="D320" s="563">
        <v>27886.76</v>
      </c>
      <c r="E320" s="124">
        <v>3031288.19</v>
      </c>
      <c r="F320" s="563"/>
      <c r="G320" s="124">
        <v>7647507.3200000003</v>
      </c>
      <c r="H320" s="124">
        <v>10706682.27</v>
      </c>
      <c r="I320" s="124">
        <v>0</v>
      </c>
      <c r="J320" s="372"/>
      <c r="K320" s="563"/>
      <c r="L320" s="124">
        <v>7647507.3200000003</v>
      </c>
      <c r="N320" s="124">
        <v>3031288.19</v>
      </c>
      <c r="P320" s="563">
        <v>27886.76</v>
      </c>
      <c r="Q320" s="124">
        <v>0</v>
      </c>
      <c r="U320" s="122"/>
      <c r="V320" s="121">
        <v>266419.15000000002</v>
      </c>
      <c r="X320" s="121">
        <v>119541.48</v>
      </c>
      <c r="Z320" s="122">
        <v>0</v>
      </c>
      <c r="AA320" s="121">
        <v>0</v>
      </c>
    </row>
    <row r="321" spans="1:27" x14ac:dyDescent="0.3">
      <c r="A321" s="125">
        <v>39204</v>
      </c>
      <c r="B321" s="19" t="s">
        <v>45</v>
      </c>
      <c r="C321" t="s">
        <v>821</v>
      </c>
      <c r="D321" s="563"/>
      <c r="E321" s="124">
        <v>4055676.83</v>
      </c>
      <c r="F321" s="563"/>
      <c r="G321" s="124">
        <v>9813337.4499999993</v>
      </c>
      <c r="H321" s="124">
        <v>13869014.280000001</v>
      </c>
      <c r="I321" s="124">
        <v>0</v>
      </c>
      <c r="J321" s="372"/>
      <c r="K321" s="563"/>
      <c r="L321" s="124">
        <v>9813337.4499999993</v>
      </c>
      <c r="N321" s="124">
        <v>4055676.83</v>
      </c>
      <c r="P321" s="563"/>
      <c r="Q321" s="124">
        <v>0</v>
      </c>
      <c r="U321" s="122"/>
      <c r="V321" s="121">
        <v>229349.31</v>
      </c>
      <c r="X321" s="121">
        <v>369630.07999999996</v>
      </c>
      <c r="Z321" s="122"/>
      <c r="AA321" s="121">
        <v>0</v>
      </c>
    </row>
    <row r="322" spans="1:27" x14ac:dyDescent="0.3">
      <c r="A322" s="125">
        <v>39205</v>
      </c>
      <c r="B322" s="19" t="s">
        <v>45</v>
      </c>
      <c r="C322" t="s">
        <v>1022</v>
      </c>
      <c r="D322" s="563"/>
      <c r="E322" s="124">
        <v>3098017.83</v>
      </c>
      <c r="F322" s="563">
        <v>0</v>
      </c>
      <c r="G322" s="124">
        <v>8945800.7899999991</v>
      </c>
      <c r="H322" s="124">
        <v>12043818.619999999</v>
      </c>
      <c r="I322" s="124">
        <v>0</v>
      </c>
      <c r="J322" s="372"/>
      <c r="K322" s="563">
        <v>0</v>
      </c>
      <c r="L322" s="124">
        <v>8945800.7899999991</v>
      </c>
      <c r="N322" s="124">
        <v>3098017.83</v>
      </c>
      <c r="P322" s="563"/>
      <c r="Q322" s="124">
        <v>0</v>
      </c>
      <c r="U322" s="122">
        <v>5215.66</v>
      </c>
      <c r="V322" s="121">
        <v>242927.38</v>
      </c>
      <c r="X322" s="121">
        <v>264902.77</v>
      </c>
      <c r="Z322" s="122"/>
      <c r="AA322" s="121">
        <v>0</v>
      </c>
    </row>
    <row r="323" spans="1:27" x14ac:dyDescent="0.3">
      <c r="A323" s="125">
        <v>39207</v>
      </c>
      <c r="B323" s="19" t="s">
        <v>45</v>
      </c>
      <c r="C323" t="s">
        <v>1001</v>
      </c>
      <c r="D323" s="563">
        <v>6752.52</v>
      </c>
      <c r="E323" s="124">
        <v>9786452.0199999996</v>
      </c>
      <c r="F323" s="563">
        <v>0</v>
      </c>
      <c r="G323" s="124">
        <v>25996429.659999996</v>
      </c>
      <c r="H323" s="124">
        <v>35789634.199999996</v>
      </c>
      <c r="I323" s="124">
        <v>0</v>
      </c>
      <c r="J323" s="372"/>
      <c r="K323" s="563">
        <v>0</v>
      </c>
      <c r="L323" s="124">
        <v>25996429.659999996</v>
      </c>
      <c r="N323" s="124">
        <v>9786452.0199999996</v>
      </c>
      <c r="P323" s="563">
        <v>6752.52</v>
      </c>
      <c r="Q323" s="124">
        <v>0</v>
      </c>
      <c r="U323" s="122">
        <v>1017.57</v>
      </c>
      <c r="V323" s="121">
        <v>923282.32</v>
      </c>
      <c r="X323" s="121">
        <v>556713.42999999993</v>
      </c>
      <c r="Z323" s="122">
        <v>0</v>
      </c>
      <c r="AA323" s="121">
        <v>0</v>
      </c>
    </row>
    <row r="324" spans="1:27" x14ac:dyDescent="0.3">
      <c r="A324" s="125">
        <v>39208</v>
      </c>
      <c r="B324" s="19" t="s">
        <v>45</v>
      </c>
      <c r="C324" t="s">
        <v>1008</v>
      </c>
      <c r="D324" s="563"/>
      <c r="E324" s="124">
        <v>14159944.51</v>
      </c>
      <c r="F324" s="563">
        <v>0</v>
      </c>
      <c r="G324" s="124">
        <v>35008838.850000001</v>
      </c>
      <c r="H324" s="124">
        <v>49168783.359999999</v>
      </c>
      <c r="I324" s="124">
        <v>0</v>
      </c>
      <c r="J324" s="372"/>
      <c r="K324" s="563">
        <v>0</v>
      </c>
      <c r="L324" s="124">
        <v>35008838.850000001</v>
      </c>
      <c r="N324" s="124">
        <v>14159944.51</v>
      </c>
      <c r="P324" s="563"/>
      <c r="Q324" s="124">
        <v>0</v>
      </c>
      <c r="U324" s="122">
        <v>6976.81</v>
      </c>
      <c r="V324" s="121">
        <v>1085066.6000000001</v>
      </c>
      <c r="X324" s="121">
        <v>1440824.36</v>
      </c>
      <c r="Z324" s="122"/>
      <c r="AA324" s="121">
        <v>0</v>
      </c>
    </row>
    <row r="325" spans="1:27" x14ac:dyDescent="0.3">
      <c r="A325" s="125">
        <v>39209</v>
      </c>
      <c r="B325" s="19" t="s">
        <v>45</v>
      </c>
      <c r="C325" t="s">
        <v>878</v>
      </c>
      <c r="D325" s="563"/>
      <c r="E325" s="124">
        <v>3666695.35</v>
      </c>
      <c r="F325" s="563"/>
      <c r="G325" s="124">
        <v>7384357.3100000005</v>
      </c>
      <c r="H325" s="124">
        <v>11051052.66</v>
      </c>
      <c r="I325" s="124">
        <v>0</v>
      </c>
      <c r="J325" s="372"/>
      <c r="K325" s="563"/>
      <c r="L325" s="124">
        <v>7384357.3100000005</v>
      </c>
      <c r="N325" s="124">
        <v>3666695.35</v>
      </c>
      <c r="P325" s="563"/>
      <c r="Q325" s="124">
        <v>0</v>
      </c>
      <c r="U325" s="122"/>
      <c r="V325" s="121">
        <v>349798.74</v>
      </c>
      <c r="X325" s="121">
        <v>281597.94</v>
      </c>
      <c r="Z325" s="122"/>
      <c r="AA325" s="121">
        <v>0</v>
      </c>
    </row>
    <row r="326" spans="1:27" x14ac:dyDescent="0.3">
      <c r="A326" s="125">
        <v>39801</v>
      </c>
      <c r="B326" s="19" t="s">
        <v>45</v>
      </c>
      <c r="C326" t="s">
        <v>797</v>
      </c>
      <c r="D326" s="563"/>
      <c r="E326" s="124">
        <v>21905555.420000002</v>
      </c>
      <c r="F326" s="563">
        <v>120776</v>
      </c>
      <c r="G326" s="124">
        <v>1489739.06</v>
      </c>
      <c r="H326" s="124">
        <v>23516070.48</v>
      </c>
      <c r="I326" s="124">
        <v>0</v>
      </c>
      <c r="J326" s="372"/>
      <c r="K326" s="563">
        <v>120776</v>
      </c>
      <c r="L326" s="124">
        <v>1489739.06</v>
      </c>
      <c r="N326" s="124">
        <v>21905555.420000002</v>
      </c>
      <c r="P326" s="563"/>
      <c r="Q326" s="124">
        <v>0</v>
      </c>
      <c r="U326" s="122">
        <v>240</v>
      </c>
      <c r="V326" s="121">
        <v>422014.55</v>
      </c>
      <c r="X326" s="121">
        <v>539738.16</v>
      </c>
      <c r="Z326" s="122"/>
      <c r="AA326" s="121">
        <v>0</v>
      </c>
    </row>
    <row r="327" spans="1:27" x14ac:dyDescent="0.3">
      <c r="A327" s="125">
        <v>99999</v>
      </c>
      <c r="B327" s="19" t="s">
        <v>1039</v>
      </c>
      <c r="C327" s="562" t="s">
        <v>1224</v>
      </c>
      <c r="D327" s="563"/>
      <c r="E327" s="124">
        <v>4273241.21</v>
      </c>
      <c r="F327" s="563"/>
      <c r="G327" s="124">
        <v>0</v>
      </c>
      <c r="H327" s="124">
        <v>4273241.21</v>
      </c>
      <c r="I327" s="124">
        <v>0</v>
      </c>
      <c r="J327" s="372"/>
      <c r="K327" s="563"/>
      <c r="L327" s="124">
        <v>0</v>
      </c>
      <c r="N327" s="124">
        <v>4273241.21</v>
      </c>
      <c r="P327" s="563"/>
      <c r="Q327" s="124">
        <v>0</v>
      </c>
      <c r="U327" s="122"/>
      <c r="V327" s="121">
        <v>0</v>
      </c>
      <c r="X327" s="121">
        <v>0</v>
      </c>
      <c r="Z327" s="122"/>
      <c r="AA327" s="121">
        <v>0</v>
      </c>
    </row>
  </sheetData>
  <mergeCells count="2">
    <mergeCell ref="K3:R3"/>
    <mergeCell ref="U3:AB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96C8-C558-41B9-A592-1FD4C4F9AFB7}">
  <dimension ref="A1:C3"/>
  <sheetViews>
    <sheetView workbookViewId="0">
      <selection activeCell="B1" sqref="B1"/>
    </sheetView>
  </sheetViews>
  <sheetFormatPr defaultRowHeight="14.4" x14ac:dyDescent="0.3"/>
  <sheetData>
    <row r="1" spans="1:3" ht="16.8" x14ac:dyDescent="0.4">
      <c r="A1" s="331">
        <f>+A2</f>
        <v>14005</v>
      </c>
      <c r="B1" s="332" t="str">
        <f>VLOOKUP('2025Comp&amp;Contr'!$A$4,'Collective NPL'!$A$7:$BB$335,3,FALSE)</f>
        <v xml:space="preserve"> Aberdeen School District 005 </v>
      </c>
      <c r="C1" s="333"/>
    </row>
    <row r="2" spans="1:3" ht="16.8" x14ac:dyDescent="0.4">
      <c r="A2" s="331">
        <f>+'Do not delete'!A3</f>
        <v>14005</v>
      </c>
      <c r="B2" s="334" t="str">
        <f>+'Do not delete'!B3</f>
        <v xml:space="preserve"> Aberdeen School District 005 </v>
      </c>
      <c r="C2" s="333"/>
    </row>
    <row r="3" spans="1:3" ht="16.8" x14ac:dyDescent="0.4">
      <c r="A3" s="331">
        <f>+'2025Comp&amp;Contr'!A4</f>
        <v>14005</v>
      </c>
      <c r="B3" s="334" t="str">
        <f>+'Do not delete'!B1</f>
        <v xml:space="preserve"> Aberdeen School District 005 </v>
      </c>
      <c r="C3" s="333"/>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'Collective NPL'!$A$7:$A$325</xm:f>
          </x14:formula1>
          <xm:sqref>A1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0BEC7-03FF-4B50-9C70-711E2F6B408F}">
  <dimension ref="A1:BZ355"/>
  <sheetViews>
    <sheetView workbookViewId="0">
      <pane xSplit="3" ySplit="6" topLeftCell="BK7" activePane="bottomRight" state="frozen"/>
      <selection pane="topRight" activeCell="D1" sqref="D1"/>
      <selection pane="bottomLeft" activeCell="A7" sqref="A7"/>
      <selection pane="bottomRight" activeCell="C6" sqref="C6"/>
    </sheetView>
  </sheetViews>
  <sheetFormatPr defaultColWidth="9.109375" defaultRowHeight="14.4" x14ac:dyDescent="0.3"/>
  <cols>
    <col min="1" max="1" width="11.33203125" bestFit="1" customWidth="1"/>
    <col min="2" max="2" width="6.5546875" customWidth="1"/>
    <col min="3" max="3" width="32.21875" customWidth="1"/>
    <col min="4" max="4" width="13.33203125" bestFit="1" customWidth="1"/>
    <col min="5" max="5" width="13.109375" bestFit="1" customWidth="1"/>
    <col min="6" max="6" width="15.5546875" bestFit="1" customWidth="1"/>
    <col min="7" max="7" width="13.109375" bestFit="1" customWidth="1"/>
    <col min="8" max="8" width="14.33203125" bestFit="1" customWidth="1"/>
    <col min="9" max="9" width="13.109375" bestFit="1" customWidth="1"/>
    <col min="10" max="10" width="13.6640625" bestFit="1" customWidth="1"/>
    <col min="11" max="11" width="13.109375" bestFit="1" customWidth="1"/>
    <col min="12" max="12" width="14.33203125" bestFit="1" customWidth="1"/>
    <col min="13" max="13" width="13.109375" bestFit="1" customWidth="1"/>
    <col min="14" max="14" width="16.33203125" bestFit="1" customWidth="1"/>
    <col min="15" max="15" width="13.109375" bestFit="1" customWidth="1"/>
    <col min="16" max="16" width="17.109375" customWidth="1"/>
    <col min="17" max="17" width="3" bestFit="1" customWidth="1"/>
    <col min="18" max="18" width="13.5546875" bestFit="1" customWidth="1"/>
    <col min="19" max="19" width="14.5546875" bestFit="1" customWidth="1"/>
    <col min="20" max="20" width="1.6640625" customWidth="1"/>
    <col min="21" max="21" width="7.44140625" customWidth="1"/>
    <col min="22" max="22" width="7.109375" bestFit="1" customWidth="1"/>
    <col min="23" max="23" width="4.33203125" bestFit="1" customWidth="1"/>
    <col min="24" max="24" width="13.44140625" customWidth="1"/>
    <col min="25" max="25" width="11.6640625" bestFit="1" customWidth="1"/>
    <col min="26" max="27" width="14.5546875" bestFit="1" customWidth="1"/>
    <col min="28" max="28" width="11" bestFit="1" customWidth="1"/>
    <col min="29" max="29" width="11.6640625" bestFit="1" customWidth="1"/>
    <col min="30" max="30" width="14.5546875" bestFit="1" customWidth="1"/>
    <col min="31" max="31" width="3" bestFit="1" customWidth="1"/>
    <col min="32" max="32" width="7" bestFit="1" customWidth="1"/>
    <col min="33" max="33" width="6" bestFit="1" customWidth="1"/>
    <col min="34" max="34" width="4" bestFit="1" customWidth="1"/>
    <col min="35" max="35" width="7.33203125" customWidth="1"/>
    <col min="36" max="36" width="13.5546875" bestFit="1" customWidth="1"/>
    <col min="37" max="38" width="15.5546875" bestFit="1" customWidth="1"/>
    <col min="39" max="39" width="13.5546875" bestFit="1" customWidth="1"/>
    <col min="40" max="40" width="16.88671875" bestFit="1" customWidth="1"/>
    <col min="41" max="41" width="17.109375" bestFit="1" customWidth="1"/>
    <col min="42" max="42" width="4" bestFit="1" customWidth="1"/>
    <col min="43" max="43" width="5.33203125" bestFit="1" customWidth="1"/>
    <col min="44" max="44" width="14.5546875" bestFit="1" customWidth="1"/>
    <col min="45" max="45" width="15.5546875" bestFit="1" customWidth="1"/>
    <col min="46" max="46" width="5.33203125" bestFit="1" customWidth="1"/>
    <col min="47" max="47" width="11.6640625" bestFit="1" customWidth="1"/>
    <col min="48" max="48" width="15.5546875" bestFit="1" customWidth="1"/>
    <col min="49" max="49" width="5.109375" bestFit="1" customWidth="1"/>
    <col min="50" max="51" width="3" bestFit="1" customWidth="1"/>
    <col min="52" max="52" width="10.6640625" bestFit="1" customWidth="1"/>
    <col min="53" max="53" width="14.5546875" bestFit="1" customWidth="1"/>
    <col min="54" max="54" width="10.6640625" bestFit="1" customWidth="1"/>
    <col min="55" max="56" width="8.33203125" bestFit="1" customWidth="1"/>
    <col min="57" max="57" width="16.44140625" customWidth="1"/>
    <col min="58" max="58" width="4" bestFit="1" customWidth="1"/>
    <col min="59" max="60" width="12.5546875" customWidth="1"/>
    <col min="61" max="61" width="18.109375" bestFit="1" customWidth="1"/>
    <col min="62" max="62" width="4" bestFit="1" customWidth="1"/>
    <col min="63" max="64" width="13.109375" customWidth="1"/>
    <col min="65" max="65" width="18.109375" bestFit="1" customWidth="1"/>
    <col min="66" max="66" width="3" bestFit="1" customWidth="1"/>
    <col min="67" max="67" width="14.33203125" bestFit="1" customWidth="1"/>
    <col min="68" max="68" width="16.88671875" bestFit="1" customWidth="1"/>
    <col min="69" max="69" width="14.33203125" bestFit="1" customWidth="1"/>
    <col min="70" max="70" width="10.5546875" bestFit="1" customWidth="1"/>
    <col min="71" max="71" width="13.33203125" bestFit="1" customWidth="1"/>
    <col min="72" max="72" width="16" customWidth="1"/>
    <col min="78" max="78" width="46.33203125" bestFit="1" customWidth="1"/>
  </cols>
  <sheetData>
    <row r="1" spans="1:78" x14ac:dyDescent="0.3">
      <c r="A1" s="413">
        <v>1</v>
      </c>
      <c r="B1" s="413">
        <v>2</v>
      </c>
      <c r="C1" s="413">
        <v>3</v>
      </c>
      <c r="D1" s="468">
        <v>4</v>
      </c>
      <c r="E1" s="468">
        <v>5</v>
      </c>
      <c r="F1" s="468">
        <v>6</v>
      </c>
      <c r="G1" s="468">
        <v>7</v>
      </c>
      <c r="H1" s="468">
        <v>8</v>
      </c>
      <c r="I1" s="468">
        <v>9</v>
      </c>
      <c r="J1" s="468">
        <v>10</v>
      </c>
      <c r="K1" s="468">
        <v>11</v>
      </c>
      <c r="L1" s="468">
        <v>12</v>
      </c>
      <c r="M1" s="468">
        <v>13</v>
      </c>
      <c r="N1" s="468">
        <v>14</v>
      </c>
      <c r="O1" s="468">
        <v>15</v>
      </c>
      <c r="P1" s="468">
        <v>16</v>
      </c>
      <c r="Q1" s="468">
        <v>17</v>
      </c>
      <c r="R1" s="468">
        <v>18</v>
      </c>
      <c r="S1" s="468">
        <v>19</v>
      </c>
      <c r="T1" s="468"/>
      <c r="U1" s="468">
        <v>21</v>
      </c>
      <c r="V1" s="468">
        <v>22</v>
      </c>
      <c r="W1" s="468">
        <v>23</v>
      </c>
      <c r="X1" s="468">
        <v>24</v>
      </c>
      <c r="Y1" s="468">
        <v>25</v>
      </c>
      <c r="Z1" s="468">
        <v>26</v>
      </c>
      <c r="AA1" s="468">
        <v>27</v>
      </c>
      <c r="AB1" s="468">
        <v>28</v>
      </c>
      <c r="AC1" s="468">
        <v>29</v>
      </c>
      <c r="AD1" s="468">
        <v>30</v>
      </c>
      <c r="AE1" s="468">
        <v>31</v>
      </c>
      <c r="AF1" s="468">
        <v>32</v>
      </c>
      <c r="AG1" s="468">
        <v>33</v>
      </c>
      <c r="AH1" s="468">
        <v>34</v>
      </c>
      <c r="AI1" s="468">
        <v>35</v>
      </c>
      <c r="AJ1" s="468">
        <v>36</v>
      </c>
      <c r="AK1" s="468">
        <v>37</v>
      </c>
      <c r="AL1" s="468">
        <v>38</v>
      </c>
      <c r="AM1" s="468">
        <v>39</v>
      </c>
      <c r="AN1" s="468">
        <v>40</v>
      </c>
      <c r="AO1" s="468">
        <v>41</v>
      </c>
      <c r="AP1" s="468">
        <v>42</v>
      </c>
      <c r="AQ1" s="468">
        <v>43</v>
      </c>
      <c r="AR1" s="468">
        <v>44</v>
      </c>
      <c r="AS1" s="468">
        <v>45</v>
      </c>
      <c r="AT1" s="468">
        <v>46</v>
      </c>
      <c r="AU1" s="468">
        <v>47</v>
      </c>
      <c r="AV1" s="468">
        <v>48</v>
      </c>
      <c r="AW1" s="468">
        <v>49</v>
      </c>
      <c r="AX1" s="468">
        <v>50</v>
      </c>
      <c r="AY1" s="468">
        <v>51</v>
      </c>
      <c r="AZ1" s="468">
        <v>52</v>
      </c>
      <c r="BA1" s="468">
        <v>53</v>
      </c>
      <c r="BB1" s="468">
        <v>54</v>
      </c>
      <c r="BC1" s="468">
        <v>55</v>
      </c>
      <c r="BD1" s="468">
        <v>56</v>
      </c>
      <c r="BE1" s="468">
        <v>57</v>
      </c>
      <c r="BF1" s="468">
        <v>58</v>
      </c>
      <c r="BG1" s="468">
        <v>59</v>
      </c>
      <c r="BH1" s="468">
        <v>60</v>
      </c>
      <c r="BI1" s="468">
        <v>61</v>
      </c>
      <c r="BJ1" s="468">
        <v>62</v>
      </c>
      <c r="BK1" s="468">
        <v>63</v>
      </c>
      <c r="BL1" s="468">
        <v>64</v>
      </c>
      <c r="BM1" s="468">
        <v>65</v>
      </c>
      <c r="BN1" s="468">
        <v>66</v>
      </c>
      <c r="BO1" s="468">
        <v>67</v>
      </c>
      <c r="BP1" s="468">
        <v>68</v>
      </c>
      <c r="BQ1" s="468">
        <v>69</v>
      </c>
      <c r="BR1" s="468">
        <v>70</v>
      </c>
      <c r="BS1" s="468">
        <v>71</v>
      </c>
      <c r="BT1" s="468">
        <v>72</v>
      </c>
    </row>
    <row r="2" spans="1:78" ht="23.4" x14ac:dyDescent="0.45">
      <c r="C2" s="217"/>
      <c r="D2" s="260">
        <f>+D3/E2</f>
        <v>7.2429552569916434E-4</v>
      </c>
      <c r="E2" s="535">
        <v>551385664.87</v>
      </c>
      <c r="F2" s="260">
        <f>+F3/G2</f>
        <v>0.16871606952627807</v>
      </c>
      <c r="G2" s="535">
        <v>551385664.87</v>
      </c>
      <c r="H2" s="260">
        <f>+H3/I2</f>
        <v>0.99999999999999956</v>
      </c>
      <c r="I2" s="535">
        <v>273217075.75</v>
      </c>
      <c r="J2" s="260">
        <f>+J3/K2</f>
        <v>3.4639514696638203E-3</v>
      </c>
      <c r="K2" s="535">
        <v>144307085.23999995</v>
      </c>
      <c r="L2" s="260">
        <f>+L3/M2</f>
        <v>0.97708620505707966</v>
      </c>
      <c r="M2" s="535">
        <v>144307085.23999995</v>
      </c>
      <c r="N2" s="260">
        <f>+N3/O2</f>
        <v>0.98092693782823714</v>
      </c>
      <c r="O2" s="535">
        <v>738588041.76999962</v>
      </c>
      <c r="Q2" s="565"/>
      <c r="R2" s="260">
        <f>+R3/S2</f>
        <v>6.1315163663536805E-4</v>
      </c>
      <c r="S2" s="535">
        <v>1061299034.5599999</v>
      </c>
      <c r="U2" s="353"/>
      <c r="V2" s="353"/>
      <c r="W2" s="353"/>
      <c r="Y2" s="116" t="s">
        <v>1028</v>
      </c>
      <c r="Z2" s="116" t="s">
        <v>1040</v>
      </c>
      <c r="AA2" s="116" t="s">
        <v>1027</v>
      </c>
      <c r="AB2" s="116" t="s">
        <v>725</v>
      </c>
      <c r="AC2" s="116" t="s">
        <v>1064</v>
      </c>
      <c r="AG2" s="353"/>
      <c r="AH2" s="353"/>
      <c r="AJ2" s="124">
        <f>SUM(AJ7:AJ327)</f>
        <v>499872.74</v>
      </c>
      <c r="AK2" s="124">
        <f t="shared" ref="AK2:AN2" si="0">SUM(AK7:AK327)</f>
        <v>724500906.12999988</v>
      </c>
      <c r="AL2" s="124">
        <f t="shared" si="0"/>
        <v>273217075.74999988</v>
      </c>
      <c r="AM2" s="124">
        <f t="shared" si="0"/>
        <v>399366.16999999993</v>
      </c>
      <c r="AN2" s="124">
        <f t="shared" si="0"/>
        <v>650737.24</v>
      </c>
      <c r="AO2" s="124">
        <f>SUM(AO7:AO327)</f>
        <v>999267958.02999985</v>
      </c>
      <c r="AQ2" s="353"/>
      <c r="AR2" s="553">
        <f>SUM(AR7:AR327)</f>
        <v>141000462.28000006</v>
      </c>
      <c r="AS2" s="553">
        <f>SUM(AS7:AS327)</f>
        <v>92768168.889999986</v>
      </c>
      <c r="AU2" s="553">
        <f>SUM(AU7:AU327)</f>
        <v>259453.28</v>
      </c>
      <c r="AV2" s="553">
        <f>SUM(AV7:AV327)</f>
        <v>234028084.45000029</v>
      </c>
      <c r="AZ2" s="354" t="s">
        <v>1044</v>
      </c>
      <c r="BA2" s="355"/>
      <c r="BB2" s="355"/>
      <c r="BC2" s="355"/>
      <c r="BD2" s="356"/>
      <c r="BE2" s="19"/>
      <c r="BF2" s="19"/>
      <c r="BG2" s="357" t="s">
        <v>1045</v>
      </c>
      <c r="BH2" s="228"/>
      <c r="BI2" s="19"/>
      <c r="BJ2" s="19"/>
      <c r="BK2" s="227" t="s">
        <v>1046</v>
      </c>
      <c r="BL2" s="227"/>
      <c r="BO2" s="227" t="s">
        <v>1047</v>
      </c>
      <c r="BP2" s="227"/>
      <c r="BQ2" s="227"/>
      <c r="BR2" s="227"/>
      <c r="BS2" s="227"/>
    </row>
    <row r="3" spans="1:78" ht="29.4" thickBot="1" x14ac:dyDescent="0.35">
      <c r="C3" s="134" t="s">
        <v>1208</v>
      </c>
      <c r="D3" s="417">
        <f>SUM(D7:D332)</f>
        <v>399366.16999999993</v>
      </c>
      <c r="E3" s="358"/>
      <c r="F3" s="417">
        <f>SUM(F7:F332)</f>
        <v>93027622.169999987</v>
      </c>
      <c r="G3" s="358"/>
      <c r="H3" s="556">
        <f>SUM(H7:H332)</f>
        <v>273217075.74999988</v>
      </c>
      <c r="I3" s="557"/>
      <c r="J3" s="558">
        <f>SUM(J7:J332)</f>
        <v>499872.74</v>
      </c>
      <c r="K3" s="558"/>
      <c r="L3" s="558">
        <f>SUM(L7:L332)</f>
        <v>141000462.28000006</v>
      </c>
      <c r="M3" s="558"/>
      <c r="N3" s="559">
        <f>SUM(N7:N332)</f>
        <v>724500906.12999988</v>
      </c>
      <c r="O3" s="359"/>
      <c r="P3" s="360">
        <f>SUM(P7:P334)</f>
        <v>1233296042.4800003</v>
      </c>
      <c r="Q3" s="360"/>
      <c r="R3" s="566">
        <f>SUM(R7:R333)</f>
        <v>650737.24</v>
      </c>
      <c r="S3" s="564"/>
      <c r="U3" s="361" t="s">
        <v>1067</v>
      </c>
      <c r="V3" s="361"/>
      <c r="W3" s="361"/>
      <c r="X3" s="362"/>
      <c r="AI3" s="363" t="s">
        <v>1068</v>
      </c>
      <c r="AO3" s="124">
        <f>SUM(AJ7:AN327)</f>
        <v>999267958.02999866</v>
      </c>
      <c r="AQ3" s="361" t="s">
        <v>1095</v>
      </c>
      <c r="AR3" s="363"/>
      <c r="AS3" s="363"/>
      <c r="AZ3" s="37">
        <f>SUM(AZ7:AZ330)</f>
        <v>10390.119999999999</v>
      </c>
      <c r="BA3" s="37">
        <f t="shared" ref="BA3:BD3" si="1">SUM(BA7:BA330)</f>
        <v>17976932.190000016</v>
      </c>
      <c r="BB3" s="37">
        <f t="shared" si="1"/>
        <v>7042937.2699999949</v>
      </c>
      <c r="BC3" s="37">
        <f t="shared" si="1"/>
        <v>8893.3100000000013</v>
      </c>
      <c r="BD3" s="37">
        <f t="shared" si="1"/>
        <v>20463.29</v>
      </c>
      <c r="BE3" s="37">
        <f>SUM(BE7:BE330)</f>
        <v>25059616.18</v>
      </c>
      <c r="BF3" s="122"/>
      <c r="BG3" s="37">
        <f>SUM(BG7:BG322)</f>
        <v>0</v>
      </c>
      <c r="BH3" s="37">
        <f>SUM(BH7:BH322)</f>
        <v>0</v>
      </c>
      <c r="BI3" s="37">
        <f>SUM(BI7:BI322)</f>
        <v>0</v>
      </c>
      <c r="BJ3" s="121"/>
      <c r="BK3" s="37">
        <f>SUM(BK7:BK322)</f>
        <v>0</v>
      </c>
      <c r="BL3" s="37">
        <f>SUM(BL7:BL322)</f>
        <v>0</v>
      </c>
      <c r="BM3" s="37">
        <f>SUM(BM7:BM322)</f>
        <v>0</v>
      </c>
      <c r="BN3" s="124"/>
      <c r="BO3" s="37">
        <f>SUM(BO7:BO327)</f>
        <v>822184.77000000014</v>
      </c>
      <c r="BP3" s="37">
        <f t="shared" ref="BP3:BT3" si="2">SUM(BP7:BP327)</f>
        <v>1583142156.799999</v>
      </c>
      <c r="BQ3" s="37">
        <f t="shared" si="2"/>
        <v>629941555.55000019</v>
      </c>
      <c r="BR3" s="37">
        <f t="shared" si="2"/>
        <v>675210.80000000016</v>
      </c>
      <c r="BS3" s="37">
        <f t="shared" si="2"/>
        <v>1633623.44</v>
      </c>
      <c r="BT3" s="37">
        <f t="shared" si="2"/>
        <v>2216214731.3600001</v>
      </c>
    </row>
    <row r="4" spans="1:78" ht="23.4" x14ac:dyDescent="0.45">
      <c r="D4" s="650"/>
      <c r="E4" s="651"/>
      <c r="F4" s="651"/>
      <c r="G4" s="651"/>
      <c r="H4" s="651"/>
      <c r="I4" s="651"/>
      <c r="J4" s="651"/>
      <c r="K4" s="651"/>
      <c r="L4" s="651"/>
      <c r="M4" s="651"/>
      <c r="N4" s="651"/>
      <c r="O4" s="652"/>
      <c r="S4" s="364"/>
      <c r="X4" s="365"/>
      <c r="Y4" s="551">
        <f>SUM(Y7:Y327)</f>
        <v>311921.91000000009</v>
      </c>
      <c r="Z4" s="551">
        <f t="shared" ref="Z4:AD4" si="3">SUM(Z7:Z327)</f>
        <v>699663856.19999981</v>
      </c>
      <c r="AA4" s="551">
        <f t="shared" si="3"/>
        <v>256913373.63999999</v>
      </c>
      <c r="AB4" s="551">
        <f t="shared" si="3"/>
        <v>266951.32</v>
      </c>
      <c r="AC4" s="551">
        <f t="shared" si="3"/>
        <v>702969.63</v>
      </c>
      <c r="AD4" s="551">
        <f t="shared" si="3"/>
        <v>957859072.70000017</v>
      </c>
      <c r="AO4" s="124"/>
      <c r="BE4" s="352"/>
      <c r="BF4" s="122"/>
      <c r="BH4" s="122"/>
      <c r="BK4" s="353"/>
      <c r="BL4" s="122"/>
      <c r="BM4" s="366"/>
      <c r="BO4" s="453"/>
      <c r="BP4" s="454"/>
      <c r="BQ4" s="411"/>
      <c r="BR4" s="411"/>
      <c r="BS4" s="454"/>
      <c r="BT4" s="412"/>
      <c r="BU4" s="454"/>
      <c r="BV4" s="454"/>
      <c r="BW4" s="454"/>
      <c r="BX4" s="454"/>
      <c r="BY4" s="454"/>
      <c r="BZ4" s="412"/>
    </row>
    <row r="5" spans="1:78" ht="29.4" thickBot="1" x14ac:dyDescent="0.35">
      <c r="C5" s="441" t="s">
        <v>1226</v>
      </c>
      <c r="D5" s="162" t="s">
        <v>0</v>
      </c>
      <c r="E5" s="162" t="s">
        <v>0</v>
      </c>
      <c r="F5" s="162" t="s">
        <v>1</v>
      </c>
      <c r="G5" s="162" t="s">
        <v>1</v>
      </c>
      <c r="H5" s="161" t="s">
        <v>2</v>
      </c>
      <c r="I5" s="161" t="s">
        <v>2</v>
      </c>
      <c r="J5" s="159" t="s">
        <v>3</v>
      </c>
      <c r="K5" s="159" t="s">
        <v>3</v>
      </c>
      <c r="L5" s="159" t="s">
        <v>4</v>
      </c>
      <c r="M5" s="159" t="s">
        <v>4</v>
      </c>
      <c r="N5" s="164" t="s">
        <v>5</v>
      </c>
      <c r="O5" s="164" t="s">
        <v>5</v>
      </c>
      <c r="P5" s="116" t="s">
        <v>1171</v>
      </c>
      <c r="R5" s="367" t="s">
        <v>710</v>
      </c>
      <c r="S5" s="367" t="s">
        <v>710</v>
      </c>
      <c r="U5" t="s">
        <v>1043</v>
      </c>
      <c r="AJ5" s="368" t="s">
        <v>1094</v>
      </c>
      <c r="AK5" s="368"/>
      <c r="AL5" s="368"/>
      <c r="AM5" s="368"/>
      <c r="AN5" s="368"/>
      <c r="AO5" s="124"/>
      <c r="AQ5" s="368" t="s">
        <v>1095</v>
      </c>
      <c r="AR5" s="368"/>
      <c r="AS5" s="368"/>
      <c r="AT5" s="368"/>
      <c r="AU5" s="368"/>
      <c r="AX5" s="19"/>
      <c r="AY5" s="19"/>
      <c r="BE5" s="40" t="s">
        <v>1048</v>
      </c>
      <c r="BF5" s="127"/>
      <c r="BI5" s="40" t="s">
        <v>1049</v>
      </c>
      <c r="BM5" s="40" t="s">
        <v>1050</v>
      </c>
      <c r="BN5" s="40"/>
      <c r="BT5" s="40" t="s">
        <v>1051</v>
      </c>
      <c r="BW5" s="369"/>
      <c r="BX5" s="369"/>
      <c r="BY5" s="369"/>
      <c r="BZ5" s="369"/>
    </row>
    <row r="6" spans="1:78" ht="29.4" thickBot="1" x14ac:dyDescent="0.35">
      <c r="A6" s="19" t="s">
        <v>7</v>
      </c>
      <c r="B6" s="19" t="s">
        <v>8</v>
      </c>
      <c r="C6" s="119" t="s">
        <v>6</v>
      </c>
      <c r="D6" s="370" t="s">
        <v>9</v>
      </c>
      <c r="E6" s="1" t="s">
        <v>10</v>
      </c>
      <c r="F6" s="370" t="s">
        <v>9</v>
      </c>
      <c r="G6" s="1" t="s">
        <v>10</v>
      </c>
      <c r="H6" s="132" t="s">
        <v>9</v>
      </c>
      <c r="I6" s="415" t="s">
        <v>10</v>
      </c>
      <c r="J6" s="132" t="s">
        <v>9</v>
      </c>
      <c r="K6" s="415" t="s">
        <v>10</v>
      </c>
      <c r="L6" s="132" t="s">
        <v>9</v>
      </c>
      <c r="M6" s="415" t="s">
        <v>10</v>
      </c>
      <c r="N6" s="132" t="s">
        <v>9</v>
      </c>
      <c r="O6" s="415" t="s">
        <v>10</v>
      </c>
      <c r="P6" s="416" t="s">
        <v>1176</v>
      </c>
      <c r="R6" s="132" t="s">
        <v>9</v>
      </c>
      <c r="S6" s="415" t="s">
        <v>10</v>
      </c>
      <c r="U6" s="537" t="s">
        <v>1038</v>
      </c>
      <c r="V6" s="536" t="s">
        <v>7</v>
      </c>
      <c r="W6" s="442" t="s">
        <v>8</v>
      </c>
      <c r="X6" s="442" t="s">
        <v>6</v>
      </c>
      <c r="Y6" s="116" t="s">
        <v>1028</v>
      </c>
      <c r="Z6" s="116" t="s">
        <v>1040</v>
      </c>
      <c r="AA6" s="116" t="s">
        <v>1027</v>
      </c>
      <c r="AB6" s="116" t="s">
        <v>725</v>
      </c>
      <c r="AC6" s="116" t="s">
        <v>1064</v>
      </c>
      <c r="AD6" s="19" t="s">
        <v>628</v>
      </c>
      <c r="AF6" s="537" t="s">
        <v>1038</v>
      </c>
      <c r="AG6" s="536" t="s">
        <v>7</v>
      </c>
      <c r="AH6" s="442" t="s">
        <v>8</v>
      </c>
      <c r="AI6" s="442" t="s">
        <v>6</v>
      </c>
      <c r="AJ6" s="116" t="s">
        <v>1028</v>
      </c>
      <c r="AK6" s="116" t="s">
        <v>1040</v>
      </c>
      <c r="AL6" s="116" t="s">
        <v>1027</v>
      </c>
      <c r="AM6" s="116" t="s">
        <v>725</v>
      </c>
      <c r="AN6" s="116" t="s">
        <v>1064</v>
      </c>
      <c r="AO6" s="19" t="s">
        <v>628</v>
      </c>
      <c r="AQ6" s="116" t="s">
        <v>1028</v>
      </c>
      <c r="AR6" s="166" t="s">
        <v>1040</v>
      </c>
      <c r="AS6" s="167" t="s">
        <v>1027</v>
      </c>
      <c r="AT6" s="116" t="s">
        <v>725</v>
      </c>
      <c r="AU6" s="167" t="s">
        <v>1064</v>
      </c>
      <c r="AV6" t="s">
        <v>628</v>
      </c>
      <c r="AW6" s="371"/>
      <c r="AX6" s="19"/>
      <c r="AY6" s="119"/>
      <c r="AZ6" s="116" t="s">
        <v>1028</v>
      </c>
      <c r="BA6" s="116" t="s">
        <v>1040</v>
      </c>
      <c r="BB6" s="165" t="s">
        <v>1027</v>
      </c>
      <c r="BC6" s="165" t="s">
        <v>725</v>
      </c>
      <c r="BD6" s="116" t="s">
        <v>1064</v>
      </c>
      <c r="BF6" s="122"/>
      <c r="BG6" s="116" t="s">
        <v>1028</v>
      </c>
      <c r="BH6" s="165" t="s">
        <v>725</v>
      </c>
      <c r="BK6" s="116" t="s">
        <v>1028</v>
      </c>
      <c r="BL6" s="165" t="s">
        <v>725</v>
      </c>
      <c r="BO6" s="116" t="s">
        <v>1028</v>
      </c>
      <c r="BP6" s="116" t="s">
        <v>1040</v>
      </c>
      <c r="BQ6" s="165" t="s">
        <v>1027</v>
      </c>
      <c r="BR6" s="165" t="s">
        <v>725</v>
      </c>
      <c r="BS6" s="116" t="s">
        <v>1064</v>
      </c>
      <c r="BW6" s="371" t="s">
        <v>1112</v>
      </c>
      <c r="BX6" s="19" t="s">
        <v>7</v>
      </c>
      <c r="BY6" s="19" t="s">
        <v>8</v>
      </c>
      <c r="BZ6" s="119" t="s">
        <v>6</v>
      </c>
    </row>
    <row r="7" spans="1:78" x14ac:dyDescent="0.3">
      <c r="A7" s="436">
        <v>1109</v>
      </c>
      <c r="B7" s="19" t="s">
        <v>18</v>
      </c>
      <c r="C7" t="s">
        <v>590</v>
      </c>
      <c r="D7" s="563"/>
      <c r="E7" s="120"/>
      <c r="F7" s="563">
        <v>9691.4600000000009</v>
      </c>
      <c r="G7" s="120">
        <v>1.7576554157034451E-5</v>
      </c>
      <c r="H7" s="563">
        <v>28183.719999999998</v>
      </c>
      <c r="I7" s="120">
        <v>1.0315504593786356E-4</v>
      </c>
      <c r="J7" s="563"/>
      <c r="K7" s="120"/>
      <c r="L7" s="563">
        <v>16791.14</v>
      </c>
      <c r="M7" s="120">
        <v>1.1635700334515332E-4</v>
      </c>
      <c r="N7" s="563">
        <v>87145.540000000008</v>
      </c>
      <c r="O7" s="120">
        <v>1.1798937306263295E-4</v>
      </c>
      <c r="P7" s="124">
        <v>141811.86000000002</v>
      </c>
      <c r="Q7" s="124"/>
      <c r="R7" s="563"/>
      <c r="S7" s="120"/>
      <c r="T7" s="373"/>
      <c r="U7" s="539">
        <v>1064</v>
      </c>
      <c r="V7" s="538" t="s">
        <v>591</v>
      </c>
      <c r="W7" s="442" t="s">
        <v>18</v>
      </c>
      <c r="X7" s="552" t="s">
        <v>590</v>
      </c>
      <c r="Y7" s="563"/>
      <c r="Z7" s="563">
        <v>102355.57999999999</v>
      </c>
      <c r="AA7" s="563">
        <v>26550.49</v>
      </c>
      <c r="AB7" s="563"/>
      <c r="AC7" s="563"/>
      <c r="AD7" s="563">
        <v>128906.06999999999</v>
      </c>
      <c r="AE7" s="124"/>
      <c r="AF7" s="539">
        <v>1064</v>
      </c>
      <c r="AG7" s="538" t="s">
        <v>591</v>
      </c>
      <c r="AH7" s="442" t="s">
        <v>18</v>
      </c>
      <c r="AI7" s="552" t="s">
        <v>590</v>
      </c>
      <c r="AJ7" s="563"/>
      <c r="AK7" s="563">
        <v>87145.540000000008</v>
      </c>
      <c r="AL7" s="563">
        <v>28183.719999999998</v>
      </c>
      <c r="AM7" s="563"/>
      <c r="AN7" s="563"/>
      <c r="AO7" s="563">
        <v>115329.26000000001</v>
      </c>
      <c r="AR7" s="124">
        <f>+L7</f>
        <v>16791.14</v>
      </c>
      <c r="AS7" s="124">
        <f>+F7</f>
        <v>9691.4600000000009</v>
      </c>
      <c r="AV7" s="372">
        <f t="shared" ref="AV7:AV71" si="4">SUM(AQ7:AU7)</f>
        <v>26482.6</v>
      </c>
      <c r="AW7" s="124">
        <f>+AV7+AO7-P7</f>
        <v>0</v>
      </c>
      <c r="AZ7" s="563"/>
      <c r="BA7" s="563">
        <v>2162.27</v>
      </c>
      <c r="BB7" s="563">
        <v>726.24</v>
      </c>
      <c r="BC7" s="563"/>
      <c r="BD7" s="563"/>
      <c r="BE7" s="563">
        <v>2888.51</v>
      </c>
      <c r="BF7" s="372"/>
      <c r="BO7" s="563"/>
      <c r="BP7" s="563">
        <v>208454.53</v>
      </c>
      <c r="BQ7" s="563">
        <v>65151.91</v>
      </c>
      <c r="BR7" s="563"/>
      <c r="BS7" s="563"/>
      <c r="BT7" s="563">
        <v>273606.44</v>
      </c>
      <c r="BW7" s="126">
        <v>1064</v>
      </c>
      <c r="BX7" s="125">
        <v>1109</v>
      </c>
      <c r="BY7" s="19" t="s">
        <v>18</v>
      </c>
      <c r="BZ7" t="s">
        <v>1004</v>
      </c>
    </row>
    <row r="8" spans="1:78" x14ac:dyDescent="0.3">
      <c r="A8" s="436">
        <v>1122</v>
      </c>
      <c r="B8" s="19" t="s">
        <v>18</v>
      </c>
      <c r="C8" t="s">
        <v>39</v>
      </c>
      <c r="D8" s="563"/>
      <c r="E8" s="120"/>
      <c r="F8" s="563">
        <v>1855.22</v>
      </c>
      <c r="G8" s="120">
        <v>3.3646504038827434E-6</v>
      </c>
      <c r="H8" s="563">
        <v>5471.82</v>
      </c>
      <c r="I8" s="120">
        <v>2.0027371953160214E-5</v>
      </c>
      <c r="J8" s="563"/>
      <c r="K8" s="120"/>
      <c r="L8" s="563">
        <v>2447.14</v>
      </c>
      <c r="M8" s="120">
        <v>1.6957864514622501E-5</v>
      </c>
      <c r="N8" s="563">
        <v>12558.56</v>
      </c>
      <c r="O8" s="120">
        <v>1.700347052722904E-5</v>
      </c>
      <c r="P8" s="124">
        <v>22332.739999999998</v>
      </c>
      <c r="Q8" s="124"/>
      <c r="R8" s="563"/>
      <c r="S8" s="120"/>
      <c r="T8" s="373"/>
      <c r="U8" s="541">
        <v>57</v>
      </c>
      <c r="V8" s="540" t="s">
        <v>40</v>
      </c>
      <c r="W8" s="442" t="s">
        <v>18</v>
      </c>
      <c r="X8" s="552" t="s">
        <v>39</v>
      </c>
      <c r="Y8" s="563"/>
      <c r="Z8" s="563">
        <v>11700.57</v>
      </c>
      <c r="AA8" s="563">
        <v>5288.42</v>
      </c>
      <c r="AB8" s="563"/>
      <c r="AC8" s="563"/>
      <c r="AD8" s="563">
        <v>16988.989999999998</v>
      </c>
      <c r="AE8" s="124"/>
      <c r="AF8" s="541">
        <v>57</v>
      </c>
      <c r="AG8" s="540" t="s">
        <v>40</v>
      </c>
      <c r="AH8" s="442" t="s">
        <v>18</v>
      </c>
      <c r="AI8" s="552" t="s">
        <v>39</v>
      </c>
      <c r="AJ8" s="563"/>
      <c r="AK8" s="563">
        <v>12558.56</v>
      </c>
      <c r="AL8" s="563">
        <v>5471.82</v>
      </c>
      <c r="AM8" s="563"/>
      <c r="AN8" s="563"/>
      <c r="AO8" s="563">
        <v>18030.379999999997</v>
      </c>
      <c r="AR8" s="124">
        <f>+L8</f>
        <v>2447.14</v>
      </c>
      <c r="AS8" s="124">
        <f>+F8</f>
        <v>1855.22</v>
      </c>
      <c r="AV8" s="372">
        <f t="shared" si="4"/>
        <v>4302.3599999999997</v>
      </c>
      <c r="AW8" s="124">
        <f>+AV8+AO8-P8</f>
        <v>0</v>
      </c>
      <c r="AZ8" s="563"/>
      <c r="BA8" s="563">
        <v>311.57</v>
      </c>
      <c r="BB8" s="563">
        <v>140.97</v>
      </c>
      <c r="BC8" s="563"/>
      <c r="BD8" s="563"/>
      <c r="BE8" s="563">
        <v>452.53999999999996</v>
      </c>
      <c r="BF8" s="372"/>
      <c r="BO8" s="563"/>
      <c r="BP8" s="563">
        <v>27017.84</v>
      </c>
      <c r="BQ8" s="563">
        <v>12756.43</v>
      </c>
      <c r="BR8" s="563"/>
      <c r="BS8" s="563"/>
      <c r="BT8" s="563">
        <v>39774.270000000004</v>
      </c>
      <c r="BW8" s="126">
        <v>57</v>
      </c>
      <c r="BX8" s="125">
        <v>1122</v>
      </c>
      <c r="BY8" s="19" t="s">
        <v>18</v>
      </c>
      <c r="BZ8" t="s">
        <v>742</v>
      </c>
    </row>
    <row r="9" spans="1:78" x14ac:dyDescent="0.3">
      <c r="A9" s="436">
        <v>1147</v>
      </c>
      <c r="B9" s="19" t="s">
        <v>26</v>
      </c>
      <c r="C9" t="s">
        <v>400</v>
      </c>
      <c r="D9" s="563"/>
      <c r="E9" s="120"/>
      <c r="F9" s="563">
        <v>334196.07</v>
      </c>
      <c r="G9" s="120">
        <v>6.0610220992740778E-4</v>
      </c>
      <c r="H9" s="563">
        <v>973292.26</v>
      </c>
      <c r="I9" s="120">
        <v>3.562340521097536E-3</v>
      </c>
      <c r="J9" s="563">
        <v>0</v>
      </c>
      <c r="K9" s="120">
        <v>0</v>
      </c>
      <c r="L9" s="563">
        <v>520511.25</v>
      </c>
      <c r="M9" s="120">
        <v>3.6069694646962587E-3</v>
      </c>
      <c r="N9" s="563">
        <v>2699547.76</v>
      </c>
      <c r="O9" s="120">
        <v>3.6550114642130284E-3</v>
      </c>
      <c r="P9" s="124">
        <v>4527547.34</v>
      </c>
      <c r="Q9" s="124"/>
      <c r="R9" s="563"/>
      <c r="S9" s="120"/>
      <c r="T9" s="373"/>
      <c r="U9" s="541">
        <v>695</v>
      </c>
      <c r="V9" s="540" t="s">
        <v>401</v>
      </c>
      <c r="W9" s="442" t="s">
        <v>26</v>
      </c>
      <c r="X9" s="552" t="s">
        <v>400</v>
      </c>
      <c r="Y9" s="563">
        <v>0</v>
      </c>
      <c r="Z9" s="563">
        <v>2589419.4299999997</v>
      </c>
      <c r="AA9" s="563">
        <v>853401.98</v>
      </c>
      <c r="AB9" s="563"/>
      <c r="AC9" s="563"/>
      <c r="AD9" s="563">
        <v>3442821.4099999997</v>
      </c>
      <c r="AE9" s="124"/>
      <c r="AF9" s="541">
        <v>695</v>
      </c>
      <c r="AG9" s="540" t="s">
        <v>401</v>
      </c>
      <c r="AH9" s="442" t="s">
        <v>26</v>
      </c>
      <c r="AI9" s="552" t="s">
        <v>400</v>
      </c>
      <c r="AJ9" s="563">
        <v>0</v>
      </c>
      <c r="AK9" s="563">
        <v>2699547.76</v>
      </c>
      <c r="AL9" s="563">
        <v>973292.26</v>
      </c>
      <c r="AM9" s="563"/>
      <c r="AN9" s="563"/>
      <c r="AO9" s="563">
        <v>3672840.0199999996</v>
      </c>
      <c r="AR9" s="124">
        <f>+L9</f>
        <v>520511.25</v>
      </c>
      <c r="AS9" s="124">
        <f>+F9</f>
        <v>334196.07</v>
      </c>
      <c r="AV9" s="372">
        <f t="shared" si="4"/>
        <v>854707.32000000007</v>
      </c>
      <c r="AW9" s="124">
        <f>+AV9+AO9-P9</f>
        <v>0</v>
      </c>
      <c r="AZ9" s="563">
        <v>0</v>
      </c>
      <c r="BA9" s="563">
        <v>66986.38</v>
      </c>
      <c r="BB9" s="563">
        <v>25085.309999999998</v>
      </c>
      <c r="BC9" s="563"/>
      <c r="BD9" s="563"/>
      <c r="BE9" s="563">
        <v>92071.69</v>
      </c>
      <c r="BF9" s="372"/>
      <c r="BO9" s="563">
        <v>0</v>
      </c>
      <c r="BP9" s="563">
        <v>5876464.8200000003</v>
      </c>
      <c r="BQ9" s="563">
        <v>2185975.62</v>
      </c>
      <c r="BR9" s="563"/>
      <c r="BS9" s="563"/>
      <c r="BT9" s="563">
        <v>8062440.4400000004</v>
      </c>
      <c r="BW9" s="126">
        <v>695</v>
      </c>
      <c r="BX9" s="125">
        <v>1147</v>
      </c>
      <c r="BY9" s="19" t="s">
        <v>26</v>
      </c>
      <c r="BZ9" t="s">
        <v>914</v>
      </c>
    </row>
    <row r="10" spans="1:78" x14ac:dyDescent="0.3">
      <c r="A10" s="436">
        <v>1158</v>
      </c>
      <c r="B10" s="19" t="s">
        <v>18</v>
      </c>
      <c r="C10" t="s">
        <v>270</v>
      </c>
      <c r="D10" s="563"/>
      <c r="E10" s="120"/>
      <c r="F10" s="563">
        <v>28164.690000000002</v>
      </c>
      <c r="G10" s="120">
        <v>5.1079837207302782E-5</v>
      </c>
      <c r="H10" s="563">
        <v>82921.350000000006</v>
      </c>
      <c r="I10" s="120">
        <v>3.0349988108310983E-4</v>
      </c>
      <c r="J10" s="563">
        <v>0</v>
      </c>
      <c r="K10" s="120">
        <v>0</v>
      </c>
      <c r="L10" s="563">
        <v>30065.949999999997</v>
      </c>
      <c r="M10" s="120">
        <v>2.0834701186013649E-4</v>
      </c>
      <c r="N10" s="563">
        <v>154275.71999999997</v>
      </c>
      <c r="O10" s="120">
        <v>2.0887925511261159E-4</v>
      </c>
      <c r="P10" s="124">
        <v>295427.70999999996</v>
      </c>
      <c r="Q10" s="124"/>
      <c r="R10" s="563"/>
      <c r="S10" s="120"/>
      <c r="T10" s="373"/>
      <c r="U10" s="541">
        <v>543</v>
      </c>
      <c r="V10" s="540" t="s">
        <v>271</v>
      </c>
      <c r="W10" s="442" t="s">
        <v>18</v>
      </c>
      <c r="X10" s="552" t="s">
        <v>270</v>
      </c>
      <c r="Y10" s="563">
        <v>0</v>
      </c>
      <c r="Z10" s="563">
        <v>142496.35</v>
      </c>
      <c r="AA10" s="563">
        <v>73612.13</v>
      </c>
      <c r="AB10" s="563"/>
      <c r="AC10" s="563"/>
      <c r="AD10" s="563">
        <v>216108.48</v>
      </c>
      <c r="AE10" s="124"/>
      <c r="AF10" s="541">
        <v>543</v>
      </c>
      <c r="AG10" s="540" t="s">
        <v>271</v>
      </c>
      <c r="AH10" s="442" t="s">
        <v>18</v>
      </c>
      <c r="AI10" s="552" t="s">
        <v>270</v>
      </c>
      <c r="AJ10" s="563">
        <v>0</v>
      </c>
      <c r="AK10" s="563">
        <v>154275.71999999997</v>
      </c>
      <c r="AL10" s="563">
        <v>82921.350000000006</v>
      </c>
      <c r="AM10" s="563"/>
      <c r="AN10" s="563"/>
      <c r="AO10" s="563">
        <v>237197.06999999998</v>
      </c>
      <c r="AR10" s="124">
        <f>+L10</f>
        <v>30065.949999999997</v>
      </c>
      <c r="AS10" s="124">
        <f>+F10</f>
        <v>28164.690000000002</v>
      </c>
      <c r="AV10" s="372">
        <f t="shared" si="4"/>
        <v>58230.64</v>
      </c>
      <c r="AW10" s="124">
        <f>+AV10+AO10-P10</f>
        <v>0</v>
      </c>
      <c r="AZ10" s="563">
        <v>0</v>
      </c>
      <c r="BA10" s="563">
        <v>3827.94</v>
      </c>
      <c r="BB10" s="563">
        <v>2137</v>
      </c>
      <c r="BC10" s="563"/>
      <c r="BD10" s="563"/>
      <c r="BE10" s="563">
        <v>5964.9400000000005</v>
      </c>
      <c r="BF10" s="372"/>
      <c r="BO10" s="563">
        <v>0</v>
      </c>
      <c r="BP10" s="563">
        <v>330665.96000000002</v>
      </c>
      <c r="BQ10" s="563">
        <v>186835.16999999998</v>
      </c>
      <c r="BR10" s="563"/>
      <c r="BS10" s="563"/>
      <c r="BT10" s="563">
        <v>517501.13</v>
      </c>
      <c r="BW10" s="126">
        <v>543</v>
      </c>
      <c r="BX10" s="125">
        <v>1158</v>
      </c>
      <c r="BY10" s="19" t="s">
        <v>18</v>
      </c>
      <c r="BZ10" t="s">
        <v>854</v>
      </c>
    </row>
    <row r="11" spans="1:78" x14ac:dyDescent="0.3">
      <c r="A11" s="436">
        <v>1160</v>
      </c>
      <c r="B11" s="19" t="s">
        <v>18</v>
      </c>
      <c r="C11" t="s">
        <v>458</v>
      </c>
      <c r="D11" s="563"/>
      <c r="E11" s="120"/>
      <c r="F11" s="563">
        <v>23485.72</v>
      </c>
      <c r="G11" s="120">
        <v>4.2593998169207435E-5</v>
      </c>
      <c r="H11" s="563">
        <v>69562.790000000008</v>
      </c>
      <c r="I11" s="120">
        <v>2.5460630456220672E-4</v>
      </c>
      <c r="J11" s="563"/>
      <c r="K11" s="120"/>
      <c r="L11" s="563">
        <v>42767.6</v>
      </c>
      <c r="M11" s="120">
        <v>2.9636521262190531E-4</v>
      </c>
      <c r="N11" s="563">
        <v>219511.02000000002</v>
      </c>
      <c r="O11" s="120">
        <v>2.9720359332375564E-4</v>
      </c>
      <c r="P11" s="124">
        <v>355327.13</v>
      </c>
      <c r="Q11" s="124"/>
      <c r="R11" s="563"/>
      <c r="S11" s="120"/>
      <c r="T11" s="373"/>
      <c r="U11" s="541">
        <v>814</v>
      </c>
      <c r="V11" s="540" t="s">
        <v>459</v>
      </c>
      <c r="W11" s="442" t="s">
        <v>18</v>
      </c>
      <c r="X11" s="552" t="s">
        <v>458</v>
      </c>
      <c r="Y11" s="563"/>
      <c r="Z11" s="563">
        <v>211546.12</v>
      </c>
      <c r="AA11" s="563">
        <v>62851.3</v>
      </c>
      <c r="AB11" s="563"/>
      <c r="AC11" s="563"/>
      <c r="AD11" s="563">
        <v>274397.42</v>
      </c>
      <c r="AE11" s="124"/>
      <c r="AF11" s="541">
        <v>814</v>
      </c>
      <c r="AG11" s="540" t="s">
        <v>459</v>
      </c>
      <c r="AH11" s="442" t="s">
        <v>18</v>
      </c>
      <c r="AI11" s="552" t="s">
        <v>458</v>
      </c>
      <c r="AJ11" s="563"/>
      <c r="AK11" s="563">
        <v>219511.02000000002</v>
      </c>
      <c r="AL11" s="563">
        <v>69562.790000000008</v>
      </c>
      <c r="AM11" s="563"/>
      <c r="AN11" s="563"/>
      <c r="AO11" s="563">
        <v>289073.81000000006</v>
      </c>
      <c r="AR11" s="124">
        <f>+L11</f>
        <v>42767.6</v>
      </c>
      <c r="AS11" s="124">
        <f>+F11</f>
        <v>23485.72</v>
      </c>
      <c r="AV11" s="372">
        <f t="shared" si="4"/>
        <v>66253.320000000007</v>
      </c>
      <c r="AW11" s="124">
        <f>+AV11+AO11-P11</f>
        <v>0</v>
      </c>
      <c r="AZ11" s="563"/>
      <c r="BA11" s="563">
        <v>5446.79</v>
      </c>
      <c r="BB11" s="563">
        <v>1792.69</v>
      </c>
      <c r="BC11" s="563"/>
      <c r="BD11" s="563"/>
      <c r="BE11" s="563">
        <v>7239.48</v>
      </c>
      <c r="BF11" s="372"/>
      <c r="BO11" s="563"/>
      <c r="BP11" s="563">
        <v>479271.53</v>
      </c>
      <c r="BQ11" s="563">
        <v>157692.5</v>
      </c>
      <c r="BR11" s="563"/>
      <c r="BS11" s="563"/>
      <c r="BT11" s="563">
        <v>636964.03</v>
      </c>
      <c r="BW11" s="126">
        <v>814</v>
      </c>
      <c r="BX11" s="125">
        <v>1160</v>
      </c>
      <c r="BY11" s="19" t="s">
        <v>18</v>
      </c>
      <c r="BZ11" t="s">
        <v>942</v>
      </c>
    </row>
    <row r="12" spans="1:78" x14ac:dyDescent="0.3">
      <c r="A12" s="436">
        <v>2250</v>
      </c>
      <c r="B12" s="19" t="s">
        <v>26</v>
      </c>
      <c r="C12" t="s">
        <v>90</v>
      </c>
      <c r="D12" s="563">
        <v>3706.92</v>
      </c>
      <c r="E12" s="120">
        <v>6.722916891344972E-6</v>
      </c>
      <c r="F12" s="563">
        <v>216726.81</v>
      </c>
      <c r="G12" s="120">
        <v>3.9305847759226321E-4</v>
      </c>
      <c r="H12" s="563">
        <v>623197.5</v>
      </c>
      <c r="I12" s="120">
        <v>2.2809610207900777E-3</v>
      </c>
      <c r="J12" s="563">
        <v>23697.54</v>
      </c>
      <c r="K12" s="120">
        <v>1.6421605329071788E-4</v>
      </c>
      <c r="L12" s="563">
        <v>285777.58999999997</v>
      </c>
      <c r="M12" s="120">
        <v>1.9803434427680222E-3</v>
      </c>
      <c r="N12" s="563">
        <v>1433853.6099999999</v>
      </c>
      <c r="O12" s="120">
        <v>1.9413441985383644E-3</v>
      </c>
      <c r="P12" s="124">
        <v>2586959.9699999997</v>
      </c>
      <c r="Q12" s="124"/>
      <c r="R12" s="563"/>
      <c r="S12" s="120"/>
      <c r="T12" s="373"/>
      <c r="U12" s="541">
        <v>156</v>
      </c>
      <c r="V12" s="540" t="s">
        <v>91</v>
      </c>
      <c r="W12" s="442" t="s">
        <v>26</v>
      </c>
      <c r="X12" s="552" t="s">
        <v>90</v>
      </c>
      <c r="Y12" s="563">
        <v>14779.96</v>
      </c>
      <c r="Z12" s="563">
        <v>1403341.92</v>
      </c>
      <c r="AA12" s="563">
        <v>599091.83000000007</v>
      </c>
      <c r="AB12" s="563">
        <v>2469.46</v>
      </c>
      <c r="AC12" s="563"/>
      <c r="AD12" s="563">
        <v>2019683.17</v>
      </c>
      <c r="AE12" s="124"/>
      <c r="AF12" s="541">
        <v>156</v>
      </c>
      <c r="AG12" s="540" t="s">
        <v>91</v>
      </c>
      <c r="AH12" s="442" t="s">
        <v>26</v>
      </c>
      <c r="AI12" s="552" t="s">
        <v>90</v>
      </c>
      <c r="AJ12" s="563">
        <v>23697.54</v>
      </c>
      <c r="AK12" s="563">
        <v>1433853.6099999999</v>
      </c>
      <c r="AL12" s="563">
        <v>623197.5</v>
      </c>
      <c r="AM12" s="563">
        <v>3706.92</v>
      </c>
      <c r="AN12" s="563"/>
      <c r="AO12" s="563">
        <v>2084455.5699999998</v>
      </c>
      <c r="AR12" s="124">
        <f>+L12</f>
        <v>285777.58999999997</v>
      </c>
      <c r="AS12" s="124">
        <f>+F12</f>
        <v>216726.81</v>
      </c>
      <c r="AV12" s="372">
        <f t="shared" si="4"/>
        <v>502504.39999999997</v>
      </c>
      <c r="AW12" s="124">
        <f>+AV12+AO12-P12</f>
        <v>0</v>
      </c>
      <c r="AZ12" s="563">
        <v>492.56</v>
      </c>
      <c r="BA12" s="563">
        <v>35542.979999999996</v>
      </c>
      <c r="BB12" s="563">
        <v>16013.32</v>
      </c>
      <c r="BC12" s="563">
        <v>82.23</v>
      </c>
      <c r="BD12" s="563"/>
      <c r="BE12" s="563">
        <v>52131.09</v>
      </c>
      <c r="BF12" s="372"/>
      <c r="BO12" s="563">
        <v>38970.06</v>
      </c>
      <c r="BP12" s="563">
        <v>3158516.1</v>
      </c>
      <c r="BQ12" s="563">
        <v>1455029.46</v>
      </c>
      <c r="BR12" s="563">
        <v>6258.61</v>
      </c>
      <c r="BS12" s="563"/>
      <c r="BT12" s="563">
        <v>4658774.2300000004</v>
      </c>
      <c r="BW12" s="126">
        <v>156</v>
      </c>
      <c r="BX12" s="125">
        <v>2250</v>
      </c>
      <c r="BY12" s="19" t="s">
        <v>26</v>
      </c>
      <c r="BZ12" t="s">
        <v>766</v>
      </c>
    </row>
    <row r="13" spans="1:78" x14ac:dyDescent="0.3">
      <c r="A13" s="436">
        <v>2420</v>
      </c>
      <c r="B13" s="19" t="s">
        <v>26</v>
      </c>
      <c r="C13" t="s">
        <v>24</v>
      </c>
      <c r="D13" s="563"/>
      <c r="E13" s="120"/>
      <c r="F13" s="563">
        <v>43375.770000000004</v>
      </c>
      <c r="G13" s="120">
        <v>7.8666843850985326E-5</v>
      </c>
      <c r="H13" s="563">
        <v>128082.09999999999</v>
      </c>
      <c r="I13" s="120">
        <v>4.6879244149878137E-4</v>
      </c>
      <c r="J13" s="563"/>
      <c r="K13" s="120"/>
      <c r="L13" s="563">
        <v>71225.33</v>
      </c>
      <c r="M13" s="120">
        <v>4.9356779593700303E-4</v>
      </c>
      <c r="N13" s="563">
        <v>365998.47</v>
      </c>
      <c r="O13" s="120">
        <v>4.9553803920639964E-4</v>
      </c>
      <c r="P13" s="124">
        <v>608681.66999999993</v>
      </c>
      <c r="Q13" s="124"/>
      <c r="R13" s="563"/>
      <c r="S13" s="120"/>
      <c r="T13" s="373"/>
      <c r="U13" s="541">
        <v>29</v>
      </c>
      <c r="V13" s="540" t="s">
        <v>25</v>
      </c>
      <c r="W13" s="442" t="s">
        <v>26</v>
      </c>
      <c r="X13" s="552" t="s">
        <v>24</v>
      </c>
      <c r="Y13" s="563"/>
      <c r="Z13" s="563">
        <v>356898.49</v>
      </c>
      <c r="AA13" s="563">
        <v>125709.70999999999</v>
      </c>
      <c r="AB13" s="563"/>
      <c r="AC13" s="563"/>
      <c r="AD13" s="563">
        <v>482608.19999999995</v>
      </c>
      <c r="AE13" s="124"/>
      <c r="AF13" s="541">
        <v>29</v>
      </c>
      <c r="AG13" s="540" t="s">
        <v>25</v>
      </c>
      <c r="AH13" s="442" t="s">
        <v>26</v>
      </c>
      <c r="AI13" s="552" t="s">
        <v>24</v>
      </c>
      <c r="AJ13" s="563"/>
      <c r="AK13" s="563">
        <v>365998.47</v>
      </c>
      <c r="AL13" s="563">
        <v>128082.09999999999</v>
      </c>
      <c r="AM13" s="563"/>
      <c r="AN13" s="563"/>
      <c r="AO13" s="563">
        <v>494080.56999999995</v>
      </c>
      <c r="AR13" s="124">
        <f>+L13</f>
        <v>71225.33</v>
      </c>
      <c r="AS13" s="124">
        <f>+F13</f>
        <v>43375.770000000004</v>
      </c>
      <c r="AV13" s="372">
        <f t="shared" si="4"/>
        <v>114601.1</v>
      </c>
      <c r="AW13" s="124">
        <f>+AV13+AO13-P13</f>
        <v>0</v>
      </c>
      <c r="AZ13" s="563"/>
      <c r="BA13" s="563">
        <v>9081.75</v>
      </c>
      <c r="BB13" s="563">
        <v>3300.9399999999996</v>
      </c>
      <c r="BC13" s="563"/>
      <c r="BD13" s="563"/>
      <c r="BE13" s="563">
        <v>12382.689999999999</v>
      </c>
      <c r="BF13" s="372"/>
      <c r="BO13" s="563"/>
      <c r="BP13" s="563">
        <v>803204.04</v>
      </c>
      <c r="BQ13" s="563">
        <v>300468.52</v>
      </c>
      <c r="BR13" s="563"/>
      <c r="BS13" s="563"/>
      <c r="BT13" s="563">
        <v>1103672.56</v>
      </c>
      <c r="BW13" s="126">
        <v>29</v>
      </c>
      <c r="BX13" s="125">
        <v>2420</v>
      </c>
      <c r="BY13" s="19" t="s">
        <v>26</v>
      </c>
      <c r="BZ13" t="s">
        <v>736</v>
      </c>
    </row>
    <row r="14" spans="1:78" x14ac:dyDescent="0.3">
      <c r="A14" s="436">
        <v>3017</v>
      </c>
      <c r="B14" s="19" t="s">
        <v>26</v>
      </c>
      <c r="C14" t="s">
        <v>240</v>
      </c>
      <c r="D14" s="563">
        <v>2300.2800000000002</v>
      </c>
      <c r="E14" s="120">
        <v>4.1718168363015692E-6</v>
      </c>
      <c r="F14" s="563">
        <v>1179836.17</v>
      </c>
      <c r="G14" s="120">
        <v>2.1397657668125445E-3</v>
      </c>
      <c r="H14" s="563">
        <v>3492064.7</v>
      </c>
      <c r="I14" s="120">
        <v>1.2781282759922812E-2</v>
      </c>
      <c r="J14" s="563">
        <v>0</v>
      </c>
      <c r="K14" s="120">
        <v>0</v>
      </c>
      <c r="L14" s="563">
        <v>2221232.0700000003</v>
      </c>
      <c r="M14" s="120">
        <v>1.5392397859785094E-2</v>
      </c>
      <c r="N14" s="563">
        <v>11415584.92</v>
      </c>
      <c r="O14" s="120">
        <v>1.5455956872308631E-2</v>
      </c>
      <c r="P14" s="124">
        <v>18311018.140000001</v>
      </c>
      <c r="Q14" s="124"/>
      <c r="R14" s="563"/>
      <c r="S14" s="120"/>
      <c r="T14" s="373"/>
      <c r="U14" s="541">
        <v>433</v>
      </c>
      <c r="V14" s="540" t="s">
        <v>241</v>
      </c>
      <c r="W14" s="442" t="s">
        <v>26</v>
      </c>
      <c r="X14" s="552" t="s">
        <v>240</v>
      </c>
      <c r="Y14" s="563">
        <v>0</v>
      </c>
      <c r="Z14" s="563">
        <v>10766269.17</v>
      </c>
      <c r="AA14" s="563">
        <v>3270921.87</v>
      </c>
      <c r="AB14" s="563">
        <v>1534.06</v>
      </c>
      <c r="AC14" s="563"/>
      <c r="AD14" s="563">
        <v>14038725.1</v>
      </c>
      <c r="AE14" s="124"/>
      <c r="AF14" s="541">
        <v>433</v>
      </c>
      <c r="AG14" s="540" t="s">
        <v>241</v>
      </c>
      <c r="AH14" s="442" t="s">
        <v>26</v>
      </c>
      <c r="AI14" s="552" t="s">
        <v>240</v>
      </c>
      <c r="AJ14" s="563">
        <v>0</v>
      </c>
      <c r="AK14" s="563">
        <v>11415584.92</v>
      </c>
      <c r="AL14" s="563">
        <v>3492064.7</v>
      </c>
      <c r="AM14" s="563">
        <v>2300.2800000000002</v>
      </c>
      <c r="AN14" s="563"/>
      <c r="AO14" s="563">
        <v>14909949.9</v>
      </c>
      <c r="AR14" s="124">
        <f>+L14</f>
        <v>2221232.0700000003</v>
      </c>
      <c r="AS14" s="124">
        <f>+F14</f>
        <v>1179836.17</v>
      </c>
      <c r="AV14" s="372">
        <f t="shared" si="4"/>
        <v>3401068.24</v>
      </c>
      <c r="AW14" s="124">
        <f>+AV14+AO14-P14</f>
        <v>0</v>
      </c>
      <c r="AZ14" s="563">
        <v>0</v>
      </c>
      <c r="BA14" s="563">
        <v>283267.13</v>
      </c>
      <c r="BB14" s="563">
        <v>90003.25</v>
      </c>
      <c r="BC14" s="563">
        <v>51.06</v>
      </c>
      <c r="BD14" s="563"/>
      <c r="BE14" s="563">
        <v>373321.44</v>
      </c>
      <c r="BF14" s="372"/>
      <c r="BO14" s="563">
        <v>0</v>
      </c>
      <c r="BP14" s="563">
        <v>24686353.289999999</v>
      </c>
      <c r="BQ14" s="563">
        <v>8032825.9900000002</v>
      </c>
      <c r="BR14" s="563">
        <v>3885.4</v>
      </c>
      <c r="BS14" s="563"/>
      <c r="BT14" s="563">
        <v>32723064.68</v>
      </c>
      <c r="BW14" s="126">
        <v>433</v>
      </c>
      <c r="BX14" s="125">
        <v>3017</v>
      </c>
      <c r="BY14" s="19" t="s">
        <v>26</v>
      </c>
      <c r="BZ14" t="s">
        <v>840</v>
      </c>
    </row>
    <row r="15" spans="1:78" x14ac:dyDescent="0.3">
      <c r="A15" s="436">
        <v>3050</v>
      </c>
      <c r="B15" s="19" t="s">
        <v>26</v>
      </c>
      <c r="C15" t="s">
        <v>410</v>
      </c>
      <c r="D15" s="563"/>
      <c r="E15" s="120"/>
      <c r="F15" s="563">
        <v>12518.21</v>
      </c>
      <c r="G15" s="120">
        <v>2.2703183629105437E-5</v>
      </c>
      <c r="H15" s="563">
        <v>36584.46</v>
      </c>
      <c r="I15" s="120">
        <v>1.3390253848363283E-4</v>
      </c>
      <c r="J15" s="563"/>
      <c r="K15" s="120"/>
      <c r="L15" s="563">
        <v>19933.879999999997</v>
      </c>
      <c r="M15" s="120">
        <v>1.381351440010556E-4</v>
      </c>
      <c r="N15" s="563">
        <v>103284.26</v>
      </c>
      <c r="O15" s="120">
        <v>1.3984014654838304E-4</v>
      </c>
      <c r="P15" s="124">
        <v>172320.81</v>
      </c>
      <c r="Q15" s="124"/>
      <c r="R15" s="563"/>
      <c r="S15" s="120"/>
      <c r="T15" s="373"/>
      <c r="U15" s="541">
        <v>712</v>
      </c>
      <c r="V15" s="540" t="s">
        <v>411</v>
      </c>
      <c r="W15" s="442" t="s">
        <v>26</v>
      </c>
      <c r="X15" s="552" t="s">
        <v>410</v>
      </c>
      <c r="Y15" s="563"/>
      <c r="Z15" s="563">
        <v>107995.12</v>
      </c>
      <c r="AA15" s="563">
        <v>35183.339999999997</v>
      </c>
      <c r="AB15" s="563"/>
      <c r="AC15" s="563"/>
      <c r="AD15" s="563">
        <v>143178.46</v>
      </c>
      <c r="AE15" s="124"/>
      <c r="AF15" s="541">
        <v>712</v>
      </c>
      <c r="AG15" s="540" t="s">
        <v>411</v>
      </c>
      <c r="AH15" s="442" t="s">
        <v>26</v>
      </c>
      <c r="AI15" s="552" t="s">
        <v>410</v>
      </c>
      <c r="AJ15" s="563"/>
      <c r="AK15" s="563">
        <v>103284.26</v>
      </c>
      <c r="AL15" s="563">
        <v>36584.46</v>
      </c>
      <c r="AM15" s="563"/>
      <c r="AN15" s="563"/>
      <c r="AO15" s="563">
        <v>139868.72</v>
      </c>
      <c r="AR15" s="124">
        <f>+L15</f>
        <v>19933.879999999997</v>
      </c>
      <c r="AS15" s="124">
        <f>+F15</f>
        <v>12518.21</v>
      </c>
      <c r="AV15" s="372">
        <f t="shared" si="4"/>
        <v>32452.089999999997</v>
      </c>
      <c r="AW15" s="124">
        <f>+AV15+AO15-P15</f>
        <v>0</v>
      </c>
      <c r="AZ15" s="563"/>
      <c r="BA15" s="563">
        <v>2562.7799999999997</v>
      </c>
      <c r="BB15" s="563">
        <v>942.74</v>
      </c>
      <c r="BC15" s="563"/>
      <c r="BD15" s="563"/>
      <c r="BE15" s="563">
        <v>3505.5199999999995</v>
      </c>
      <c r="BF15" s="372"/>
      <c r="BO15" s="563"/>
      <c r="BP15" s="563">
        <v>233776.04</v>
      </c>
      <c r="BQ15" s="563">
        <v>85228.75</v>
      </c>
      <c r="BR15" s="563"/>
      <c r="BS15" s="563"/>
      <c r="BT15" s="563">
        <v>319004.79000000004</v>
      </c>
      <c r="BW15" s="126">
        <v>712</v>
      </c>
      <c r="BX15" s="125">
        <v>3050</v>
      </c>
      <c r="BY15" s="19" t="s">
        <v>26</v>
      </c>
      <c r="BZ15" t="s">
        <v>919</v>
      </c>
    </row>
    <row r="16" spans="1:78" x14ac:dyDescent="0.3">
      <c r="A16" s="436">
        <v>3052</v>
      </c>
      <c r="B16" s="19" t="s">
        <v>26</v>
      </c>
      <c r="C16" t="s">
        <v>246</v>
      </c>
      <c r="D16" s="563"/>
      <c r="E16" s="120"/>
      <c r="F16" s="563">
        <v>105974.26</v>
      </c>
      <c r="G16" s="120">
        <v>1.9219625527440131E-4</v>
      </c>
      <c r="H16" s="563">
        <v>312832.65000000002</v>
      </c>
      <c r="I16" s="120">
        <v>1.144996699570305E-3</v>
      </c>
      <c r="J16" s="563">
        <v>0</v>
      </c>
      <c r="K16" s="120">
        <v>0</v>
      </c>
      <c r="L16" s="563">
        <v>157035.70000000001</v>
      </c>
      <c r="M16" s="120">
        <v>1.0882050575606239E-3</v>
      </c>
      <c r="N16" s="563">
        <v>802631.34999999986</v>
      </c>
      <c r="O16" s="120">
        <v>1.0867104591573439E-3</v>
      </c>
      <c r="P16" s="124">
        <v>1378473.96</v>
      </c>
      <c r="Q16" s="124"/>
      <c r="R16" s="563"/>
      <c r="S16" s="120"/>
      <c r="T16" s="373"/>
      <c r="U16" s="541">
        <v>483</v>
      </c>
      <c r="V16" s="540" t="s">
        <v>247</v>
      </c>
      <c r="W16" s="442" t="s">
        <v>26</v>
      </c>
      <c r="X16" s="552" t="s">
        <v>246</v>
      </c>
      <c r="Y16" s="563">
        <v>0</v>
      </c>
      <c r="Z16" s="563">
        <v>784835.01</v>
      </c>
      <c r="AA16" s="563">
        <v>290626.48</v>
      </c>
      <c r="AB16" s="563"/>
      <c r="AC16" s="563"/>
      <c r="AD16" s="563">
        <v>1075461.49</v>
      </c>
      <c r="AE16" s="124"/>
      <c r="AF16" s="541">
        <v>483</v>
      </c>
      <c r="AG16" s="540" t="s">
        <v>247</v>
      </c>
      <c r="AH16" s="442" t="s">
        <v>26</v>
      </c>
      <c r="AI16" s="552" t="s">
        <v>246</v>
      </c>
      <c r="AJ16" s="563">
        <v>0</v>
      </c>
      <c r="AK16" s="563">
        <v>802631.34999999986</v>
      </c>
      <c r="AL16" s="563">
        <v>312832.65000000002</v>
      </c>
      <c r="AM16" s="563"/>
      <c r="AN16" s="563"/>
      <c r="AO16" s="563">
        <v>1115464</v>
      </c>
      <c r="AR16" s="124">
        <f>+L16</f>
        <v>157035.70000000001</v>
      </c>
      <c r="AS16" s="124">
        <f>+F16</f>
        <v>105974.26</v>
      </c>
      <c r="AV16" s="372">
        <f t="shared" si="4"/>
        <v>263009.96000000002</v>
      </c>
      <c r="AW16" s="124">
        <f>+AV16+AO16-P16</f>
        <v>0</v>
      </c>
      <c r="AZ16" s="563">
        <v>0</v>
      </c>
      <c r="BA16" s="563">
        <v>19912.34</v>
      </c>
      <c r="BB16" s="563">
        <v>8062.5599999999995</v>
      </c>
      <c r="BC16" s="563"/>
      <c r="BD16" s="563"/>
      <c r="BE16" s="563">
        <v>27974.9</v>
      </c>
      <c r="BF16" s="372"/>
      <c r="BO16" s="563">
        <v>0</v>
      </c>
      <c r="BP16" s="563">
        <v>1764414.4</v>
      </c>
      <c r="BQ16" s="563">
        <v>717495.95</v>
      </c>
      <c r="BR16" s="563"/>
      <c r="BS16" s="563"/>
      <c r="BT16" s="563">
        <v>2481910.3499999996</v>
      </c>
      <c r="BW16" s="126">
        <v>483</v>
      </c>
      <c r="BX16" s="125">
        <v>3052</v>
      </c>
      <c r="BY16" s="19" t="s">
        <v>26</v>
      </c>
      <c r="BZ16" t="s">
        <v>843</v>
      </c>
    </row>
    <row r="17" spans="1:78" x14ac:dyDescent="0.3">
      <c r="A17" s="436">
        <v>3053</v>
      </c>
      <c r="B17" s="19" t="s">
        <v>26</v>
      </c>
      <c r="C17" t="s">
        <v>186</v>
      </c>
      <c r="D17" s="563"/>
      <c r="E17" s="120"/>
      <c r="F17" s="563">
        <v>58540.47</v>
      </c>
      <c r="G17" s="120">
        <v>1.061697351413771E-4</v>
      </c>
      <c r="H17" s="563">
        <v>173048.24</v>
      </c>
      <c r="I17" s="120">
        <v>6.3337271114907604E-4</v>
      </c>
      <c r="J17" s="563"/>
      <c r="K17" s="120"/>
      <c r="L17" s="563">
        <v>96965.16</v>
      </c>
      <c r="M17" s="120">
        <v>6.719362381877185E-4</v>
      </c>
      <c r="N17" s="563">
        <v>497629.68000000005</v>
      </c>
      <c r="O17" s="120">
        <v>6.7375810581423508E-4</v>
      </c>
      <c r="P17" s="124">
        <v>826183.55</v>
      </c>
      <c r="Q17" s="124"/>
      <c r="R17" s="563"/>
      <c r="S17" s="120"/>
      <c r="T17" s="373"/>
      <c r="U17" s="541">
        <v>305</v>
      </c>
      <c r="V17" s="540" t="s">
        <v>187</v>
      </c>
      <c r="W17" s="442" t="s">
        <v>26</v>
      </c>
      <c r="X17" s="552" t="s">
        <v>186</v>
      </c>
      <c r="Y17" s="563"/>
      <c r="Z17" s="563">
        <v>470849.13</v>
      </c>
      <c r="AA17" s="563">
        <v>159625.97999999998</v>
      </c>
      <c r="AB17" s="563"/>
      <c r="AC17" s="563"/>
      <c r="AD17" s="563">
        <v>630475.11</v>
      </c>
      <c r="AE17" s="124"/>
      <c r="AF17" s="541">
        <v>305</v>
      </c>
      <c r="AG17" s="540" t="s">
        <v>187</v>
      </c>
      <c r="AH17" s="442" t="s">
        <v>26</v>
      </c>
      <c r="AI17" s="552" t="s">
        <v>186</v>
      </c>
      <c r="AJ17" s="563"/>
      <c r="AK17" s="563">
        <v>497629.68000000005</v>
      </c>
      <c r="AL17" s="563">
        <v>173048.24</v>
      </c>
      <c r="AM17" s="563"/>
      <c r="AN17" s="563"/>
      <c r="AO17" s="563">
        <v>670677.92000000004</v>
      </c>
      <c r="AR17" s="124">
        <f>+L17</f>
        <v>96965.16</v>
      </c>
      <c r="AS17" s="124">
        <f>+F17</f>
        <v>58540.47</v>
      </c>
      <c r="AV17" s="372">
        <f t="shared" si="4"/>
        <v>155505.63</v>
      </c>
      <c r="AW17" s="124">
        <f>+AV17+AO17-P17</f>
        <v>0</v>
      </c>
      <c r="AZ17" s="563"/>
      <c r="BA17" s="563">
        <v>12347.970000000001</v>
      </c>
      <c r="BB17" s="563">
        <v>4459.8500000000004</v>
      </c>
      <c r="BC17" s="563"/>
      <c r="BD17" s="563"/>
      <c r="BE17" s="563">
        <v>16807.82</v>
      </c>
      <c r="BF17" s="372"/>
      <c r="BO17" s="563"/>
      <c r="BP17" s="563">
        <v>1077791.94</v>
      </c>
      <c r="BQ17" s="563">
        <v>395674.54</v>
      </c>
      <c r="BR17" s="563"/>
      <c r="BS17" s="563"/>
      <c r="BT17" s="563">
        <v>1473466.48</v>
      </c>
      <c r="BW17" s="126">
        <v>305</v>
      </c>
      <c r="BX17" s="125">
        <v>3053</v>
      </c>
      <c r="BY17" s="19" t="s">
        <v>26</v>
      </c>
      <c r="BZ17" t="s">
        <v>813</v>
      </c>
    </row>
    <row r="18" spans="1:78" x14ac:dyDescent="0.3">
      <c r="A18" s="436">
        <v>3116</v>
      </c>
      <c r="B18" s="19" t="s">
        <v>26</v>
      </c>
      <c r="C18" t="s">
        <v>426</v>
      </c>
      <c r="D18" s="563"/>
      <c r="E18" s="120"/>
      <c r="F18" s="563">
        <v>174267.62</v>
      </c>
      <c r="G18" s="120">
        <v>3.1605395479602659E-4</v>
      </c>
      <c r="H18" s="563">
        <v>514733.37</v>
      </c>
      <c r="I18" s="120">
        <v>1.8839721806809507E-3</v>
      </c>
      <c r="J18" s="563">
        <v>0</v>
      </c>
      <c r="K18" s="120">
        <v>0</v>
      </c>
      <c r="L18" s="563">
        <v>264356.57999999996</v>
      </c>
      <c r="M18" s="120">
        <v>1.8319029835599779E-3</v>
      </c>
      <c r="N18" s="563">
        <v>1348540.58</v>
      </c>
      <c r="O18" s="120">
        <v>1.8258359244055335E-3</v>
      </c>
      <c r="P18" s="124">
        <v>2301898.15</v>
      </c>
      <c r="Q18" s="124"/>
      <c r="R18" s="563"/>
      <c r="S18" s="120"/>
      <c r="T18" s="373"/>
      <c r="U18" s="541">
        <v>767</v>
      </c>
      <c r="V18" s="540" t="s">
        <v>427</v>
      </c>
      <c r="W18" s="442" t="s">
        <v>26</v>
      </c>
      <c r="X18" s="552" t="s">
        <v>426</v>
      </c>
      <c r="Y18" s="563">
        <v>0</v>
      </c>
      <c r="Z18" s="563">
        <v>1272963.1399999999</v>
      </c>
      <c r="AA18" s="563">
        <v>466523.29</v>
      </c>
      <c r="AB18" s="563"/>
      <c r="AC18" s="563"/>
      <c r="AD18" s="563">
        <v>1739486.43</v>
      </c>
      <c r="AE18" s="124"/>
      <c r="AF18" s="541">
        <v>767</v>
      </c>
      <c r="AG18" s="540" t="s">
        <v>427</v>
      </c>
      <c r="AH18" s="442" t="s">
        <v>26</v>
      </c>
      <c r="AI18" s="552" t="s">
        <v>426</v>
      </c>
      <c r="AJ18" s="563">
        <v>0</v>
      </c>
      <c r="AK18" s="563">
        <v>1348540.58</v>
      </c>
      <c r="AL18" s="563">
        <v>514733.37</v>
      </c>
      <c r="AM18" s="563"/>
      <c r="AN18" s="563"/>
      <c r="AO18" s="563">
        <v>1863273.9500000002</v>
      </c>
      <c r="AR18" s="124">
        <f>+L18</f>
        <v>264356.57999999996</v>
      </c>
      <c r="AS18" s="124">
        <f>+F18</f>
        <v>174267.62</v>
      </c>
      <c r="AV18" s="372">
        <f t="shared" si="4"/>
        <v>438624.19999999995</v>
      </c>
      <c r="AW18" s="124">
        <f>+AV18+AO18-P18</f>
        <v>0</v>
      </c>
      <c r="AZ18" s="563">
        <v>0</v>
      </c>
      <c r="BA18" s="563">
        <v>33451.800000000003</v>
      </c>
      <c r="BB18" s="563">
        <v>13268.58</v>
      </c>
      <c r="BC18" s="563"/>
      <c r="BD18" s="563"/>
      <c r="BE18" s="563">
        <v>46720.380000000005</v>
      </c>
      <c r="BF18" s="372"/>
      <c r="BO18" s="563">
        <v>0</v>
      </c>
      <c r="BP18" s="563">
        <v>2919312.0999999996</v>
      </c>
      <c r="BQ18" s="563">
        <v>1168792.8599999999</v>
      </c>
      <c r="BR18" s="563"/>
      <c r="BS18" s="563"/>
      <c r="BT18" s="563">
        <v>4088104.9599999995</v>
      </c>
      <c r="BW18" s="126">
        <v>767</v>
      </c>
      <c r="BX18" s="125">
        <v>3116</v>
      </c>
      <c r="BY18" s="19" t="s">
        <v>26</v>
      </c>
      <c r="BZ18" t="s">
        <v>927</v>
      </c>
    </row>
    <row r="19" spans="1:78" x14ac:dyDescent="0.3">
      <c r="A19" s="436">
        <v>3400</v>
      </c>
      <c r="B19" s="19" t="s">
        <v>26</v>
      </c>
      <c r="C19" t="s">
        <v>454</v>
      </c>
      <c r="D19" s="563">
        <v>18727.09</v>
      </c>
      <c r="E19" s="120">
        <v>3.3963686749845562E-5</v>
      </c>
      <c r="F19" s="563">
        <v>917955.46</v>
      </c>
      <c r="G19" s="120">
        <v>1.6648156063622478E-3</v>
      </c>
      <c r="H19" s="563">
        <v>2669162.39</v>
      </c>
      <c r="I19" s="120">
        <v>9.7693834935937383E-3</v>
      </c>
      <c r="J19" s="563">
        <v>0</v>
      </c>
      <c r="K19" s="120">
        <v>0</v>
      </c>
      <c r="L19" s="563">
        <v>1867646.06</v>
      </c>
      <c r="M19" s="120">
        <v>1.2942164668449101E-2</v>
      </c>
      <c r="N19" s="563">
        <v>9628427.4700000007</v>
      </c>
      <c r="O19" s="120">
        <v>1.303626233498964E-2</v>
      </c>
      <c r="P19" s="124">
        <v>15101918.470000001</v>
      </c>
      <c r="Q19" s="124"/>
      <c r="R19" s="563"/>
      <c r="S19" s="120"/>
      <c r="T19" s="373"/>
      <c r="U19" s="541">
        <v>810</v>
      </c>
      <c r="V19" s="540" t="s">
        <v>455</v>
      </c>
      <c r="W19" s="442" t="s">
        <v>26</v>
      </c>
      <c r="X19" s="552" t="s">
        <v>454</v>
      </c>
      <c r="Y19" s="563">
        <v>0</v>
      </c>
      <c r="Z19" s="563">
        <v>9275672.75</v>
      </c>
      <c r="AA19" s="563">
        <v>2498096.2600000002</v>
      </c>
      <c r="AB19" s="563">
        <v>12564.43</v>
      </c>
      <c r="AC19" s="563"/>
      <c r="AD19" s="563">
        <v>11786333.440000001</v>
      </c>
      <c r="AE19" s="124"/>
      <c r="AF19" s="541">
        <v>810</v>
      </c>
      <c r="AG19" s="540" t="s">
        <v>455</v>
      </c>
      <c r="AH19" s="442" t="s">
        <v>26</v>
      </c>
      <c r="AI19" s="552" t="s">
        <v>454</v>
      </c>
      <c r="AJ19" s="563">
        <v>0</v>
      </c>
      <c r="AK19" s="563">
        <v>9628427.4700000007</v>
      </c>
      <c r="AL19" s="563">
        <v>2669162.39</v>
      </c>
      <c r="AM19" s="563">
        <v>18727.09</v>
      </c>
      <c r="AN19" s="563"/>
      <c r="AO19" s="563">
        <v>12316316.950000001</v>
      </c>
      <c r="AR19" s="124">
        <f>+L19</f>
        <v>1867646.06</v>
      </c>
      <c r="AS19" s="124">
        <f>+F19</f>
        <v>917955.46</v>
      </c>
      <c r="AV19" s="372">
        <f t="shared" si="4"/>
        <v>2785601.52</v>
      </c>
      <c r="AW19" s="124">
        <f>+AV19+AO19-P19</f>
        <v>0</v>
      </c>
      <c r="AZ19" s="563">
        <v>0</v>
      </c>
      <c r="BA19" s="563">
        <v>238900.39</v>
      </c>
      <c r="BB19" s="563">
        <v>68758.600000000006</v>
      </c>
      <c r="BC19" s="563">
        <v>418.78</v>
      </c>
      <c r="BD19" s="563"/>
      <c r="BE19" s="563">
        <v>308077.77</v>
      </c>
      <c r="BF19" s="372"/>
      <c r="BO19" s="563">
        <v>0</v>
      </c>
      <c r="BP19" s="563">
        <v>21010646.670000002</v>
      </c>
      <c r="BQ19" s="563">
        <v>6153972.71</v>
      </c>
      <c r="BR19" s="563">
        <v>31710.3</v>
      </c>
      <c r="BS19" s="563"/>
      <c r="BT19" s="563">
        <v>27196329.68</v>
      </c>
      <c r="BW19" s="126">
        <v>810</v>
      </c>
      <c r="BX19" s="125">
        <v>3400</v>
      </c>
      <c r="BY19" s="19" t="s">
        <v>26</v>
      </c>
      <c r="BZ19" t="s">
        <v>940</v>
      </c>
    </row>
    <row r="20" spans="1:78" x14ac:dyDescent="0.3">
      <c r="A20" s="436">
        <v>4019</v>
      </c>
      <c r="B20" s="19" t="s">
        <v>55</v>
      </c>
      <c r="C20" t="s">
        <v>286</v>
      </c>
      <c r="D20" s="563"/>
      <c r="E20" s="120"/>
      <c r="F20" s="563">
        <v>50013.15</v>
      </c>
      <c r="G20" s="120">
        <v>9.0704479979165928E-5</v>
      </c>
      <c r="H20" s="563">
        <v>148125.75</v>
      </c>
      <c r="I20" s="120">
        <v>5.4215407142245572E-4</v>
      </c>
      <c r="J20" s="563"/>
      <c r="K20" s="120"/>
      <c r="L20" s="563">
        <v>77493.66</v>
      </c>
      <c r="M20" s="120">
        <v>5.3700523346527837E-4</v>
      </c>
      <c r="N20" s="563">
        <v>398686.46</v>
      </c>
      <c r="O20" s="120">
        <v>5.3979544408079268E-4</v>
      </c>
      <c r="P20" s="124">
        <v>674319.02</v>
      </c>
      <c r="Q20" s="124"/>
      <c r="R20" s="563"/>
      <c r="S20" s="120"/>
      <c r="T20" s="373"/>
      <c r="U20" s="541">
        <v>564</v>
      </c>
      <c r="V20" s="540" t="s">
        <v>287</v>
      </c>
      <c r="W20" s="442" t="s">
        <v>55</v>
      </c>
      <c r="X20" s="552" t="s">
        <v>286</v>
      </c>
      <c r="Y20" s="563"/>
      <c r="Z20" s="563">
        <v>362212.67</v>
      </c>
      <c r="AA20" s="563">
        <v>134623.35</v>
      </c>
      <c r="AB20" s="563"/>
      <c r="AC20" s="563"/>
      <c r="AD20" s="563">
        <v>496836.02</v>
      </c>
      <c r="AE20" s="124"/>
      <c r="AF20" s="541">
        <v>564</v>
      </c>
      <c r="AG20" s="540" t="s">
        <v>287</v>
      </c>
      <c r="AH20" s="442" t="s">
        <v>55</v>
      </c>
      <c r="AI20" s="552" t="s">
        <v>286</v>
      </c>
      <c r="AJ20" s="563"/>
      <c r="AK20" s="563">
        <v>398686.46</v>
      </c>
      <c r="AL20" s="563">
        <v>148125.75</v>
      </c>
      <c r="AM20" s="563"/>
      <c r="AN20" s="563"/>
      <c r="AO20" s="563">
        <v>546812.21</v>
      </c>
      <c r="AR20" s="124">
        <f>+L20</f>
        <v>77493.66</v>
      </c>
      <c r="AS20" s="124">
        <f>+F20</f>
        <v>50013.15</v>
      </c>
      <c r="AV20" s="372">
        <f t="shared" si="4"/>
        <v>127506.81</v>
      </c>
      <c r="AW20" s="124">
        <f>+AV20+AO20-P20</f>
        <v>0</v>
      </c>
      <c r="AZ20" s="563"/>
      <c r="BA20" s="563">
        <v>9892.7900000000009</v>
      </c>
      <c r="BB20" s="563">
        <v>3821.76</v>
      </c>
      <c r="BC20" s="563"/>
      <c r="BD20" s="563"/>
      <c r="BE20" s="563">
        <v>13714.550000000001</v>
      </c>
      <c r="BF20" s="372"/>
      <c r="BO20" s="563"/>
      <c r="BP20" s="563">
        <v>848285.58000000007</v>
      </c>
      <c r="BQ20" s="563">
        <v>336584.01</v>
      </c>
      <c r="BR20" s="563"/>
      <c r="BS20" s="563"/>
      <c r="BT20" s="563">
        <v>1184869.5900000001</v>
      </c>
      <c r="BW20" s="126">
        <v>564</v>
      </c>
      <c r="BX20" s="125">
        <v>4019</v>
      </c>
      <c r="BY20" s="19" t="s">
        <v>55</v>
      </c>
      <c r="BZ20" t="s">
        <v>862</v>
      </c>
    </row>
    <row r="21" spans="1:78" x14ac:dyDescent="0.3">
      <c r="A21" s="436">
        <v>4069</v>
      </c>
      <c r="B21" s="19" t="s">
        <v>55</v>
      </c>
      <c r="C21" t="s">
        <v>522</v>
      </c>
      <c r="D21" s="563"/>
      <c r="E21" s="120"/>
      <c r="F21" s="563">
        <v>0</v>
      </c>
      <c r="G21" s="120">
        <v>0</v>
      </c>
      <c r="H21" s="563">
        <v>0</v>
      </c>
      <c r="I21" s="120">
        <v>0</v>
      </c>
      <c r="J21" s="563">
        <v>0</v>
      </c>
      <c r="K21" s="120">
        <v>0</v>
      </c>
      <c r="L21" s="563">
        <v>1829.8799999999999</v>
      </c>
      <c r="M21" s="120">
        <v>1.2680458460904332E-5</v>
      </c>
      <c r="N21" s="563">
        <v>9490.18</v>
      </c>
      <c r="O21" s="120">
        <v>1.2849084284193291E-5</v>
      </c>
      <c r="P21" s="124">
        <v>11320.06</v>
      </c>
      <c r="Q21" s="124"/>
      <c r="R21" s="563"/>
      <c r="S21" s="120"/>
      <c r="T21" s="373"/>
      <c r="U21" s="541">
        <v>1412</v>
      </c>
      <c r="V21" s="540" t="s">
        <v>523</v>
      </c>
      <c r="W21" s="442" t="s">
        <v>55</v>
      </c>
      <c r="X21" s="552" t="s">
        <v>522</v>
      </c>
      <c r="Y21" s="563">
        <v>0</v>
      </c>
      <c r="Z21" s="563">
        <v>6333.9800000000005</v>
      </c>
      <c r="AA21" s="563">
        <v>0</v>
      </c>
      <c r="AB21" s="563"/>
      <c r="AC21" s="563"/>
      <c r="AD21" s="563">
        <v>6333.9800000000005</v>
      </c>
      <c r="AE21" s="124"/>
      <c r="AF21" s="541">
        <v>1412</v>
      </c>
      <c r="AG21" s="540" t="s">
        <v>523</v>
      </c>
      <c r="AH21" s="442" t="s">
        <v>55</v>
      </c>
      <c r="AI21" s="552" t="s">
        <v>522</v>
      </c>
      <c r="AJ21" s="563">
        <v>0</v>
      </c>
      <c r="AK21" s="563">
        <v>9490.18</v>
      </c>
      <c r="AL21" s="563">
        <v>0</v>
      </c>
      <c r="AM21" s="563"/>
      <c r="AN21" s="563"/>
      <c r="AO21" s="563">
        <v>9490.18</v>
      </c>
      <c r="AR21" s="124">
        <f>+L21</f>
        <v>1829.8799999999999</v>
      </c>
      <c r="AS21" s="124">
        <f>+F21</f>
        <v>0</v>
      </c>
      <c r="AV21" s="372">
        <f t="shared" si="4"/>
        <v>1829.8799999999999</v>
      </c>
      <c r="AW21" s="124">
        <f>+AV21+AO21-P21</f>
        <v>0</v>
      </c>
      <c r="AZ21" s="563">
        <v>0</v>
      </c>
      <c r="BA21" s="563">
        <v>235.42</v>
      </c>
      <c r="BB21" s="563">
        <v>0</v>
      </c>
      <c r="BC21" s="563"/>
      <c r="BD21" s="563"/>
      <c r="BE21" s="563">
        <v>235.42</v>
      </c>
      <c r="BF21" s="372"/>
      <c r="BO21" s="563">
        <v>0</v>
      </c>
      <c r="BP21" s="563">
        <v>17889.46</v>
      </c>
      <c r="BQ21" s="563">
        <v>0</v>
      </c>
      <c r="BR21" s="563"/>
      <c r="BS21" s="563"/>
      <c r="BT21" s="563">
        <v>17889.46</v>
      </c>
      <c r="BW21" s="126">
        <v>1412</v>
      </c>
      <c r="BX21" s="125">
        <v>4069</v>
      </c>
      <c r="BY21" s="19" t="s">
        <v>55</v>
      </c>
      <c r="BZ21" t="s">
        <v>1029</v>
      </c>
    </row>
    <row r="22" spans="1:78" x14ac:dyDescent="0.3">
      <c r="A22" s="436">
        <v>4127</v>
      </c>
      <c r="B22" s="19" t="s">
        <v>55</v>
      </c>
      <c r="C22" t="s">
        <v>166</v>
      </c>
      <c r="D22" s="563"/>
      <c r="E22" s="120"/>
      <c r="F22" s="563">
        <v>33374.949999999997</v>
      </c>
      <c r="G22" s="120">
        <v>6.0529230493993354E-5</v>
      </c>
      <c r="H22" s="563">
        <v>97571.95</v>
      </c>
      <c r="I22" s="120">
        <v>3.5712244460620979E-4</v>
      </c>
      <c r="J22" s="563"/>
      <c r="K22" s="120"/>
      <c r="L22" s="563">
        <v>46793.380000000005</v>
      </c>
      <c r="M22" s="120">
        <v>3.242625261412287E-4</v>
      </c>
      <c r="N22" s="563">
        <v>240764.16999999998</v>
      </c>
      <c r="O22" s="120">
        <v>3.2597897120432295E-4</v>
      </c>
      <c r="P22" s="124">
        <v>418504.44999999995</v>
      </c>
      <c r="Q22" s="124"/>
      <c r="R22" s="563"/>
      <c r="S22" s="120"/>
      <c r="T22" s="373"/>
      <c r="U22" s="541">
        <v>278</v>
      </c>
      <c r="V22" s="540" t="s">
        <v>167</v>
      </c>
      <c r="W22" s="442" t="s">
        <v>55</v>
      </c>
      <c r="X22" s="552" t="s">
        <v>166</v>
      </c>
      <c r="Y22" s="563"/>
      <c r="Z22" s="563">
        <v>238004.21999999997</v>
      </c>
      <c r="AA22" s="563">
        <v>89623.08</v>
      </c>
      <c r="AB22" s="563"/>
      <c r="AC22" s="563"/>
      <c r="AD22" s="563">
        <v>327627.3</v>
      </c>
      <c r="AE22" s="124"/>
      <c r="AF22" s="541">
        <v>278</v>
      </c>
      <c r="AG22" s="540" t="s">
        <v>167</v>
      </c>
      <c r="AH22" s="442" t="s">
        <v>55</v>
      </c>
      <c r="AI22" s="552" t="s">
        <v>166</v>
      </c>
      <c r="AJ22" s="563"/>
      <c r="AK22" s="563">
        <v>240764.16999999998</v>
      </c>
      <c r="AL22" s="563">
        <v>97571.95</v>
      </c>
      <c r="AM22" s="563"/>
      <c r="AN22" s="563"/>
      <c r="AO22" s="563">
        <v>338336.12</v>
      </c>
      <c r="AR22" s="124">
        <f>+L22</f>
        <v>46793.380000000005</v>
      </c>
      <c r="AS22" s="124">
        <f>+F22</f>
        <v>33374.949999999997</v>
      </c>
      <c r="AV22" s="372">
        <f t="shared" si="4"/>
        <v>80168.33</v>
      </c>
      <c r="AW22" s="124">
        <f>+AV22+AO22-P22</f>
        <v>0</v>
      </c>
      <c r="AZ22" s="563"/>
      <c r="BA22" s="563">
        <v>5974.1399999999994</v>
      </c>
      <c r="BB22" s="563">
        <v>2511.8000000000002</v>
      </c>
      <c r="BC22" s="563"/>
      <c r="BD22" s="563"/>
      <c r="BE22" s="563">
        <v>8485.9399999999987</v>
      </c>
      <c r="BF22" s="372"/>
      <c r="BO22" s="563"/>
      <c r="BP22" s="563">
        <v>531535.90999999992</v>
      </c>
      <c r="BQ22" s="563">
        <v>223081.78</v>
      </c>
      <c r="BR22" s="563"/>
      <c r="BS22" s="563"/>
      <c r="BT22" s="563">
        <v>754617.69</v>
      </c>
      <c r="BW22" s="126">
        <v>278</v>
      </c>
      <c r="BX22" s="125">
        <v>4127</v>
      </c>
      <c r="BY22" s="19" t="s">
        <v>55</v>
      </c>
      <c r="BZ22" t="s">
        <v>804</v>
      </c>
    </row>
    <row r="23" spans="1:78" x14ac:dyDescent="0.3">
      <c r="A23" s="436">
        <v>4129</v>
      </c>
      <c r="B23" s="19" t="s">
        <v>55</v>
      </c>
      <c r="C23" t="s">
        <v>258</v>
      </c>
      <c r="D23" s="563">
        <v>2758.46</v>
      </c>
      <c r="E23" s="120">
        <v>5.0027778662877673E-6</v>
      </c>
      <c r="F23" s="563">
        <v>104643.45</v>
      </c>
      <c r="G23" s="120">
        <v>1.8978268146429192E-4</v>
      </c>
      <c r="H23" s="563">
        <v>305344.76</v>
      </c>
      <c r="I23" s="120">
        <v>1.1175903232322037E-3</v>
      </c>
      <c r="J23" s="563">
        <v>0</v>
      </c>
      <c r="K23" s="120">
        <v>0</v>
      </c>
      <c r="L23" s="563">
        <v>158202.44</v>
      </c>
      <c r="M23" s="120">
        <v>1.0962901768606192E-3</v>
      </c>
      <c r="N23" s="563">
        <v>798476.78</v>
      </c>
      <c r="O23" s="120">
        <v>1.0810854425512756E-3</v>
      </c>
      <c r="P23" s="124">
        <v>1369425.8900000001</v>
      </c>
      <c r="Q23" s="124"/>
      <c r="R23" s="563"/>
      <c r="S23" s="120"/>
      <c r="T23" s="373"/>
      <c r="U23" s="541">
        <v>514</v>
      </c>
      <c r="V23" s="540" t="s">
        <v>259</v>
      </c>
      <c r="W23" s="442" t="s">
        <v>55</v>
      </c>
      <c r="X23" s="552" t="s">
        <v>258</v>
      </c>
      <c r="Y23" s="563">
        <v>0</v>
      </c>
      <c r="Z23" s="563">
        <v>755606.24</v>
      </c>
      <c r="AA23" s="563">
        <v>273803.81</v>
      </c>
      <c r="AB23" s="563">
        <v>1848.07</v>
      </c>
      <c r="AC23" s="563"/>
      <c r="AD23" s="563">
        <v>1031258.12</v>
      </c>
      <c r="AE23" s="124"/>
      <c r="AF23" s="541">
        <v>514</v>
      </c>
      <c r="AG23" s="540" t="s">
        <v>259</v>
      </c>
      <c r="AH23" s="442" t="s">
        <v>55</v>
      </c>
      <c r="AI23" s="552" t="s">
        <v>258</v>
      </c>
      <c r="AJ23" s="563">
        <v>0</v>
      </c>
      <c r="AK23" s="563">
        <v>798476.78</v>
      </c>
      <c r="AL23" s="563">
        <v>305344.76</v>
      </c>
      <c r="AM23" s="563">
        <v>2758.46</v>
      </c>
      <c r="AN23" s="563"/>
      <c r="AO23" s="563">
        <v>1106580</v>
      </c>
      <c r="AR23" s="124">
        <f>+L23</f>
        <v>158202.44</v>
      </c>
      <c r="AS23" s="124">
        <f>+F23</f>
        <v>104643.45</v>
      </c>
      <c r="AV23" s="372">
        <f t="shared" si="4"/>
        <v>262845.89</v>
      </c>
      <c r="AW23" s="124">
        <f>+AV23+AO23-P23</f>
        <v>0</v>
      </c>
      <c r="AZ23" s="563">
        <v>0</v>
      </c>
      <c r="BA23" s="563">
        <v>19799.79</v>
      </c>
      <c r="BB23" s="563">
        <v>7850.1299999999992</v>
      </c>
      <c r="BC23" s="563">
        <v>61.55</v>
      </c>
      <c r="BD23" s="563"/>
      <c r="BE23" s="563">
        <v>27711.47</v>
      </c>
      <c r="BF23" s="372"/>
      <c r="BO23" s="563">
        <v>0</v>
      </c>
      <c r="BP23" s="563">
        <v>1732085.25</v>
      </c>
      <c r="BQ23" s="563">
        <v>691642.14999999991</v>
      </c>
      <c r="BR23" s="563">
        <v>4668.08</v>
      </c>
      <c r="BS23" s="563"/>
      <c r="BT23" s="563">
        <v>2428395.48</v>
      </c>
      <c r="BW23" s="126">
        <v>514</v>
      </c>
      <c r="BX23" s="125">
        <v>4129</v>
      </c>
      <c r="BY23" s="19" t="s">
        <v>55</v>
      </c>
      <c r="BZ23" t="s">
        <v>848</v>
      </c>
    </row>
    <row r="24" spans="1:78" x14ac:dyDescent="0.3">
      <c r="A24" s="436">
        <v>4222</v>
      </c>
      <c r="B24" s="19" t="s">
        <v>55</v>
      </c>
      <c r="C24" t="s">
        <v>70</v>
      </c>
      <c r="D24" s="563"/>
      <c r="E24" s="120"/>
      <c r="F24" s="563">
        <v>102391.04000000001</v>
      </c>
      <c r="G24" s="120">
        <v>1.8569768226408412E-4</v>
      </c>
      <c r="H24" s="563">
        <v>302513.56</v>
      </c>
      <c r="I24" s="120">
        <v>1.1072278669610202E-3</v>
      </c>
      <c r="J24" s="563"/>
      <c r="K24" s="120"/>
      <c r="L24" s="563">
        <v>185543.97</v>
      </c>
      <c r="M24" s="120">
        <v>1.2857578662296323E-3</v>
      </c>
      <c r="N24" s="563">
        <v>950967.19</v>
      </c>
      <c r="O24" s="120">
        <v>1.2875475044532827E-3</v>
      </c>
      <c r="P24" s="124">
        <v>1541415.7599999998</v>
      </c>
      <c r="Q24" s="124"/>
      <c r="R24" s="563"/>
      <c r="S24" s="120"/>
      <c r="T24" s="373"/>
      <c r="U24" s="541">
        <v>106</v>
      </c>
      <c r="V24" s="540" t="s">
        <v>71</v>
      </c>
      <c r="W24" s="442" t="s">
        <v>55</v>
      </c>
      <c r="X24" s="552" t="s">
        <v>70</v>
      </c>
      <c r="Y24" s="563"/>
      <c r="Z24" s="563">
        <v>898774.28999999992</v>
      </c>
      <c r="AA24" s="563">
        <v>302526.84999999998</v>
      </c>
      <c r="AB24" s="563"/>
      <c r="AC24" s="563"/>
      <c r="AD24" s="563">
        <v>1201301.1399999999</v>
      </c>
      <c r="AE24" s="124"/>
      <c r="AF24" s="541">
        <v>106</v>
      </c>
      <c r="AG24" s="540" t="s">
        <v>71</v>
      </c>
      <c r="AH24" s="442" t="s">
        <v>55</v>
      </c>
      <c r="AI24" s="552" t="s">
        <v>70</v>
      </c>
      <c r="AJ24" s="563"/>
      <c r="AK24" s="563">
        <v>950967.19</v>
      </c>
      <c r="AL24" s="563">
        <v>302513.56</v>
      </c>
      <c r="AM24" s="563"/>
      <c r="AN24" s="563"/>
      <c r="AO24" s="563">
        <v>1253480.75</v>
      </c>
      <c r="AR24" s="124">
        <f>+L24</f>
        <v>185543.97</v>
      </c>
      <c r="AS24" s="124">
        <f>+F24</f>
        <v>102391.04000000001</v>
      </c>
      <c r="AV24" s="372">
        <f t="shared" si="4"/>
        <v>287935.01</v>
      </c>
      <c r="AW24" s="124">
        <f>+AV24+AO24-P24</f>
        <v>0</v>
      </c>
      <c r="AZ24" s="563"/>
      <c r="BA24" s="563">
        <v>23593.89</v>
      </c>
      <c r="BB24" s="563">
        <v>7796.5499999999993</v>
      </c>
      <c r="BC24" s="563"/>
      <c r="BD24" s="563"/>
      <c r="BE24" s="563">
        <v>31390.44</v>
      </c>
      <c r="BF24" s="372"/>
      <c r="BO24" s="563"/>
      <c r="BP24" s="563">
        <v>2058879.34</v>
      </c>
      <c r="BQ24" s="563">
        <v>715228</v>
      </c>
      <c r="BR24" s="563"/>
      <c r="BS24" s="563"/>
      <c r="BT24" s="563">
        <v>2774107.34</v>
      </c>
      <c r="BW24" s="126">
        <v>106</v>
      </c>
      <c r="BX24" s="125">
        <v>4222</v>
      </c>
      <c r="BY24" s="19" t="s">
        <v>55</v>
      </c>
      <c r="BZ24" t="s">
        <v>756</v>
      </c>
    </row>
    <row r="25" spans="1:78" x14ac:dyDescent="0.3">
      <c r="A25" s="436">
        <v>4228</v>
      </c>
      <c r="B25" s="19" t="s">
        <v>55</v>
      </c>
      <c r="C25" t="s">
        <v>68</v>
      </c>
      <c r="D25" s="563"/>
      <c r="E25" s="120"/>
      <c r="F25" s="563">
        <v>85691.199999999997</v>
      </c>
      <c r="G25" s="120">
        <v>1.5541064169704774E-4</v>
      </c>
      <c r="H25" s="563">
        <v>253427.38</v>
      </c>
      <c r="I25" s="120">
        <v>9.2756786633604101E-4</v>
      </c>
      <c r="J25" s="563"/>
      <c r="K25" s="120"/>
      <c r="L25" s="563">
        <v>150954.76</v>
      </c>
      <c r="M25" s="120">
        <v>1.0460661702711559E-3</v>
      </c>
      <c r="N25" s="563">
        <v>761494.92999999993</v>
      </c>
      <c r="O25" s="120">
        <v>1.0310144315024445E-3</v>
      </c>
      <c r="P25" s="124">
        <v>1251568.27</v>
      </c>
      <c r="Q25" s="124"/>
      <c r="R25" s="563"/>
      <c r="S25" s="120"/>
      <c r="T25" s="373"/>
      <c r="U25" s="541">
        <v>103</v>
      </c>
      <c r="V25" s="540" t="s">
        <v>69</v>
      </c>
      <c r="W25" s="442" t="s">
        <v>55</v>
      </c>
      <c r="X25" s="552" t="s">
        <v>68</v>
      </c>
      <c r="Y25" s="563"/>
      <c r="Z25" s="563">
        <v>800927.71</v>
      </c>
      <c r="AA25" s="563">
        <v>240882.46999999997</v>
      </c>
      <c r="AB25" s="563"/>
      <c r="AC25" s="563"/>
      <c r="AD25" s="563">
        <v>1041810.1799999999</v>
      </c>
      <c r="AE25" s="124"/>
      <c r="AF25" s="541">
        <v>103</v>
      </c>
      <c r="AG25" s="540" t="s">
        <v>69</v>
      </c>
      <c r="AH25" s="442" t="s">
        <v>55</v>
      </c>
      <c r="AI25" s="552" t="s">
        <v>68</v>
      </c>
      <c r="AJ25" s="563"/>
      <c r="AK25" s="563">
        <v>761494.92999999993</v>
      </c>
      <c r="AL25" s="563">
        <v>253427.38</v>
      </c>
      <c r="AM25" s="563"/>
      <c r="AN25" s="563"/>
      <c r="AO25" s="563">
        <v>1014922.3099999999</v>
      </c>
      <c r="AR25" s="124">
        <f>+L25</f>
        <v>150954.76</v>
      </c>
      <c r="AS25" s="124">
        <f>+F25</f>
        <v>85691.199999999997</v>
      </c>
      <c r="AV25" s="372">
        <f t="shared" si="4"/>
        <v>236645.96000000002</v>
      </c>
      <c r="AW25" s="124">
        <f>+AV25+AO25-P25</f>
        <v>0</v>
      </c>
      <c r="AZ25" s="563"/>
      <c r="BA25" s="563">
        <v>18882.86</v>
      </c>
      <c r="BB25" s="563">
        <v>6533.63</v>
      </c>
      <c r="BC25" s="563"/>
      <c r="BD25" s="563"/>
      <c r="BE25" s="563">
        <v>25416.49</v>
      </c>
      <c r="BF25" s="372"/>
      <c r="BO25" s="563"/>
      <c r="BP25" s="563">
        <v>1732260.26</v>
      </c>
      <c r="BQ25" s="563">
        <v>586534.68000000005</v>
      </c>
      <c r="BR25" s="563"/>
      <c r="BS25" s="563"/>
      <c r="BT25" s="563">
        <v>2318794.94</v>
      </c>
      <c r="BW25" s="126">
        <v>103</v>
      </c>
      <c r="BX25" s="125">
        <v>4228</v>
      </c>
      <c r="BY25" s="19" t="s">
        <v>55</v>
      </c>
      <c r="BZ25" t="s">
        <v>755</v>
      </c>
    </row>
    <row r="26" spans="1:78" x14ac:dyDescent="0.3">
      <c r="A26" s="436">
        <v>4246</v>
      </c>
      <c r="B26" s="19" t="s">
        <v>55</v>
      </c>
      <c r="C26" t="s">
        <v>596</v>
      </c>
      <c r="D26" s="563"/>
      <c r="E26" s="120"/>
      <c r="F26" s="563">
        <v>555420.32999999996</v>
      </c>
      <c r="G26" s="120">
        <v>1.0073173195950811E-3</v>
      </c>
      <c r="H26" s="563">
        <v>1625753.8599999999</v>
      </c>
      <c r="I26" s="120">
        <v>5.9504108794708084E-3</v>
      </c>
      <c r="J26" s="563">
        <v>539.44000000000005</v>
      </c>
      <c r="K26" s="120">
        <v>3.7381393928291656E-6</v>
      </c>
      <c r="L26" s="563">
        <v>912958.15999999992</v>
      </c>
      <c r="M26" s="120">
        <v>6.3264957398428585E-3</v>
      </c>
      <c r="N26" s="563">
        <v>4716155.76</v>
      </c>
      <c r="O26" s="120">
        <v>6.3853670697103385E-3</v>
      </c>
      <c r="P26" s="124">
        <v>7810827.5499999998</v>
      </c>
      <c r="Q26" s="124"/>
      <c r="R26" s="563"/>
      <c r="S26" s="120"/>
      <c r="T26" s="373"/>
      <c r="U26" s="541">
        <v>1073</v>
      </c>
      <c r="V26" s="540" t="s">
        <v>597</v>
      </c>
      <c r="W26" s="442" t="s">
        <v>55</v>
      </c>
      <c r="X26" s="552" t="s">
        <v>596</v>
      </c>
      <c r="Y26" s="563">
        <v>337.5</v>
      </c>
      <c r="Z26" s="563">
        <v>4399874.2</v>
      </c>
      <c r="AA26" s="563">
        <v>1505124.7799999998</v>
      </c>
      <c r="AB26" s="563"/>
      <c r="AC26" s="563"/>
      <c r="AD26" s="563">
        <v>5905336.4800000004</v>
      </c>
      <c r="AE26" s="124"/>
      <c r="AF26" s="541">
        <v>1073</v>
      </c>
      <c r="AG26" s="540" t="s">
        <v>597</v>
      </c>
      <c r="AH26" s="442" t="s">
        <v>55</v>
      </c>
      <c r="AI26" s="552" t="s">
        <v>596</v>
      </c>
      <c r="AJ26" s="563">
        <v>539.44000000000005</v>
      </c>
      <c r="AK26" s="563">
        <v>4716155.76</v>
      </c>
      <c r="AL26" s="563">
        <v>1625753.8599999999</v>
      </c>
      <c r="AM26" s="563"/>
      <c r="AN26" s="563"/>
      <c r="AO26" s="563">
        <v>6342449.0599999996</v>
      </c>
      <c r="AR26" s="124">
        <f>+L26</f>
        <v>912958.15999999992</v>
      </c>
      <c r="AS26" s="124">
        <f>+F26</f>
        <v>555420.32999999996</v>
      </c>
      <c r="AV26" s="372">
        <f t="shared" si="4"/>
        <v>1468378.4899999998</v>
      </c>
      <c r="AW26" s="124">
        <f>+AV26+AO26-P26</f>
        <v>0</v>
      </c>
      <c r="AZ26" s="563">
        <v>11.25</v>
      </c>
      <c r="BA26" s="563">
        <v>117015.7</v>
      </c>
      <c r="BB26" s="563">
        <v>41900.18</v>
      </c>
      <c r="BC26" s="563"/>
      <c r="BD26" s="563"/>
      <c r="BE26" s="563">
        <v>158927.13</v>
      </c>
      <c r="BF26" s="372"/>
      <c r="BO26" s="563">
        <v>888.19</v>
      </c>
      <c r="BP26" s="563">
        <v>10146003.82</v>
      </c>
      <c r="BQ26" s="563">
        <v>3728199.15</v>
      </c>
      <c r="BR26" s="563"/>
      <c r="BS26" s="563"/>
      <c r="BT26" s="563">
        <v>13875091.16</v>
      </c>
      <c r="BW26" s="126">
        <v>1073</v>
      </c>
      <c r="BX26" s="125">
        <v>4246</v>
      </c>
      <c r="BY26" s="19" t="s">
        <v>55</v>
      </c>
      <c r="BZ26" t="s">
        <v>1007</v>
      </c>
    </row>
    <row r="27" spans="1:78" x14ac:dyDescent="0.3">
      <c r="A27" s="436">
        <v>4801</v>
      </c>
      <c r="B27" s="19">
        <v>171</v>
      </c>
      <c r="C27" t="s">
        <v>344</v>
      </c>
      <c r="D27" s="563"/>
      <c r="E27" s="120"/>
      <c r="F27" s="563">
        <v>211222.02</v>
      </c>
      <c r="G27" s="120">
        <v>3.8307492098076177E-4</v>
      </c>
      <c r="H27" s="563">
        <v>624053.62</v>
      </c>
      <c r="I27" s="120">
        <v>2.284094499902428E-3</v>
      </c>
      <c r="J27" s="563"/>
      <c r="K27" s="120"/>
      <c r="L27" s="563">
        <v>118140.48</v>
      </c>
      <c r="M27" s="120">
        <v>8.1867414758962284E-4</v>
      </c>
      <c r="N27" s="563">
        <v>605310.27</v>
      </c>
      <c r="O27" s="120">
        <v>8.1955059622871196E-4</v>
      </c>
      <c r="P27" s="124">
        <v>1558726.3900000001</v>
      </c>
      <c r="Q27" s="124"/>
      <c r="R27" s="563"/>
      <c r="S27" s="120"/>
      <c r="T27" s="373"/>
      <c r="U27" s="541">
        <v>266</v>
      </c>
      <c r="V27" s="540" t="s">
        <v>345</v>
      </c>
      <c r="W27" s="442">
        <v>171</v>
      </c>
      <c r="X27" s="552" t="s">
        <v>344</v>
      </c>
      <c r="Y27" s="563"/>
      <c r="Z27" s="563">
        <v>620612.12</v>
      </c>
      <c r="AA27" s="563">
        <v>589535.63</v>
      </c>
      <c r="AB27" s="563"/>
      <c r="AC27" s="563"/>
      <c r="AD27" s="563">
        <v>1210147.75</v>
      </c>
      <c r="AE27" s="124"/>
      <c r="AF27" s="541">
        <v>266</v>
      </c>
      <c r="AG27" s="540" t="s">
        <v>345</v>
      </c>
      <c r="AH27" s="442">
        <v>171</v>
      </c>
      <c r="AI27" s="552" t="s">
        <v>344</v>
      </c>
      <c r="AJ27" s="563"/>
      <c r="AK27" s="563">
        <v>605310.27</v>
      </c>
      <c r="AL27" s="563">
        <v>624053.62</v>
      </c>
      <c r="AM27" s="563"/>
      <c r="AN27" s="563"/>
      <c r="AO27" s="563">
        <v>1229363.8900000001</v>
      </c>
      <c r="AR27" s="124">
        <f>+L27</f>
        <v>118140.48</v>
      </c>
      <c r="AS27" s="124">
        <f>+F27</f>
        <v>211222.02</v>
      </c>
      <c r="AV27" s="372">
        <f t="shared" si="4"/>
        <v>329362.5</v>
      </c>
      <c r="AW27" s="124">
        <f>+AV27+AO27-P27</f>
        <v>0</v>
      </c>
      <c r="AZ27" s="563"/>
      <c r="BA27" s="563">
        <v>15019.23</v>
      </c>
      <c r="BB27" s="563">
        <v>16084.869999999999</v>
      </c>
      <c r="BC27" s="563"/>
      <c r="BD27" s="563"/>
      <c r="BE27" s="563">
        <v>31104.1</v>
      </c>
      <c r="BF27" s="372"/>
      <c r="BO27" s="563"/>
      <c r="BP27" s="563">
        <v>1359082.1</v>
      </c>
      <c r="BQ27" s="563">
        <v>1440896.14</v>
      </c>
      <c r="BR27" s="563"/>
      <c r="BS27" s="563"/>
      <c r="BT27" s="563">
        <v>2799978.24</v>
      </c>
      <c r="BW27" s="126">
        <v>266</v>
      </c>
      <c r="BX27" s="125">
        <v>4801</v>
      </c>
      <c r="BY27" s="19">
        <v>171</v>
      </c>
      <c r="BZ27" t="s">
        <v>1118</v>
      </c>
    </row>
    <row r="28" spans="1:78" x14ac:dyDescent="0.3">
      <c r="A28" s="534">
        <v>4901</v>
      </c>
      <c r="B28" s="19" t="s">
        <v>1039</v>
      </c>
      <c r="C28" t="s">
        <v>1178</v>
      </c>
      <c r="D28" s="563"/>
      <c r="E28" s="120"/>
      <c r="F28" s="563">
        <v>16927.11</v>
      </c>
      <c r="G28" s="120">
        <v>3.0699220307062034E-5</v>
      </c>
      <c r="H28" s="563">
        <v>49543.82</v>
      </c>
      <c r="I28" s="120">
        <v>1.8133500574222437E-4</v>
      </c>
      <c r="J28" s="563"/>
      <c r="K28" s="120"/>
      <c r="L28" s="563">
        <v>23068.68</v>
      </c>
      <c r="M28" s="120">
        <v>1.5985826310353386E-4</v>
      </c>
      <c r="N28" s="563">
        <v>119032.39000000001</v>
      </c>
      <c r="O28" s="120">
        <v>1.6116208666842638E-4</v>
      </c>
      <c r="P28" s="124">
        <v>208572</v>
      </c>
      <c r="Q28" s="124"/>
      <c r="R28" s="563"/>
      <c r="S28" s="120"/>
      <c r="T28" s="373"/>
      <c r="U28" s="544">
        <v>4281</v>
      </c>
      <c r="V28" s="542" t="s">
        <v>1177</v>
      </c>
      <c r="W28" s="442" t="s">
        <v>1039</v>
      </c>
      <c r="X28" s="552" t="s">
        <v>1178</v>
      </c>
      <c r="Y28" s="563"/>
      <c r="Z28" s="563">
        <v>123970.12</v>
      </c>
      <c r="AA28" s="563">
        <v>43917.75</v>
      </c>
      <c r="AB28" s="563"/>
      <c r="AC28" s="563"/>
      <c r="AD28" s="563">
        <v>167887.87</v>
      </c>
      <c r="AE28" s="124"/>
      <c r="AF28" s="544">
        <v>4281</v>
      </c>
      <c r="AG28" s="542" t="s">
        <v>1177</v>
      </c>
      <c r="AH28" s="442" t="s">
        <v>1039</v>
      </c>
      <c r="AI28" s="552" t="s">
        <v>1178</v>
      </c>
      <c r="AJ28" s="563"/>
      <c r="AK28" s="563">
        <v>119032.39000000001</v>
      </c>
      <c r="AL28" s="563">
        <v>49543.82</v>
      </c>
      <c r="AM28" s="563"/>
      <c r="AN28" s="563"/>
      <c r="AO28" s="563">
        <v>168576.21000000002</v>
      </c>
      <c r="AR28" s="124">
        <f>+L28</f>
        <v>23068.68</v>
      </c>
      <c r="AS28" s="124">
        <f>+F28</f>
        <v>16927.11</v>
      </c>
      <c r="AV28" s="372">
        <f t="shared" si="4"/>
        <v>39995.79</v>
      </c>
      <c r="AW28" s="124">
        <f>+AV28+AO28-P28</f>
        <v>0</v>
      </c>
      <c r="AZ28" s="563"/>
      <c r="BA28" s="563">
        <v>2953.51</v>
      </c>
      <c r="BB28" s="563">
        <v>1276.78</v>
      </c>
      <c r="BC28" s="563"/>
      <c r="BD28" s="563"/>
      <c r="BE28" s="563">
        <v>4230.29</v>
      </c>
      <c r="BF28" s="372"/>
      <c r="BO28" s="563"/>
      <c r="BP28" s="563">
        <v>269024.7</v>
      </c>
      <c r="BQ28" s="563">
        <v>111665.46</v>
      </c>
      <c r="BR28" s="563"/>
      <c r="BS28" s="563"/>
      <c r="BT28" s="563">
        <v>380690.16000000003</v>
      </c>
      <c r="BW28" s="126">
        <v>753</v>
      </c>
      <c r="BX28" s="125">
        <v>5121</v>
      </c>
      <c r="BY28" s="19" t="s">
        <v>52</v>
      </c>
      <c r="BZ28" t="s">
        <v>924</v>
      </c>
    </row>
    <row r="29" spans="1:78" x14ac:dyDescent="0.3">
      <c r="A29" s="436">
        <v>5121</v>
      </c>
      <c r="B29" s="19" t="s">
        <v>52</v>
      </c>
      <c r="C29" t="s">
        <v>420</v>
      </c>
      <c r="D29" s="563"/>
      <c r="E29" s="120"/>
      <c r="F29" s="563">
        <v>275780.61</v>
      </c>
      <c r="G29" s="120">
        <v>5.0015919449958996E-4</v>
      </c>
      <c r="H29" s="563">
        <v>804693.53</v>
      </c>
      <c r="I29" s="120">
        <v>2.945253431876686E-3</v>
      </c>
      <c r="J29" s="563">
        <v>0</v>
      </c>
      <c r="K29" s="120">
        <v>0</v>
      </c>
      <c r="L29" s="563">
        <v>430974.07</v>
      </c>
      <c r="M29" s="120">
        <v>2.9865066520000632E-3</v>
      </c>
      <c r="N29" s="563">
        <v>2185814.6500000004</v>
      </c>
      <c r="O29" s="120">
        <v>2.959450365269622E-3</v>
      </c>
      <c r="P29" s="124">
        <v>3697262.8600000003</v>
      </c>
      <c r="Q29" s="124"/>
      <c r="R29" s="563"/>
      <c r="S29" s="120"/>
      <c r="T29" s="373"/>
      <c r="U29" s="541">
        <v>753</v>
      </c>
      <c r="V29" s="540" t="s">
        <v>421</v>
      </c>
      <c r="W29" s="442" t="s">
        <v>52</v>
      </c>
      <c r="X29" s="552" t="s">
        <v>420</v>
      </c>
      <c r="Y29" s="563">
        <v>0</v>
      </c>
      <c r="Z29" s="563">
        <v>2189823.31</v>
      </c>
      <c r="AA29" s="563">
        <v>727744.2</v>
      </c>
      <c r="AB29" s="563"/>
      <c r="AC29" s="563"/>
      <c r="AD29" s="563">
        <v>2917567.51</v>
      </c>
      <c r="AE29" s="124"/>
      <c r="AF29" s="541">
        <v>753</v>
      </c>
      <c r="AG29" s="540" t="s">
        <v>421</v>
      </c>
      <c r="AH29" s="442" t="s">
        <v>52</v>
      </c>
      <c r="AI29" s="552" t="s">
        <v>420</v>
      </c>
      <c r="AJ29" s="563">
        <v>0</v>
      </c>
      <c r="AK29" s="563">
        <v>2185814.6500000004</v>
      </c>
      <c r="AL29" s="563">
        <v>804693.53</v>
      </c>
      <c r="AM29" s="563"/>
      <c r="AN29" s="563"/>
      <c r="AO29" s="563">
        <v>2990508.1800000006</v>
      </c>
      <c r="AR29" s="124">
        <f>+L29</f>
        <v>430974.07</v>
      </c>
      <c r="AS29" s="124">
        <f>+F29</f>
        <v>275780.61</v>
      </c>
      <c r="AV29" s="372">
        <f t="shared" si="4"/>
        <v>706754.67999999993</v>
      </c>
      <c r="AW29" s="124">
        <f>+AV29+AO29-P29</f>
        <v>0</v>
      </c>
      <c r="AZ29" s="563">
        <v>0</v>
      </c>
      <c r="BA29" s="563">
        <v>54205.740000000005</v>
      </c>
      <c r="BB29" s="563">
        <v>20734.989999999998</v>
      </c>
      <c r="BC29" s="563"/>
      <c r="BD29" s="563"/>
      <c r="BE29" s="563">
        <v>74940.73000000001</v>
      </c>
      <c r="BF29" s="372"/>
      <c r="BO29" s="563">
        <v>0</v>
      </c>
      <c r="BP29" s="563">
        <v>4860817.7699999996</v>
      </c>
      <c r="BQ29" s="563">
        <v>1828953.33</v>
      </c>
      <c r="BR29" s="563"/>
      <c r="BS29" s="563"/>
      <c r="BT29" s="563">
        <v>6689771.0999999996</v>
      </c>
      <c r="BW29" s="126">
        <v>210</v>
      </c>
      <c r="BX29" s="125">
        <v>5313</v>
      </c>
      <c r="BY29" s="19" t="s">
        <v>52</v>
      </c>
      <c r="BZ29" t="s">
        <v>780</v>
      </c>
    </row>
    <row r="30" spans="1:78" x14ac:dyDescent="0.3">
      <c r="A30" s="436">
        <v>5313</v>
      </c>
      <c r="B30" s="19" t="s">
        <v>52</v>
      </c>
      <c r="C30" t="s">
        <v>118</v>
      </c>
      <c r="D30" s="563"/>
      <c r="E30" s="120"/>
      <c r="F30" s="563">
        <v>29483.58</v>
      </c>
      <c r="G30" s="120">
        <v>5.3471792754988184E-5</v>
      </c>
      <c r="H30" s="563">
        <v>87452.03</v>
      </c>
      <c r="I30" s="120">
        <v>3.2008259278794364E-4</v>
      </c>
      <c r="J30" s="563">
        <v>0</v>
      </c>
      <c r="K30" s="120">
        <v>0</v>
      </c>
      <c r="L30" s="563">
        <v>43545.9</v>
      </c>
      <c r="M30" s="120">
        <v>3.0175857219746319E-4</v>
      </c>
      <c r="N30" s="563">
        <v>220334.74</v>
      </c>
      <c r="O30" s="120">
        <v>2.9831885643853066E-4</v>
      </c>
      <c r="P30" s="124">
        <v>380816.25</v>
      </c>
      <c r="Q30" s="124"/>
      <c r="R30" s="563"/>
      <c r="S30" s="120"/>
      <c r="T30" s="373"/>
      <c r="U30" s="541">
        <v>210</v>
      </c>
      <c r="V30" s="540" t="s">
        <v>119</v>
      </c>
      <c r="W30" s="442" t="s">
        <v>52</v>
      </c>
      <c r="X30" s="552" t="s">
        <v>118</v>
      </c>
      <c r="Y30" s="563">
        <v>0</v>
      </c>
      <c r="Z30" s="563">
        <v>220504.27000000002</v>
      </c>
      <c r="AA30" s="563">
        <v>82363.700000000012</v>
      </c>
      <c r="AB30" s="563"/>
      <c r="AC30" s="563"/>
      <c r="AD30" s="563">
        <v>302867.97000000003</v>
      </c>
      <c r="AE30" s="124"/>
      <c r="AF30" s="541">
        <v>210</v>
      </c>
      <c r="AG30" s="540" t="s">
        <v>119</v>
      </c>
      <c r="AH30" s="442" t="s">
        <v>52</v>
      </c>
      <c r="AI30" s="552" t="s">
        <v>118</v>
      </c>
      <c r="AJ30" s="563">
        <v>0</v>
      </c>
      <c r="AK30" s="563">
        <v>220334.74</v>
      </c>
      <c r="AL30" s="563">
        <v>87452.03</v>
      </c>
      <c r="AM30" s="563"/>
      <c r="AN30" s="563"/>
      <c r="AO30" s="563">
        <v>307786.77</v>
      </c>
      <c r="AR30" s="124">
        <f>+L30</f>
        <v>43545.9</v>
      </c>
      <c r="AS30" s="124">
        <f>+F30</f>
        <v>29483.58</v>
      </c>
      <c r="AV30" s="372">
        <f t="shared" si="4"/>
        <v>73029.48000000001</v>
      </c>
      <c r="AW30" s="124">
        <f>+AV30+AO30-P30</f>
        <v>0</v>
      </c>
      <c r="AZ30" s="563">
        <v>0</v>
      </c>
      <c r="BA30" s="563">
        <v>5465</v>
      </c>
      <c r="BB30" s="563">
        <v>2253.6999999999998</v>
      </c>
      <c r="BC30" s="563"/>
      <c r="BD30" s="563"/>
      <c r="BE30" s="563">
        <v>7718.7</v>
      </c>
      <c r="BF30" s="372"/>
      <c r="BO30" s="563">
        <v>0</v>
      </c>
      <c r="BP30" s="563">
        <v>489849.91000000003</v>
      </c>
      <c r="BQ30" s="563">
        <v>201553.01</v>
      </c>
      <c r="BR30" s="563"/>
      <c r="BS30" s="563"/>
      <c r="BT30" s="563">
        <v>691402.92</v>
      </c>
      <c r="BW30" s="126">
        <v>857</v>
      </c>
      <c r="BX30" s="125">
        <v>5323</v>
      </c>
      <c r="BY30" s="19" t="s">
        <v>52</v>
      </c>
      <c r="BZ30" t="s">
        <v>955</v>
      </c>
    </row>
    <row r="31" spans="1:78" x14ac:dyDescent="0.3">
      <c r="A31" s="436">
        <v>5323</v>
      </c>
      <c r="B31" s="19" t="s">
        <v>52</v>
      </c>
      <c r="C31" t="s">
        <v>486</v>
      </c>
      <c r="D31" s="563"/>
      <c r="E31" s="120"/>
      <c r="F31" s="563">
        <v>199583.19</v>
      </c>
      <c r="G31" s="120">
        <v>3.6196659201696092E-4</v>
      </c>
      <c r="H31" s="563">
        <v>588483.88</v>
      </c>
      <c r="I31" s="120">
        <v>2.15390593133526E-3</v>
      </c>
      <c r="J31" s="563">
        <v>0</v>
      </c>
      <c r="K31" s="120">
        <v>0</v>
      </c>
      <c r="L31" s="563">
        <v>302485.01</v>
      </c>
      <c r="M31" s="120">
        <v>2.0961202944188863E-3</v>
      </c>
      <c r="N31" s="563">
        <v>1553431.43</v>
      </c>
      <c r="O31" s="120">
        <v>2.103244761825899E-3</v>
      </c>
      <c r="P31" s="124">
        <v>2643983.5099999998</v>
      </c>
      <c r="Q31" s="124"/>
      <c r="R31" s="563"/>
      <c r="S31" s="120"/>
      <c r="T31" s="373"/>
      <c r="U31" s="541">
        <v>857</v>
      </c>
      <c r="V31" s="540" t="s">
        <v>487</v>
      </c>
      <c r="W31" s="442" t="s">
        <v>52</v>
      </c>
      <c r="X31" s="552" t="s">
        <v>486</v>
      </c>
      <c r="Y31" s="563">
        <v>0</v>
      </c>
      <c r="Z31" s="563">
        <v>1454045.84</v>
      </c>
      <c r="AA31" s="563">
        <v>572152.85</v>
      </c>
      <c r="AB31" s="563"/>
      <c r="AC31" s="563"/>
      <c r="AD31" s="563">
        <v>2026198.69</v>
      </c>
      <c r="AE31" s="124"/>
      <c r="AF31" s="541">
        <v>857</v>
      </c>
      <c r="AG31" s="540" t="s">
        <v>487</v>
      </c>
      <c r="AH31" s="442" t="s">
        <v>52</v>
      </c>
      <c r="AI31" s="552" t="s">
        <v>486</v>
      </c>
      <c r="AJ31" s="563">
        <v>0</v>
      </c>
      <c r="AK31" s="563">
        <v>1553431.43</v>
      </c>
      <c r="AL31" s="563">
        <v>588483.88</v>
      </c>
      <c r="AM31" s="563"/>
      <c r="AN31" s="563"/>
      <c r="AO31" s="563">
        <v>2141915.31</v>
      </c>
      <c r="AR31" s="124">
        <f>+L31</f>
        <v>302485.01</v>
      </c>
      <c r="AS31" s="124">
        <f>+F31</f>
        <v>199583.19</v>
      </c>
      <c r="AV31" s="372">
        <f t="shared" si="4"/>
        <v>502068.2</v>
      </c>
      <c r="AW31" s="124">
        <f>+AV31+AO31-P31</f>
        <v>0</v>
      </c>
      <c r="AZ31" s="563">
        <v>0</v>
      </c>
      <c r="BA31" s="563">
        <v>38545.599999999999</v>
      </c>
      <c r="BB31" s="563">
        <v>15165.88</v>
      </c>
      <c r="BC31" s="563"/>
      <c r="BD31" s="563"/>
      <c r="BE31" s="563">
        <v>53711.479999999996</v>
      </c>
      <c r="BF31" s="372"/>
      <c r="BO31" s="563">
        <v>0</v>
      </c>
      <c r="BP31" s="563">
        <v>3348507.88</v>
      </c>
      <c r="BQ31" s="563">
        <v>1375385.7999999998</v>
      </c>
      <c r="BR31" s="563"/>
      <c r="BS31" s="563"/>
      <c r="BT31" s="563">
        <v>4723893.68</v>
      </c>
      <c r="BW31" s="126">
        <v>98</v>
      </c>
      <c r="BX31" s="125">
        <v>5401</v>
      </c>
      <c r="BY31" s="19" t="s">
        <v>52</v>
      </c>
      <c r="BZ31" t="s">
        <v>753</v>
      </c>
    </row>
    <row r="32" spans="1:78" x14ac:dyDescent="0.3">
      <c r="A32" s="436">
        <v>5401</v>
      </c>
      <c r="B32" s="19" t="s">
        <v>52</v>
      </c>
      <c r="C32" t="s">
        <v>64</v>
      </c>
      <c r="D32" s="563">
        <v>661.34</v>
      </c>
      <c r="E32" s="120">
        <v>1.199414569756586E-6</v>
      </c>
      <c r="F32" s="563">
        <v>66431.25</v>
      </c>
      <c r="G32" s="120">
        <v>1.2048055332679439E-4</v>
      </c>
      <c r="H32" s="563">
        <v>193683.7</v>
      </c>
      <c r="I32" s="120">
        <v>7.0890042091375398E-4</v>
      </c>
      <c r="J32" s="563"/>
      <c r="K32" s="120"/>
      <c r="L32" s="563">
        <v>73143.59</v>
      </c>
      <c r="M32" s="120">
        <v>5.06860698338917E-4</v>
      </c>
      <c r="N32" s="563">
        <v>377814.97</v>
      </c>
      <c r="O32" s="120">
        <v>5.1153680892880419E-4</v>
      </c>
      <c r="P32" s="124">
        <v>711734.85</v>
      </c>
      <c r="Q32" s="124"/>
      <c r="R32" s="563"/>
      <c r="S32" s="120"/>
      <c r="T32" s="373"/>
      <c r="U32" s="541">
        <v>98</v>
      </c>
      <c r="V32" s="540" t="s">
        <v>65</v>
      </c>
      <c r="W32" s="442" t="s">
        <v>52</v>
      </c>
      <c r="X32" s="552" t="s">
        <v>64</v>
      </c>
      <c r="Y32" s="563"/>
      <c r="Z32" s="563">
        <v>398133.66</v>
      </c>
      <c r="AA32" s="563">
        <v>176651.16</v>
      </c>
      <c r="AB32" s="563">
        <v>426.89</v>
      </c>
      <c r="AC32" s="563"/>
      <c r="AD32" s="563">
        <v>575211.71</v>
      </c>
      <c r="AE32" s="124"/>
      <c r="AF32" s="541">
        <v>98</v>
      </c>
      <c r="AG32" s="540" t="s">
        <v>65</v>
      </c>
      <c r="AH32" s="442" t="s">
        <v>52</v>
      </c>
      <c r="AI32" s="552" t="s">
        <v>64</v>
      </c>
      <c r="AJ32" s="563"/>
      <c r="AK32" s="563">
        <v>377814.97</v>
      </c>
      <c r="AL32" s="563">
        <v>193683.7</v>
      </c>
      <c r="AM32" s="563">
        <v>661.34</v>
      </c>
      <c r="AN32" s="563"/>
      <c r="AO32" s="563">
        <v>572160.01</v>
      </c>
      <c r="AR32" s="124">
        <f>+L32</f>
        <v>73143.59</v>
      </c>
      <c r="AS32" s="124">
        <f>+F32</f>
        <v>66431.25</v>
      </c>
      <c r="AV32" s="372">
        <f t="shared" si="4"/>
        <v>139574.84</v>
      </c>
      <c r="AW32" s="124">
        <f>+AV32+AO32-P32</f>
        <v>0</v>
      </c>
      <c r="AZ32" s="563"/>
      <c r="BA32" s="563">
        <v>9374.94</v>
      </c>
      <c r="BB32" s="563">
        <v>4991.71</v>
      </c>
      <c r="BC32" s="563">
        <v>14.22</v>
      </c>
      <c r="BD32" s="563"/>
      <c r="BE32" s="563">
        <v>14380.87</v>
      </c>
      <c r="BF32" s="372"/>
      <c r="BO32" s="563"/>
      <c r="BP32" s="563">
        <v>858467.15999999992</v>
      </c>
      <c r="BQ32" s="563">
        <v>441757.82</v>
      </c>
      <c r="BR32" s="563">
        <v>1102.45</v>
      </c>
      <c r="BS32" s="563"/>
      <c r="BT32" s="563">
        <v>1301327.43</v>
      </c>
      <c r="BW32" s="126">
        <v>787</v>
      </c>
      <c r="BX32" s="125">
        <v>5402</v>
      </c>
      <c r="BY32" s="19" t="s">
        <v>52</v>
      </c>
      <c r="BZ32" t="s">
        <v>932</v>
      </c>
    </row>
    <row r="33" spans="1:78" x14ac:dyDescent="0.3">
      <c r="A33" s="436">
        <v>5402</v>
      </c>
      <c r="B33" s="19" t="s">
        <v>52</v>
      </c>
      <c r="C33" t="s">
        <v>438</v>
      </c>
      <c r="D33" s="563"/>
      <c r="E33" s="120"/>
      <c r="F33" s="563">
        <v>132885.49</v>
      </c>
      <c r="G33" s="120">
        <v>2.4100280160771026E-4</v>
      </c>
      <c r="H33" s="563">
        <v>388446.81</v>
      </c>
      <c r="I33" s="120">
        <v>1.4217515831822967E-3</v>
      </c>
      <c r="J33" s="563">
        <v>0</v>
      </c>
      <c r="K33" s="120">
        <v>0</v>
      </c>
      <c r="L33" s="563">
        <v>130042.63</v>
      </c>
      <c r="M33" s="120">
        <v>9.0115207984225825E-4</v>
      </c>
      <c r="N33" s="563">
        <v>672139.17999999993</v>
      </c>
      <c r="O33" s="120">
        <v>9.1003257836295677E-4</v>
      </c>
      <c r="P33" s="124">
        <v>1323514.1099999999</v>
      </c>
      <c r="Q33" s="124"/>
      <c r="R33" s="563"/>
      <c r="S33" s="120"/>
      <c r="T33" s="373"/>
      <c r="U33" s="541">
        <v>787</v>
      </c>
      <c r="V33" s="540" t="s">
        <v>439</v>
      </c>
      <c r="W33" s="442" t="s">
        <v>52</v>
      </c>
      <c r="X33" s="552" t="s">
        <v>438</v>
      </c>
      <c r="Y33" s="563">
        <v>0</v>
      </c>
      <c r="Z33" s="563">
        <v>675340.6</v>
      </c>
      <c r="AA33" s="563">
        <v>374718.51</v>
      </c>
      <c r="AB33" s="563"/>
      <c r="AC33" s="563"/>
      <c r="AD33" s="563">
        <v>1050059.1099999999</v>
      </c>
      <c r="AE33" s="124"/>
      <c r="AF33" s="541">
        <v>787</v>
      </c>
      <c r="AG33" s="540" t="s">
        <v>439</v>
      </c>
      <c r="AH33" s="442" t="s">
        <v>52</v>
      </c>
      <c r="AI33" s="552" t="s">
        <v>438</v>
      </c>
      <c r="AJ33" s="563">
        <v>0</v>
      </c>
      <c r="AK33" s="563">
        <v>672139.17999999993</v>
      </c>
      <c r="AL33" s="563">
        <v>388446.81</v>
      </c>
      <c r="AM33" s="563"/>
      <c r="AN33" s="563"/>
      <c r="AO33" s="563">
        <v>1060585.99</v>
      </c>
      <c r="AR33" s="124">
        <f>+L33</f>
        <v>130042.63</v>
      </c>
      <c r="AS33" s="124">
        <f>+F33</f>
        <v>132885.49</v>
      </c>
      <c r="AV33" s="372">
        <f t="shared" si="4"/>
        <v>262928.12</v>
      </c>
      <c r="AW33" s="124">
        <f>+AV33+AO33-P33</f>
        <v>0</v>
      </c>
      <c r="AZ33" s="563">
        <v>0</v>
      </c>
      <c r="BA33" s="563">
        <v>16678.21</v>
      </c>
      <c r="BB33" s="563">
        <v>10011.34</v>
      </c>
      <c r="BC33" s="563"/>
      <c r="BD33" s="563"/>
      <c r="BE33" s="563">
        <v>26689.55</v>
      </c>
      <c r="BF33" s="372"/>
      <c r="BO33" s="563">
        <v>0</v>
      </c>
      <c r="BP33" s="563">
        <v>1494200.62</v>
      </c>
      <c r="BQ33" s="563">
        <v>906062.14999999991</v>
      </c>
      <c r="BR33" s="563"/>
      <c r="BS33" s="563"/>
      <c r="BT33" s="563">
        <v>2400262.77</v>
      </c>
      <c r="BW33" s="126">
        <v>2901</v>
      </c>
      <c r="BX33" s="125">
        <v>5903</v>
      </c>
      <c r="BY33" s="19" t="s">
        <v>1039</v>
      </c>
      <c r="BZ33" t="s">
        <v>1102</v>
      </c>
    </row>
    <row r="34" spans="1:78" x14ac:dyDescent="0.3">
      <c r="A34" s="436">
        <v>5903</v>
      </c>
      <c r="B34" s="19" t="s">
        <v>52</v>
      </c>
      <c r="C34" t="s">
        <v>1086</v>
      </c>
      <c r="D34" s="563"/>
      <c r="E34" s="120"/>
      <c r="F34" s="563">
        <v>30468.730000000003</v>
      </c>
      <c r="G34" s="120">
        <v>5.5258473227053537E-5</v>
      </c>
      <c r="H34" s="563">
        <v>88566.14</v>
      </c>
      <c r="I34" s="120">
        <v>3.2416033938171597E-4</v>
      </c>
      <c r="J34" s="563">
        <v>0</v>
      </c>
      <c r="K34" s="120">
        <v>0</v>
      </c>
      <c r="L34" s="563">
        <v>9564.01</v>
      </c>
      <c r="M34" s="120">
        <v>6.6275401405924787E-5</v>
      </c>
      <c r="N34" s="563">
        <v>49590.66</v>
      </c>
      <c r="O34" s="120">
        <v>6.7142516796180152E-5</v>
      </c>
      <c r="P34" s="124">
        <v>178189.53999999998</v>
      </c>
      <c r="Q34" s="124"/>
      <c r="R34" s="563"/>
      <c r="S34" s="120"/>
      <c r="T34" s="373"/>
      <c r="U34" s="545">
        <v>2901</v>
      </c>
      <c r="V34" s="540" t="s">
        <v>1114</v>
      </c>
      <c r="W34" s="442" t="s">
        <v>52</v>
      </c>
      <c r="X34" s="552" t="s">
        <v>1086</v>
      </c>
      <c r="Y34" s="563">
        <v>0</v>
      </c>
      <c r="Z34" s="563">
        <v>49803.3</v>
      </c>
      <c r="AA34" s="563">
        <v>81262.69</v>
      </c>
      <c r="AB34" s="563"/>
      <c r="AC34" s="563"/>
      <c r="AD34" s="563">
        <v>131065.99</v>
      </c>
      <c r="AE34" s="124"/>
      <c r="AF34" s="545">
        <v>2901</v>
      </c>
      <c r="AG34" s="540" t="s">
        <v>1114</v>
      </c>
      <c r="AH34" s="442" t="s">
        <v>52</v>
      </c>
      <c r="AI34" s="552" t="s">
        <v>1086</v>
      </c>
      <c r="AJ34" s="563">
        <v>0</v>
      </c>
      <c r="AK34" s="563">
        <v>49590.66</v>
      </c>
      <c r="AL34" s="563">
        <v>88566.14</v>
      </c>
      <c r="AM34" s="563"/>
      <c r="AN34" s="563"/>
      <c r="AO34" s="563">
        <v>138156.79999999999</v>
      </c>
      <c r="AR34" s="124">
        <f>+L34</f>
        <v>9564.01</v>
      </c>
      <c r="AS34" s="124">
        <f>+F34</f>
        <v>30468.730000000003</v>
      </c>
      <c r="AV34" s="372">
        <f t="shared" si="4"/>
        <v>40032.740000000005</v>
      </c>
      <c r="AW34" s="124">
        <f>+AV34+AO34-P34</f>
        <v>0</v>
      </c>
      <c r="AZ34" s="563">
        <v>0</v>
      </c>
      <c r="BA34" s="563">
        <v>1230.33</v>
      </c>
      <c r="BB34" s="563">
        <v>2282.37</v>
      </c>
      <c r="BC34" s="563"/>
      <c r="BD34" s="563"/>
      <c r="BE34" s="563">
        <v>3512.7</v>
      </c>
      <c r="BF34" s="372"/>
      <c r="BO34" s="563">
        <v>0</v>
      </c>
      <c r="BP34" s="563">
        <v>110188.3</v>
      </c>
      <c r="BQ34" s="563">
        <v>202579.93</v>
      </c>
      <c r="BR34" s="563"/>
      <c r="BS34" s="563"/>
      <c r="BT34" s="563">
        <v>312768.23</v>
      </c>
      <c r="BW34" s="126">
        <v>1031</v>
      </c>
      <c r="BX34" s="125">
        <v>6037</v>
      </c>
      <c r="BY34" s="19" t="s">
        <v>34</v>
      </c>
      <c r="BZ34" t="s">
        <v>995</v>
      </c>
    </row>
    <row r="35" spans="1:78" x14ac:dyDescent="0.3">
      <c r="A35" s="436">
        <v>6037</v>
      </c>
      <c r="B35" s="19" t="s">
        <v>34</v>
      </c>
      <c r="C35" t="s">
        <v>572</v>
      </c>
      <c r="D35" s="563"/>
      <c r="E35" s="120"/>
      <c r="F35" s="563">
        <v>1858849.68</v>
      </c>
      <c r="G35" s="120">
        <v>3.3712332373353605E-3</v>
      </c>
      <c r="H35" s="563">
        <v>5506288.2999999998</v>
      </c>
      <c r="I35" s="120">
        <v>2.0153529148516258E-2</v>
      </c>
      <c r="J35" s="563">
        <v>0</v>
      </c>
      <c r="K35" s="120">
        <v>0</v>
      </c>
      <c r="L35" s="563">
        <v>2834088.73</v>
      </c>
      <c r="M35" s="120">
        <v>1.9639290235032959E-2</v>
      </c>
      <c r="N35" s="563">
        <v>14556404.52</v>
      </c>
      <c r="O35" s="120">
        <v>1.9708421605521938E-2</v>
      </c>
      <c r="P35" s="124">
        <v>24755631.229999997</v>
      </c>
      <c r="Q35" s="124"/>
      <c r="R35" s="563"/>
      <c r="S35" s="120"/>
      <c r="T35" s="373"/>
      <c r="U35" s="541">
        <v>1031</v>
      </c>
      <c r="V35" s="540" t="s">
        <v>573</v>
      </c>
      <c r="W35" s="442" t="s">
        <v>34</v>
      </c>
      <c r="X35" s="552" t="s">
        <v>572</v>
      </c>
      <c r="Y35" s="563">
        <v>0</v>
      </c>
      <c r="Z35" s="563">
        <v>13395964.83</v>
      </c>
      <c r="AA35" s="563">
        <v>5146010.7300000004</v>
      </c>
      <c r="AB35" s="563"/>
      <c r="AC35" s="563"/>
      <c r="AD35" s="563">
        <v>18541975.560000002</v>
      </c>
      <c r="AE35" s="124"/>
      <c r="AF35" s="541">
        <v>1031</v>
      </c>
      <c r="AG35" s="540" t="s">
        <v>573</v>
      </c>
      <c r="AH35" s="442" t="s">
        <v>34</v>
      </c>
      <c r="AI35" s="552" t="s">
        <v>572</v>
      </c>
      <c r="AJ35" s="563">
        <v>0</v>
      </c>
      <c r="AK35" s="563">
        <v>14556404.52</v>
      </c>
      <c r="AL35" s="563">
        <v>5506288.2999999998</v>
      </c>
      <c r="AM35" s="563"/>
      <c r="AN35" s="563"/>
      <c r="AO35" s="563">
        <v>20062692.82</v>
      </c>
      <c r="AR35" s="124">
        <f>+L35</f>
        <v>2834088.73</v>
      </c>
      <c r="AS35" s="124">
        <f>+F35</f>
        <v>1858849.68</v>
      </c>
      <c r="AV35" s="372">
        <f t="shared" si="4"/>
        <v>4692938.41</v>
      </c>
      <c r="AW35" s="124">
        <f>+AV35+AO35-P35</f>
        <v>0</v>
      </c>
      <c r="AZ35" s="563">
        <v>0</v>
      </c>
      <c r="BA35" s="563">
        <v>361199.35</v>
      </c>
      <c r="BB35" s="563">
        <v>141913.46000000002</v>
      </c>
      <c r="BC35" s="563"/>
      <c r="BD35" s="563"/>
      <c r="BE35" s="563">
        <v>503112.81</v>
      </c>
      <c r="BF35" s="372"/>
      <c r="BO35" s="563">
        <v>0</v>
      </c>
      <c r="BP35" s="563">
        <v>31147657.43</v>
      </c>
      <c r="BQ35" s="563">
        <v>12653062.17</v>
      </c>
      <c r="BR35" s="563"/>
      <c r="BS35" s="563"/>
      <c r="BT35" s="563">
        <v>43800719.600000001</v>
      </c>
      <c r="BW35" s="126">
        <v>381</v>
      </c>
      <c r="BX35" s="125">
        <v>6098</v>
      </c>
      <c r="BY35" s="19" t="s">
        <v>34</v>
      </c>
      <c r="BZ35" t="s">
        <v>830</v>
      </c>
    </row>
    <row r="36" spans="1:78" x14ac:dyDescent="0.3">
      <c r="A36" s="436">
        <v>6098</v>
      </c>
      <c r="B36" s="19" t="s">
        <v>34</v>
      </c>
      <c r="C36" t="s">
        <v>220</v>
      </c>
      <c r="D36" s="563"/>
      <c r="E36" s="120"/>
      <c r="F36" s="563">
        <v>108478.20000000001</v>
      </c>
      <c r="G36" s="120">
        <v>1.9673743245678303E-4</v>
      </c>
      <c r="H36" s="563">
        <v>320836.77</v>
      </c>
      <c r="I36" s="120">
        <v>1.1742925258945863E-3</v>
      </c>
      <c r="J36" s="563">
        <v>0</v>
      </c>
      <c r="K36" s="120">
        <v>0</v>
      </c>
      <c r="L36" s="563">
        <v>220896.77000000002</v>
      </c>
      <c r="M36" s="120">
        <v>1.530740986366832E-3</v>
      </c>
      <c r="N36" s="563">
        <v>1132924.3500000001</v>
      </c>
      <c r="O36" s="120">
        <v>1.533905622524009E-3</v>
      </c>
      <c r="P36" s="124">
        <v>1783136.09</v>
      </c>
      <c r="Q36" s="124"/>
      <c r="R36" s="563"/>
      <c r="S36" s="120"/>
      <c r="T36" s="373"/>
      <c r="U36" s="541">
        <v>381</v>
      </c>
      <c r="V36" s="540" t="s">
        <v>221</v>
      </c>
      <c r="W36" s="442" t="s">
        <v>34</v>
      </c>
      <c r="X36" s="552" t="s">
        <v>220</v>
      </c>
      <c r="Y36" s="563">
        <v>0</v>
      </c>
      <c r="Z36" s="563">
        <v>1178867.42</v>
      </c>
      <c r="AA36" s="563">
        <v>333635.78000000003</v>
      </c>
      <c r="AB36" s="563"/>
      <c r="AC36" s="563"/>
      <c r="AD36" s="563">
        <v>1512503.2</v>
      </c>
      <c r="AE36" s="124"/>
      <c r="AF36" s="541">
        <v>381</v>
      </c>
      <c r="AG36" s="540" t="s">
        <v>221</v>
      </c>
      <c r="AH36" s="442" t="s">
        <v>34</v>
      </c>
      <c r="AI36" s="552" t="s">
        <v>220</v>
      </c>
      <c r="AJ36" s="563">
        <v>0</v>
      </c>
      <c r="AK36" s="563">
        <v>1132924.3500000001</v>
      </c>
      <c r="AL36" s="563">
        <v>320836.77</v>
      </c>
      <c r="AM36" s="563"/>
      <c r="AN36" s="563"/>
      <c r="AO36" s="563">
        <v>1453761.12</v>
      </c>
      <c r="AR36" s="124">
        <f>+L36</f>
        <v>220896.77000000002</v>
      </c>
      <c r="AS36" s="124">
        <f>+F36</f>
        <v>108478.20000000001</v>
      </c>
      <c r="AV36" s="372">
        <f t="shared" si="4"/>
        <v>329374.97000000003</v>
      </c>
      <c r="AW36" s="124">
        <f>+AV36+AO36-P36</f>
        <v>0</v>
      </c>
      <c r="AZ36" s="563">
        <v>0</v>
      </c>
      <c r="BA36" s="563">
        <v>28111.66</v>
      </c>
      <c r="BB36" s="563">
        <v>8269.07</v>
      </c>
      <c r="BC36" s="563"/>
      <c r="BD36" s="563"/>
      <c r="BE36" s="563">
        <v>36380.729999999996</v>
      </c>
      <c r="BF36" s="372"/>
      <c r="BO36" s="563">
        <v>0</v>
      </c>
      <c r="BP36" s="563">
        <v>2560800.1999999997</v>
      </c>
      <c r="BQ36" s="563">
        <v>771219.82000000007</v>
      </c>
      <c r="BR36" s="563"/>
      <c r="BS36" s="563"/>
      <c r="BT36" s="563">
        <v>3332020.0199999996</v>
      </c>
      <c r="BW36" s="126">
        <v>506</v>
      </c>
      <c r="BX36" s="125">
        <v>6101</v>
      </c>
      <c r="BY36" s="19" t="s">
        <v>34</v>
      </c>
      <c r="BZ36" t="s">
        <v>846</v>
      </c>
    </row>
    <row r="37" spans="1:78" x14ac:dyDescent="0.3">
      <c r="A37" s="436">
        <v>6101</v>
      </c>
      <c r="B37" s="19" t="s">
        <v>34</v>
      </c>
      <c r="C37" t="s">
        <v>252</v>
      </c>
      <c r="D37" s="563"/>
      <c r="E37" s="120"/>
      <c r="F37" s="563">
        <v>92965.200000000012</v>
      </c>
      <c r="G37" s="120">
        <v>1.6860285989103182E-4</v>
      </c>
      <c r="H37" s="563">
        <v>273415.82</v>
      </c>
      <c r="I37" s="120">
        <v>1.0007274225062779E-3</v>
      </c>
      <c r="J37" s="563">
        <v>9859.27</v>
      </c>
      <c r="K37" s="120">
        <v>6.83214547892978E-5</v>
      </c>
      <c r="L37" s="563">
        <v>192899.4</v>
      </c>
      <c r="M37" s="120">
        <v>1.3367285444036599E-3</v>
      </c>
      <c r="N37" s="563">
        <v>990787.81</v>
      </c>
      <c r="O37" s="120">
        <v>1.3414620247920786E-3</v>
      </c>
      <c r="P37" s="124">
        <v>1559927.5</v>
      </c>
      <c r="Q37" s="124"/>
      <c r="R37" s="563"/>
      <c r="S37" s="120"/>
      <c r="T37" s="373"/>
      <c r="U37" s="541">
        <v>506</v>
      </c>
      <c r="V37" s="540" t="s">
        <v>253</v>
      </c>
      <c r="W37" s="442" t="s">
        <v>34</v>
      </c>
      <c r="X37" s="552" t="s">
        <v>252</v>
      </c>
      <c r="Y37" s="563">
        <v>6143.36</v>
      </c>
      <c r="Z37" s="563">
        <v>967573.3</v>
      </c>
      <c r="AA37" s="563">
        <v>278908.20999999996</v>
      </c>
      <c r="AB37" s="563"/>
      <c r="AC37" s="563"/>
      <c r="AD37" s="563">
        <v>1252624.8700000001</v>
      </c>
      <c r="AE37" s="124"/>
      <c r="AF37" s="541">
        <v>506</v>
      </c>
      <c r="AG37" s="540" t="s">
        <v>253</v>
      </c>
      <c r="AH37" s="442" t="s">
        <v>34</v>
      </c>
      <c r="AI37" s="552" t="s">
        <v>252</v>
      </c>
      <c r="AJ37" s="563">
        <v>9859.27</v>
      </c>
      <c r="AK37" s="563">
        <v>990787.81</v>
      </c>
      <c r="AL37" s="563">
        <v>273415.82</v>
      </c>
      <c r="AM37" s="563"/>
      <c r="AN37" s="563"/>
      <c r="AO37" s="563">
        <v>1274062.9000000001</v>
      </c>
      <c r="AR37" s="124">
        <f>+L37</f>
        <v>192899.4</v>
      </c>
      <c r="AS37" s="124">
        <f>+F37</f>
        <v>92965.200000000012</v>
      </c>
      <c r="AV37" s="372">
        <f t="shared" si="4"/>
        <v>285864.59999999998</v>
      </c>
      <c r="AW37" s="124">
        <f>+AV37+AO37-P37</f>
        <v>0</v>
      </c>
      <c r="AZ37" s="563">
        <v>204.71</v>
      </c>
      <c r="BA37" s="563">
        <v>24584.98</v>
      </c>
      <c r="BB37" s="563">
        <v>7046.68</v>
      </c>
      <c r="BC37" s="563"/>
      <c r="BD37" s="563"/>
      <c r="BE37" s="563">
        <v>31836.37</v>
      </c>
      <c r="BF37" s="372"/>
      <c r="BO37" s="563">
        <v>16207.34</v>
      </c>
      <c r="BP37" s="563">
        <v>2175845.4900000002</v>
      </c>
      <c r="BQ37" s="563">
        <v>652335.91</v>
      </c>
      <c r="BR37" s="563"/>
      <c r="BS37" s="563"/>
      <c r="BT37" s="563">
        <v>2844388.74</v>
      </c>
      <c r="BW37" s="126">
        <v>366</v>
      </c>
      <c r="BX37" s="125">
        <v>6103</v>
      </c>
      <c r="BY37" s="19" t="s">
        <v>34</v>
      </c>
      <c r="BZ37" t="s">
        <v>825</v>
      </c>
    </row>
    <row r="38" spans="1:78" x14ac:dyDescent="0.3">
      <c r="A38" s="436">
        <v>6103</v>
      </c>
      <c r="B38" s="19" t="s">
        <v>34</v>
      </c>
      <c r="C38" t="s">
        <v>210</v>
      </c>
      <c r="D38" s="563"/>
      <c r="E38" s="120"/>
      <c r="F38" s="563">
        <v>13571.88</v>
      </c>
      <c r="G38" s="120">
        <v>2.4614132837856493E-5</v>
      </c>
      <c r="H38" s="563">
        <v>40140.020000000004</v>
      </c>
      <c r="I38" s="120">
        <v>1.469162199683634E-4</v>
      </c>
      <c r="J38" s="563">
        <v>0</v>
      </c>
      <c r="K38" s="120">
        <v>0</v>
      </c>
      <c r="L38" s="563">
        <v>17004.440000000002</v>
      </c>
      <c r="M38" s="120">
        <v>1.1783510124759005E-4</v>
      </c>
      <c r="N38" s="563">
        <v>87193.08</v>
      </c>
      <c r="O38" s="120">
        <v>1.1805373911963823E-4</v>
      </c>
      <c r="P38" s="124">
        <v>157909.41999999998</v>
      </c>
      <c r="Q38" s="124"/>
      <c r="R38" s="563"/>
      <c r="S38" s="120"/>
      <c r="T38" s="373"/>
      <c r="U38" s="541">
        <v>366</v>
      </c>
      <c r="V38" s="540" t="s">
        <v>211</v>
      </c>
      <c r="W38" s="442" t="s">
        <v>34</v>
      </c>
      <c r="X38" s="552" t="s">
        <v>210</v>
      </c>
      <c r="Y38" s="563">
        <v>0</v>
      </c>
      <c r="Z38" s="563">
        <v>83129.899999999994</v>
      </c>
      <c r="AA38" s="563">
        <v>38485.440000000002</v>
      </c>
      <c r="AB38" s="563"/>
      <c r="AC38" s="563"/>
      <c r="AD38" s="563">
        <v>121615.34</v>
      </c>
      <c r="AE38" s="124"/>
      <c r="AF38" s="541">
        <v>366</v>
      </c>
      <c r="AG38" s="540" t="s">
        <v>211</v>
      </c>
      <c r="AH38" s="442" t="s">
        <v>34</v>
      </c>
      <c r="AI38" s="552" t="s">
        <v>210</v>
      </c>
      <c r="AJ38" s="563">
        <v>0</v>
      </c>
      <c r="AK38" s="563">
        <v>87193.08</v>
      </c>
      <c r="AL38" s="563">
        <v>40140.020000000004</v>
      </c>
      <c r="AM38" s="563"/>
      <c r="AN38" s="563"/>
      <c r="AO38" s="563">
        <v>127333.1</v>
      </c>
      <c r="AR38" s="124">
        <f>+L38</f>
        <v>17004.440000000002</v>
      </c>
      <c r="AS38" s="124">
        <f>+F38</f>
        <v>13571.88</v>
      </c>
      <c r="AV38" s="372">
        <f t="shared" si="4"/>
        <v>30576.32</v>
      </c>
      <c r="AW38" s="124">
        <f>+AV38+AO38-P38</f>
        <v>0</v>
      </c>
      <c r="AZ38" s="563">
        <v>0</v>
      </c>
      <c r="BA38" s="563">
        <v>2163.48</v>
      </c>
      <c r="BB38" s="563">
        <v>1034.42</v>
      </c>
      <c r="BC38" s="563"/>
      <c r="BD38" s="563"/>
      <c r="BE38" s="563">
        <v>3197.9</v>
      </c>
      <c r="BF38" s="372"/>
      <c r="BO38" s="563">
        <v>0</v>
      </c>
      <c r="BP38" s="563">
        <v>189490.9</v>
      </c>
      <c r="BQ38" s="563">
        <v>93231.760000000009</v>
      </c>
      <c r="BR38" s="563"/>
      <c r="BS38" s="563"/>
      <c r="BT38" s="563">
        <v>282722.66000000003</v>
      </c>
      <c r="BW38" s="126">
        <v>1063</v>
      </c>
      <c r="BX38" s="125">
        <v>6112</v>
      </c>
      <c r="BY38" s="19" t="s">
        <v>34</v>
      </c>
      <c r="BZ38" t="s">
        <v>1003</v>
      </c>
    </row>
    <row r="39" spans="1:78" x14ac:dyDescent="0.3">
      <c r="A39" s="436">
        <v>6112</v>
      </c>
      <c r="B39" s="19" t="s">
        <v>34</v>
      </c>
      <c r="C39" t="s">
        <v>588</v>
      </c>
      <c r="D39" s="563"/>
      <c r="E39" s="120"/>
      <c r="F39" s="563">
        <v>207322.11</v>
      </c>
      <c r="G39" s="120">
        <v>3.7600199498998634E-4</v>
      </c>
      <c r="H39" s="563">
        <v>613041.26</v>
      </c>
      <c r="I39" s="120">
        <v>2.2437882343816135E-3</v>
      </c>
      <c r="J39" s="563"/>
      <c r="K39" s="120"/>
      <c r="L39" s="563">
        <v>320703.84999999998</v>
      </c>
      <c r="M39" s="120">
        <v>2.2223707828803491E-3</v>
      </c>
      <c r="N39" s="563">
        <v>1645871.12</v>
      </c>
      <c r="O39" s="120">
        <v>2.2284020684328024E-3</v>
      </c>
      <c r="P39" s="124">
        <v>2786938.34</v>
      </c>
      <c r="Q39" s="124"/>
      <c r="R39" s="563"/>
      <c r="S39" s="120"/>
      <c r="T39" s="373"/>
      <c r="U39" s="541">
        <v>1063</v>
      </c>
      <c r="V39" s="540" t="s">
        <v>589</v>
      </c>
      <c r="W39" s="442" t="s">
        <v>34</v>
      </c>
      <c r="X39" s="552" t="s">
        <v>588</v>
      </c>
      <c r="Y39" s="563"/>
      <c r="Z39" s="563">
        <v>1617161.58</v>
      </c>
      <c r="AA39" s="563">
        <v>576718.93999999994</v>
      </c>
      <c r="AB39" s="563"/>
      <c r="AC39" s="563"/>
      <c r="AD39" s="563">
        <v>2193880.52</v>
      </c>
      <c r="AE39" s="124"/>
      <c r="AF39" s="541">
        <v>1063</v>
      </c>
      <c r="AG39" s="540" t="s">
        <v>589</v>
      </c>
      <c r="AH39" s="442" t="s">
        <v>34</v>
      </c>
      <c r="AI39" s="552" t="s">
        <v>588</v>
      </c>
      <c r="AJ39" s="563"/>
      <c r="AK39" s="563">
        <v>1645871.12</v>
      </c>
      <c r="AL39" s="563">
        <v>613041.26</v>
      </c>
      <c r="AM39" s="563"/>
      <c r="AN39" s="563"/>
      <c r="AO39" s="563">
        <v>2258912.38</v>
      </c>
      <c r="AR39" s="124">
        <f>+L39</f>
        <v>320703.84999999998</v>
      </c>
      <c r="AS39" s="124">
        <f>+F39</f>
        <v>207322.11</v>
      </c>
      <c r="AV39" s="372">
        <f t="shared" si="4"/>
        <v>528025.96</v>
      </c>
      <c r="AW39" s="124">
        <f>+AV39+AO39-P39</f>
        <v>0</v>
      </c>
      <c r="AZ39" s="563"/>
      <c r="BA39" s="563">
        <v>40839.869999999995</v>
      </c>
      <c r="BB39" s="563">
        <v>15799.83</v>
      </c>
      <c r="BC39" s="563"/>
      <c r="BD39" s="563"/>
      <c r="BE39" s="563">
        <v>56639.7</v>
      </c>
      <c r="BF39" s="372"/>
      <c r="BO39" s="563"/>
      <c r="BP39" s="563">
        <v>3624576.42</v>
      </c>
      <c r="BQ39" s="563">
        <v>1412882.1400000001</v>
      </c>
      <c r="BR39" s="563"/>
      <c r="BS39" s="563"/>
      <c r="BT39" s="563">
        <v>5037458.5600000005</v>
      </c>
      <c r="BW39" s="126">
        <v>291</v>
      </c>
      <c r="BX39" s="125">
        <v>6114</v>
      </c>
      <c r="BY39" s="19" t="s">
        <v>34</v>
      </c>
      <c r="BZ39" t="s">
        <v>809</v>
      </c>
    </row>
    <row r="40" spans="1:78" x14ac:dyDescent="0.3">
      <c r="A40" s="436">
        <v>6114</v>
      </c>
      <c r="B40" s="19" t="s">
        <v>34</v>
      </c>
      <c r="C40" t="s">
        <v>176</v>
      </c>
      <c r="D40" s="563">
        <v>2650.22</v>
      </c>
      <c r="E40" s="120">
        <v>4.8064724363569406E-6</v>
      </c>
      <c r="F40" s="563">
        <v>1634433.9900000002</v>
      </c>
      <c r="G40" s="120">
        <v>2.9642301099455505E-3</v>
      </c>
      <c r="H40" s="563">
        <v>4835240.04</v>
      </c>
      <c r="I40" s="120">
        <v>1.7697429879618351E-2</v>
      </c>
      <c r="J40" s="563">
        <v>2459.14</v>
      </c>
      <c r="K40" s="120">
        <v>1.7041020514759591E-5</v>
      </c>
      <c r="L40" s="563">
        <v>3098226.68</v>
      </c>
      <c r="M40" s="120">
        <v>2.1469678185567109E-2</v>
      </c>
      <c r="N40" s="563">
        <v>15936194.25</v>
      </c>
      <c r="O40" s="120">
        <v>2.1576566839356735E-2</v>
      </c>
      <c r="P40" s="124">
        <v>25509204.32</v>
      </c>
      <c r="Q40" s="124"/>
      <c r="R40" s="563"/>
      <c r="S40" s="120"/>
      <c r="T40" s="373"/>
      <c r="U40" s="541">
        <v>291</v>
      </c>
      <c r="V40" s="540" t="s">
        <v>177</v>
      </c>
      <c r="W40" s="442" t="s">
        <v>34</v>
      </c>
      <c r="X40" s="552" t="s">
        <v>176</v>
      </c>
      <c r="Y40" s="563">
        <v>1553.13</v>
      </c>
      <c r="Z40" s="563">
        <v>15433420.219999999</v>
      </c>
      <c r="AA40" s="563">
        <v>4549558.9700000007</v>
      </c>
      <c r="AB40" s="563">
        <v>1772.34</v>
      </c>
      <c r="AC40" s="563"/>
      <c r="AD40" s="563">
        <v>19986304.66</v>
      </c>
      <c r="AE40" s="124"/>
      <c r="AF40" s="541">
        <v>291</v>
      </c>
      <c r="AG40" s="540" t="s">
        <v>177</v>
      </c>
      <c r="AH40" s="442" t="s">
        <v>34</v>
      </c>
      <c r="AI40" s="552" t="s">
        <v>176</v>
      </c>
      <c r="AJ40" s="563">
        <v>2459.14</v>
      </c>
      <c r="AK40" s="563">
        <v>15936194.25</v>
      </c>
      <c r="AL40" s="563">
        <v>4835240.04</v>
      </c>
      <c r="AM40" s="563">
        <v>2650.22</v>
      </c>
      <c r="AN40" s="563"/>
      <c r="AO40" s="563">
        <v>20776543.649999999</v>
      </c>
      <c r="AR40" s="124">
        <f>+L40</f>
        <v>3098226.68</v>
      </c>
      <c r="AS40" s="124">
        <f>+F40</f>
        <v>1634433.9900000002</v>
      </c>
      <c r="AV40" s="372">
        <f t="shared" si="4"/>
        <v>4732660.67</v>
      </c>
      <c r="AW40" s="124">
        <f>+AV40+AO40-P40</f>
        <v>0</v>
      </c>
      <c r="AZ40" s="563">
        <v>51.76</v>
      </c>
      <c r="BA40" s="563">
        <v>395438.6</v>
      </c>
      <c r="BB40" s="563">
        <v>124621.48</v>
      </c>
      <c r="BC40" s="563">
        <v>59</v>
      </c>
      <c r="BD40" s="563"/>
      <c r="BE40" s="563">
        <v>520170.83999999997</v>
      </c>
      <c r="BF40" s="372"/>
      <c r="BO40" s="563">
        <v>4064.03</v>
      </c>
      <c r="BP40" s="563">
        <v>34863279.75</v>
      </c>
      <c r="BQ40" s="563">
        <v>11143854.48</v>
      </c>
      <c r="BR40" s="563">
        <v>4481.5600000000004</v>
      </c>
      <c r="BS40" s="563"/>
      <c r="BT40" s="563">
        <v>46015679.82</v>
      </c>
      <c r="BW40" s="126">
        <v>96</v>
      </c>
      <c r="BX40" s="125">
        <v>6117</v>
      </c>
      <c r="BY40" s="19" t="s">
        <v>34</v>
      </c>
      <c r="BZ40" t="s">
        <v>752</v>
      </c>
    </row>
    <row r="41" spans="1:78" x14ac:dyDescent="0.3">
      <c r="A41" s="436">
        <v>6117</v>
      </c>
      <c r="B41" s="19" t="s">
        <v>34</v>
      </c>
      <c r="C41" t="s">
        <v>62</v>
      </c>
      <c r="D41" s="563"/>
      <c r="E41" s="120"/>
      <c r="F41" s="563">
        <v>562247.77</v>
      </c>
      <c r="G41" s="120">
        <v>1.0196996509377171E-3</v>
      </c>
      <c r="H41" s="563">
        <v>1662788.01</v>
      </c>
      <c r="I41" s="120">
        <v>6.0859593253296141E-3</v>
      </c>
      <c r="J41" s="563">
        <v>0</v>
      </c>
      <c r="K41" s="120">
        <v>0</v>
      </c>
      <c r="L41" s="563">
        <v>922351.34000000008</v>
      </c>
      <c r="M41" s="120">
        <v>6.3915873462901665E-3</v>
      </c>
      <c r="N41" s="563">
        <v>4692908.45</v>
      </c>
      <c r="O41" s="120">
        <v>6.3538917293510661E-3</v>
      </c>
      <c r="P41" s="124">
        <v>7840295.5700000003</v>
      </c>
      <c r="Q41" s="124"/>
      <c r="R41" s="563"/>
      <c r="S41" s="120"/>
      <c r="T41" s="373"/>
      <c r="U41" s="541">
        <v>96</v>
      </c>
      <c r="V41" s="540" t="s">
        <v>63</v>
      </c>
      <c r="W41" s="442" t="s">
        <v>34</v>
      </c>
      <c r="X41" s="552" t="s">
        <v>62</v>
      </c>
      <c r="Y41" s="563">
        <v>0</v>
      </c>
      <c r="Z41" s="563">
        <v>4676752.3099999996</v>
      </c>
      <c r="AA41" s="563">
        <v>1649442.71</v>
      </c>
      <c r="AB41" s="563"/>
      <c r="AC41" s="563"/>
      <c r="AD41" s="563">
        <v>6326195.0199999996</v>
      </c>
      <c r="AE41" s="124"/>
      <c r="AF41" s="541">
        <v>96</v>
      </c>
      <c r="AG41" s="540" t="s">
        <v>63</v>
      </c>
      <c r="AH41" s="442" t="s">
        <v>34</v>
      </c>
      <c r="AI41" s="552" t="s">
        <v>62</v>
      </c>
      <c r="AJ41" s="563">
        <v>0</v>
      </c>
      <c r="AK41" s="563">
        <v>4692908.45</v>
      </c>
      <c r="AL41" s="563">
        <v>1662788.01</v>
      </c>
      <c r="AM41" s="563"/>
      <c r="AN41" s="563"/>
      <c r="AO41" s="563">
        <v>6355696.46</v>
      </c>
      <c r="AR41" s="124">
        <f>+L41</f>
        <v>922351.34000000008</v>
      </c>
      <c r="AS41" s="124">
        <f>+F41</f>
        <v>562247.77</v>
      </c>
      <c r="AV41" s="372">
        <f t="shared" si="4"/>
        <v>1484599.11</v>
      </c>
      <c r="AW41" s="124">
        <f>+AV41+AO41-P41</f>
        <v>0</v>
      </c>
      <c r="AZ41" s="563">
        <v>0</v>
      </c>
      <c r="BA41" s="563">
        <v>116422.89000000001</v>
      </c>
      <c r="BB41" s="563">
        <v>42853.880000000005</v>
      </c>
      <c r="BC41" s="563"/>
      <c r="BD41" s="563"/>
      <c r="BE41" s="563">
        <v>159276.77000000002</v>
      </c>
      <c r="BF41" s="372"/>
      <c r="BO41" s="563">
        <v>0</v>
      </c>
      <c r="BP41" s="563">
        <v>10408434.99</v>
      </c>
      <c r="BQ41" s="563">
        <v>3917332.37</v>
      </c>
      <c r="BR41" s="563"/>
      <c r="BS41" s="563"/>
      <c r="BT41" s="563">
        <v>14325767.359999999</v>
      </c>
      <c r="BW41" s="126">
        <v>45</v>
      </c>
      <c r="BX41" s="125">
        <v>6119</v>
      </c>
      <c r="BY41" s="19" t="s">
        <v>34</v>
      </c>
      <c r="BZ41" t="s">
        <v>739</v>
      </c>
    </row>
    <row r="42" spans="1:78" x14ac:dyDescent="0.3">
      <c r="A42" s="436">
        <v>6119</v>
      </c>
      <c r="B42" s="19" t="s">
        <v>34</v>
      </c>
      <c r="C42" t="s">
        <v>32</v>
      </c>
      <c r="D42" s="563"/>
      <c r="E42" s="120"/>
      <c r="F42" s="563">
        <v>885323.5</v>
      </c>
      <c r="G42" s="120">
        <v>1.6056338719083903E-3</v>
      </c>
      <c r="H42" s="563">
        <v>2622286.5099999998</v>
      </c>
      <c r="I42" s="120">
        <v>9.5978133972836055E-3</v>
      </c>
      <c r="J42" s="563">
        <v>0</v>
      </c>
      <c r="K42" s="120">
        <v>0</v>
      </c>
      <c r="L42" s="563">
        <v>1524823.85</v>
      </c>
      <c r="M42" s="120">
        <v>1.0566521023302741E-2</v>
      </c>
      <c r="N42" s="563">
        <v>7825703.5899999999</v>
      </c>
      <c r="O42" s="120">
        <v>1.0595491867490819E-2</v>
      </c>
      <c r="P42" s="124">
        <v>12858137.449999999</v>
      </c>
      <c r="Q42" s="124"/>
      <c r="R42" s="563"/>
      <c r="S42" s="120"/>
      <c r="T42" s="373"/>
      <c r="U42" s="541">
        <v>45</v>
      </c>
      <c r="V42" s="540" t="s">
        <v>33</v>
      </c>
      <c r="W42" s="442" t="s">
        <v>34</v>
      </c>
      <c r="X42" s="552" t="s">
        <v>32</v>
      </c>
      <c r="Y42" s="563">
        <v>0</v>
      </c>
      <c r="Z42" s="563">
        <v>7607635.3000000007</v>
      </c>
      <c r="AA42" s="563">
        <v>2537614.9900000002</v>
      </c>
      <c r="AB42" s="563"/>
      <c r="AC42" s="563"/>
      <c r="AD42" s="563">
        <v>10145250.290000001</v>
      </c>
      <c r="AE42" s="124"/>
      <c r="AF42" s="541">
        <v>45</v>
      </c>
      <c r="AG42" s="540" t="s">
        <v>33</v>
      </c>
      <c r="AH42" s="442" t="s">
        <v>34</v>
      </c>
      <c r="AI42" s="552" t="s">
        <v>32</v>
      </c>
      <c r="AJ42" s="563">
        <v>0</v>
      </c>
      <c r="AK42" s="563">
        <v>7825703.5899999999</v>
      </c>
      <c r="AL42" s="563">
        <v>2622286.5099999998</v>
      </c>
      <c r="AM42" s="563"/>
      <c r="AN42" s="563"/>
      <c r="AO42" s="563">
        <v>10447990.1</v>
      </c>
      <c r="AR42" s="124">
        <f>+L42</f>
        <v>1524823.85</v>
      </c>
      <c r="AS42" s="124">
        <f>+F42</f>
        <v>885323.5</v>
      </c>
      <c r="AV42" s="372">
        <f t="shared" si="4"/>
        <v>2410147.35</v>
      </c>
      <c r="AW42" s="124">
        <f>+AV42+AO42-P42</f>
        <v>0</v>
      </c>
      <c r="AZ42" s="563">
        <v>0</v>
      </c>
      <c r="BA42" s="563">
        <v>194184.18</v>
      </c>
      <c r="BB42" s="563">
        <v>67583.05</v>
      </c>
      <c r="BC42" s="563"/>
      <c r="BD42" s="563"/>
      <c r="BE42" s="563">
        <v>261767.22999999998</v>
      </c>
      <c r="BF42" s="372"/>
      <c r="BO42" s="563">
        <v>0</v>
      </c>
      <c r="BP42" s="563">
        <v>17152346.920000002</v>
      </c>
      <c r="BQ42" s="563">
        <v>6112808.0499999998</v>
      </c>
      <c r="BR42" s="563"/>
      <c r="BS42" s="563"/>
      <c r="BT42" s="563">
        <v>23265154.970000003</v>
      </c>
      <c r="BW42" s="126">
        <v>812</v>
      </c>
      <c r="BX42" s="125">
        <v>6122</v>
      </c>
      <c r="BY42" s="19" t="s">
        <v>34</v>
      </c>
      <c r="BZ42" t="s">
        <v>941</v>
      </c>
    </row>
    <row r="43" spans="1:78" x14ac:dyDescent="0.3">
      <c r="A43" s="436">
        <v>6122</v>
      </c>
      <c r="B43" s="19" t="s">
        <v>34</v>
      </c>
      <c r="C43" t="s">
        <v>456</v>
      </c>
      <c r="D43" s="563"/>
      <c r="E43" s="120"/>
      <c r="F43" s="563">
        <v>203078</v>
      </c>
      <c r="G43" s="120">
        <v>3.683048235355913E-4</v>
      </c>
      <c r="H43" s="563">
        <v>592110.11</v>
      </c>
      <c r="I43" s="120">
        <v>2.1671782716165024E-3</v>
      </c>
      <c r="J43" s="563">
        <v>0</v>
      </c>
      <c r="K43" s="120">
        <v>0</v>
      </c>
      <c r="L43" s="563">
        <v>446850.93</v>
      </c>
      <c r="M43" s="120">
        <v>3.0965279996947718E-3</v>
      </c>
      <c r="N43" s="563">
        <v>2317657.29</v>
      </c>
      <c r="O43" s="120">
        <v>3.1379566942971592E-3</v>
      </c>
      <c r="P43" s="124">
        <v>3559696.33</v>
      </c>
      <c r="Q43" s="124"/>
      <c r="R43" s="563"/>
      <c r="S43" s="120"/>
      <c r="T43" s="373"/>
      <c r="U43" s="541">
        <v>812</v>
      </c>
      <c r="V43" s="540" t="s">
        <v>457</v>
      </c>
      <c r="W43" s="442" t="s">
        <v>34</v>
      </c>
      <c r="X43" s="552" t="s">
        <v>456</v>
      </c>
      <c r="Y43" s="563">
        <v>0</v>
      </c>
      <c r="Z43" s="563">
        <v>2223424.81</v>
      </c>
      <c r="AA43" s="563">
        <v>587718.69999999995</v>
      </c>
      <c r="AB43" s="563"/>
      <c r="AC43" s="563"/>
      <c r="AD43" s="563">
        <v>2811143.51</v>
      </c>
      <c r="AE43" s="124"/>
      <c r="AF43" s="541">
        <v>812</v>
      </c>
      <c r="AG43" s="540" t="s">
        <v>457</v>
      </c>
      <c r="AH43" s="442" t="s">
        <v>34</v>
      </c>
      <c r="AI43" s="552" t="s">
        <v>456</v>
      </c>
      <c r="AJ43" s="563">
        <v>0</v>
      </c>
      <c r="AK43" s="563">
        <v>2317657.29</v>
      </c>
      <c r="AL43" s="563">
        <v>592110.11</v>
      </c>
      <c r="AM43" s="563"/>
      <c r="AN43" s="563"/>
      <c r="AO43" s="563">
        <v>2909767.4</v>
      </c>
      <c r="AR43" s="124">
        <f>+L43</f>
        <v>446850.93</v>
      </c>
      <c r="AS43" s="124">
        <f>+F43</f>
        <v>203078</v>
      </c>
      <c r="AV43" s="372">
        <f t="shared" si="4"/>
        <v>649928.92999999993</v>
      </c>
      <c r="AW43" s="124">
        <f>+AV43+AO43-P43</f>
        <v>0</v>
      </c>
      <c r="AZ43" s="563">
        <v>0</v>
      </c>
      <c r="BA43" s="563">
        <v>57510.130000000005</v>
      </c>
      <c r="BB43" s="563">
        <v>15254.66</v>
      </c>
      <c r="BC43" s="563"/>
      <c r="BD43" s="563"/>
      <c r="BE43" s="563">
        <v>72764.790000000008</v>
      </c>
      <c r="BF43" s="372"/>
      <c r="BO43" s="563">
        <v>0</v>
      </c>
      <c r="BP43" s="563">
        <v>5045443.16</v>
      </c>
      <c r="BQ43" s="563">
        <v>1398161.47</v>
      </c>
      <c r="BR43" s="563"/>
      <c r="BS43" s="563"/>
      <c r="BT43" s="563">
        <v>6443604.6299999999</v>
      </c>
      <c r="BW43" s="126">
        <v>261</v>
      </c>
      <c r="BX43" s="125">
        <v>6801</v>
      </c>
      <c r="BY43" s="19" t="s">
        <v>34</v>
      </c>
      <c r="BZ43" t="s">
        <v>798</v>
      </c>
    </row>
    <row r="44" spans="1:78" x14ac:dyDescent="0.3">
      <c r="A44" s="436">
        <v>6801</v>
      </c>
      <c r="B44" s="19" t="s">
        <v>34</v>
      </c>
      <c r="C44" t="s">
        <v>154</v>
      </c>
      <c r="D44" s="563"/>
      <c r="E44" s="120"/>
      <c r="F44" s="563">
        <v>991272.49</v>
      </c>
      <c r="G44" s="120">
        <v>1.7977842971918978E-3</v>
      </c>
      <c r="H44" s="563">
        <v>2947965.23</v>
      </c>
      <c r="I44" s="120">
        <v>1.0789827912137735E-2</v>
      </c>
      <c r="J44" s="563"/>
      <c r="K44" s="120"/>
      <c r="L44" s="563">
        <v>212513.03</v>
      </c>
      <c r="M44" s="120">
        <v>1.472644462651057E-3</v>
      </c>
      <c r="N44" s="563">
        <v>1091061.1800000002</v>
      </c>
      <c r="O44" s="120">
        <v>1.4772256228049825E-3</v>
      </c>
      <c r="P44" s="124">
        <v>5242811.93</v>
      </c>
      <c r="Q44" s="124"/>
      <c r="R44" s="563"/>
      <c r="S44" s="120"/>
      <c r="T44" s="373"/>
      <c r="U44" s="541">
        <v>261</v>
      </c>
      <c r="V44" s="540" t="s">
        <v>155</v>
      </c>
      <c r="W44" s="442" t="s">
        <v>34</v>
      </c>
      <c r="X44" s="552" t="s">
        <v>154</v>
      </c>
      <c r="Y44" s="563"/>
      <c r="Z44" s="563">
        <v>1049115.1200000001</v>
      </c>
      <c r="AA44" s="563">
        <v>2841279.77</v>
      </c>
      <c r="AB44" s="563"/>
      <c r="AC44" s="563"/>
      <c r="AD44" s="563">
        <v>3890394.89</v>
      </c>
      <c r="AE44" s="124"/>
      <c r="AF44" s="541">
        <v>261</v>
      </c>
      <c r="AG44" s="540" t="s">
        <v>155</v>
      </c>
      <c r="AH44" s="442" t="s">
        <v>34</v>
      </c>
      <c r="AI44" s="552" t="s">
        <v>154</v>
      </c>
      <c r="AJ44" s="563"/>
      <c r="AK44" s="563">
        <v>1091061.1800000002</v>
      </c>
      <c r="AL44" s="563">
        <v>2947965.23</v>
      </c>
      <c r="AM44" s="563"/>
      <c r="AN44" s="563"/>
      <c r="AO44" s="563">
        <v>4039026.41</v>
      </c>
      <c r="AR44" s="124">
        <f>+L44</f>
        <v>212513.03</v>
      </c>
      <c r="AS44" s="124">
        <f>+F44</f>
        <v>991272.49</v>
      </c>
      <c r="AV44" s="372">
        <f t="shared" si="4"/>
        <v>1203785.52</v>
      </c>
      <c r="AW44" s="124">
        <f>+AV44+AO44-P44</f>
        <v>0</v>
      </c>
      <c r="AZ44" s="563"/>
      <c r="BA44" s="563">
        <v>27072.66</v>
      </c>
      <c r="BB44" s="563">
        <v>75975.59</v>
      </c>
      <c r="BC44" s="563"/>
      <c r="BD44" s="563"/>
      <c r="BE44" s="563">
        <v>103048.25</v>
      </c>
      <c r="BF44" s="372"/>
      <c r="BO44" s="563"/>
      <c r="BP44" s="563">
        <v>2379761.9900000002</v>
      </c>
      <c r="BQ44" s="563">
        <v>6856493.0800000001</v>
      </c>
      <c r="BR44" s="563"/>
      <c r="BS44" s="563"/>
      <c r="BT44" s="563">
        <v>9236255.0700000003</v>
      </c>
      <c r="BW44" s="126">
        <v>225</v>
      </c>
      <c r="BX44" s="125">
        <v>7002</v>
      </c>
      <c r="BY44" s="19" t="s">
        <v>26</v>
      </c>
      <c r="BZ44" t="s">
        <v>787</v>
      </c>
    </row>
    <row r="45" spans="1:78" x14ac:dyDescent="0.3">
      <c r="A45" s="533">
        <v>6901</v>
      </c>
      <c r="B45" s="19" t="s">
        <v>1039</v>
      </c>
      <c r="C45" s="268" t="s">
        <v>1205</v>
      </c>
      <c r="D45" s="563"/>
      <c r="E45" s="120"/>
      <c r="F45" s="563">
        <v>7606.83</v>
      </c>
      <c r="G45" s="120">
        <v>1.3795842882120378E-5</v>
      </c>
      <c r="H45" s="563">
        <v>22506.87</v>
      </c>
      <c r="I45" s="120">
        <v>8.2377245046697995E-5</v>
      </c>
      <c r="J45" s="563"/>
      <c r="K45" s="120"/>
      <c r="L45" s="563">
        <v>9319.77</v>
      </c>
      <c r="M45" s="120">
        <v>6.4582899616467948E-5</v>
      </c>
      <c r="N45" s="563">
        <v>48060.570000000007</v>
      </c>
      <c r="O45" s="120">
        <v>6.5070874807050203E-5</v>
      </c>
      <c r="P45" s="124">
        <v>87494.040000000008</v>
      </c>
      <c r="Q45" s="124"/>
      <c r="R45" s="563"/>
      <c r="S45" s="120"/>
      <c r="T45" s="373"/>
      <c r="U45" s="547">
        <v>4309</v>
      </c>
      <c r="V45" s="546">
        <v>6901</v>
      </c>
      <c r="W45" s="543" t="s">
        <v>1039</v>
      </c>
      <c r="X45" s="550" t="s">
        <v>1204</v>
      </c>
      <c r="Y45" s="563"/>
      <c r="Z45" s="563">
        <v>54684.67</v>
      </c>
      <c r="AA45" s="563">
        <v>22331.99</v>
      </c>
      <c r="AB45" s="563"/>
      <c r="AC45" s="563"/>
      <c r="AD45" s="563">
        <v>77016.66</v>
      </c>
      <c r="AE45" s="124"/>
      <c r="AF45" s="547">
        <v>4309</v>
      </c>
      <c r="AG45" s="546">
        <v>6901</v>
      </c>
      <c r="AH45" s="543" t="s">
        <v>1039</v>
      </c>
      <c r="AI45" s="550" t="s">
        <v>1204</v>
      </c>
      <c r="AJ45" s="563"/>
      <c r="AK45" s="563">
        <v>48060.570000000007</v>
      </c>
      <c r="AL45" s="563">
        <v>22506.87</v>
      </c>
      <c r="AM45" s="563"/>
      <c r="AN45" s="563"/>
      <c r="AO45" s="563">
        <v>70567.44</v>
      </c>
      <c r="AR45" s="124">
        <f>+L45</f>
        <v>9319.77</v>
      </c>
      <c r="AS45" s="124">
        <f>+F45</f>
        <v>7606.83</v>
      </c>
      <c r="AV45" s="372">
        <f t="shared" ref="AV45" si="5">SUM(AQ45:AU45)</f>
        <v>16926.599999999999</v>
      </c>
      <c r="AW45" s="124">
        <f>+AV45+AO45-P45</f>
        <v>0</v>
      </c>
      <c r="AZ45" s="563"/>
      <c r="BA45" s="563">
        <v>1192.4099999999999</v>
      </c>
      <c r="BB45" s="563">
        <v>579.94000000000005</v>
      </c>
      <c r="BC45" s="563"/>
      <c r="BD45" s="563"/>
      <c r="BE45" s="563">
        <v>1772.35</v>
      </c>
      <c r="BF45" s="372"/>
      <c r="BO45" s="563"/>
      <c r="BP45" s="563">
        <v>113257.42000000001</v>
      </c>
      <c r="BQ45" s="563">
        <v>53025.63</v>
      </c>
      <c r="BR45" s="563"/>
      <c r="BS45" s="563"/>
      <c r="BT45" s="563">
        <v>166283.05000000002</v>
      </c>
      <c r="BW45" s="422">
        <v>4309</v>
      </c>
      <c r="BX45" s="436">
        <v>6901</v>
      </c>
      <c r="BY45" s="425" t="s">
        <v>1039</v>
      </c>
      <c r="BZ45" s="520" t="s">
        <v>1204</v>
      </c>
    </row>
    <row r="46" spans="1:78" x14ac:dyDescent="0.3">
      <c r="A46" s="436">
        <v>7002</v>
      </c>
      <c r="B46" s="19" t="s">
        <v>26</v>
      </c>
      <c r="C46" t="s">
        <v>132</v>
      </c>
      <c r="D46" s="563"/>
      <c r="E46" s="120"/>
      <c r="F46" s="563">
        <v>32648.46</v>
      </c>
      <c r="G46" s="120">
        <v>5.9211659062078667E-5</v>
      </c>
      <c r="H46" s="563">
        <v>96425.98000000001</v>
      </c>
      <c r="I46" s="120">
        <v>3.529280874385466E-4</v>
      </c>
      <c r="J46" s="563">
        <v>0</v>
      </c>
      <c r="K46" s="120">
        <v>0</v>
      </c>
      <c r="L46" s="563">
        <v>41575.26</v>
      </c>
      <c r="M46" s="120">
        <v>2.8810269385495086E-4</v>
      </c>
      <c r="N46" s="563">
        <v>212246.40000000002</v>
      </c>
      <c r="O46" s="120">
        <v>2.8736777201450377E-4</v>
      </c>
      <c r="P46" s="124">
        <v>382896.10000000003</v>
      </c>
      <c r="Q46" s="124"/>
      <c r="R46" s="563"/>
      <c r="S46" s="120"/>
      <c r="T46" s="373"/>
      <c r="U46" s="541">
        <v>225</v>
      </c>
      <c r="V46" s="540" t="s">
        <v>133</v>
      </c>
      <c r="W46" s="442" t="s">
        <v>26</v>
      </c>
      <c r="X46" s="552" t="s">
        <v>132</v>
      </c>
      <c r="Y46" s="563">
        <v>0</v>
      </c>
      <c r="Z46" s="563">
        <v>201156.84</v>
      </c>
      <c r="AA46" s="563">
        <v>88143.84</v>
      </c>
      <c r="AB46" s="563"/>
      <c r="AC46" s="563"/>
      <c r="AD46" s="563">
        <v>289300.68</v>
      </c>
      <c r="AE46" s="124"/>
      <c r="AF46" s="541">
        <v>225</v>
      </c>
      <c r="AG46" s="540" t="s">
        <v>133</v>
      </c>
      <c r="AH46" s="442" t="s">
        <v>26</v>
      </c>
      <c r="AI46" s="552" t="s">
        <v>132</v>
      </c>
      <c r="AJ46" s="563">
        <v>0</v>
      </c>
      <c r="AK46" s="563">
        <v>212246.40000000002</v>
      </c>
      <c r="AL46" s="563">
        <v>96425.98000000001</v>
      </c>
      <c r="AM46" s="563"/>
      <c r="AN46" s="563"/>
      <c r="AO46" s="563">
        <v>308672.38</v>
      </c>
      <c r="AR46" s="124">
        <f>+L46</f>
        <v>41575.26</v>
      </c>
      <c r="AS46" s="124">
        <f>+F46</f>
        <v>32648.46</v>
      </c>
      <c r="AV46" s="372">
        <f t="shared" si="4"/>
        <v>74223.72</v>
      </c>
      <c r="AW46" s="124">
        <f>+AV46+AO46-P46</f>
        <v>0</v>
      </c>
      <c r="AZ46" s="563">
        <v>0</v>
      </c>
      <c r="BA46" s="563">
        <v>5265.32</v>
      </c>
      <c r="BB46" s="563">
        <v>2485.0500000000002</v>
      </c>
      <c r="BC46" s="563"/>
      <c r="BD46" s="563"/>
      <c r="BE46" s="563">
        <v>7750.37</v>
      </c>
      <c r="BF46" s="372"/>
      <c r="BO46" s="563">
        <v>0</v>
      </c>
      <c r="BP46" s="563">
        <v>460243.82</v>
      </c>
      <c r="BQ46" s="563">
        <v>219703.33000000002</v>
      </c>
      <c r="BR46" s="563"/>
      <c r="BS46" s="563"/>
      <c r="BT46" s="563">
        <v>679947.15</v>
      </c>
      <c r="BW46" s="126">
        <v>933</v>
      </c>
      <c r="BX46" s="125">
        <v>7035</v>
      </c>
      <c r="BY46" s="19" t="s">
        <v>26</v>
      </c>
      <c r="BZ46" t="s">
        <v>972</v>
      </c>
    </row>
    <row r="47" spans="1:78" x14ac:dyDescent="0.3">
      <c r="A47" s="436">
        <v>7035</v>
      </c>
      <c r="B47" s="19" t="s">
        <v>26</v>
      </c>
      <c r="C47" t="s">
        <v>520</v>
      </c>
      <c r="D47" s="563"/>
      <c r="E47" s="120"/>
      <c r="F47" s="563">
        <v>3613.6</v>
      </c>
      <c r="G47" s="120">
        <v>6.553670561696554E-6</v>
      </c>
      <c r="H47" s="563">
        <v>10765.65</v>
      </c>
      <c r="I47" s="120">
        <v>3.9403283892295301E-5</v>
      </c>
      <c r="J47" s="563"/>
      <c r="K47" s="120"/>
      <c r="L47" s="563">
        <v>6214.93</v>
      </c>
      <c r="M47" s="120">
        <v>4.3067393327665291E-5</v>
      </c>
      <c r="N47" s="563">
        <v>31820.55</v>
      </c>
      <c r="O47" s="120">
        <v>4.3082947733276587E-5</v>
      </c>
      <c r="P47" s="124">
        <v>52414.729999999996</v>
      </c>
      <c r="Q47" s="124"/>
      <c r="R47" s="563"/>
      <c r="S47" s="120"/>
      <c r="T47" s="373"/>
      <c r="U47" s="541">
        <v>933</v>
      </c>
      <c r="V47" s="540" t="s">
        <v>521</v>
      </c>
      <c r="W47" s="442" t="s">
        <v>26</v>
      </c>
      <c r="X47" s="552" t="s">
        <v>520</v>
      </c>
      <c r="Y47" s="563"/>
      <c r="Z47" s="563">
        <v>27284.239999999998</v>
      </c>
      <c r="AA47" s="563">
        <v>10607.11</v>
      </c>
      <c r="AB47" s="563"/>
      <c r="AC47" s="563"/>
      <c r="AD47" s="563">
        <v>37891.35</v>
      </c>
      <c r="AE47" s="124"/>
      <c r="AF47" s="541">
        <v>933</v>
      </c>
      <c r="AG47" s="540" t="s">
        <v>521</v>
      </c>
      <c r="AH47" s="442" t="s">
        <v>26</v>
      </c>
      <c r="AI47" s="552" t="s">
        <v>520</v>
      </c>
      <c r="AJ47" s="563"/>
      <c r="AK47" s="563">
        <v>31820.55</v>
      </c>
      <c r="AL47" s="563">
        <v>10765.65</v>
      </c>
      <c r="AM47" s="563"/>
      <c r="AN47" s="563"/>
      <c r="AO47" s="563">
        <v>42586.2</v>
      </c>
      <c r="AR47" s="124">
        <f>+L47</f>
        <v>6214.93</v>
      </c>
      <c r="AS47" s="124">
        <f>+F47</f>
        <v>3613.6</v>
      </c>
      <c r="AV47" s="372">
        <f t="shared" si="4"/>
        <v>9828.5300000000007</v>
      </c>
      <c r="AW47" s="124">
        <f>+AV47+AO47-P47</f>
        <v>0</v>
      </c>
      <c r="AZ47" s="563"/>
      <c r="BA47" s="563">
        <v>789.49</v>
      </c>
      <c r="BB47" s="563">
        <v>277.39</v>
      </c>
      <c r="BC47" s="563"/>
      <c r="BD47" s="563"/>
      <c r="BE47" s="563">
        <v>1066.8800000000001</v>
      </c>
      <c r="BF47" s="372"/>
      <c r="BO47" s="563"/>
      <c r="BP47" s="563">
        <v>66109.210000000006</v>
      </c>
      <c r="BQ47" s="563">
        <v>25263.75</v>
      </c>
      <c r="BR47" s="563"/>
      <c r="BS47" s="563"/>
      <c r="BT47" s="563">
        <v>91372.96</v>
      </c>
      <c r="BW47" s="126">
        <v>550</v>
      </c>
      <c r="BX47" s="125">
        <v>8122</v>
      </c>
      <c r="BY47" s="19" t="s">
        <v>34</v>
      </c>
      <c r="BZ47" t="s">
        <v>855</v>
      </c>
    </row>
    <row r="48" spans="1:78" x14ac:dyDescent="0.3">
      <c r="A48" s="436">
        <v>8122</v>
      </c>
      <c r="B48" s="19" t="s">
        <v>34</v>
      </c>
      <c r="C48" t="s">
        <v>272</v>
      </c>
      <c r="D48" s="563">
        <v>6305.98</v>
      </c>
      <c r="E48" s="120">
        <v>1.1436604906090113E-5</v>
      </c>
      <c r="F48" s="563">
        <v>514897.96</v>
      </c>
      <c r="G48" s="120">
        <v>9.3382543799247562E-4</v>
      </c>
      <c r="H48" s="563">
        <v>1523635.4300000002</v>
      </c>
      <c r="I48" s="120">
        <v>5.5766478936849547E-3</v>
      </c>
      <c r="J48" s="563">
        <v>0</v>
      </c>
      <c r="K48" s="120">
        <v>0</v>
      </c>
      <c r="L48" s="563">
        <v>735883.42999999993</v>
      </c>
      <c r="M48" s="120">
        <v>5.0994268838299777E-3</v>
      </c>
      <c r="N48" s="563">
        <v>3750429.72</v>
      </c>
      <c r="O48" s="120">
        <v>5.0778370456854823E-3</v>
      </c>
      <c r="P48" s="124">
        <v>6531152.5199999996</v>
      </c>
      <c r="Q48" s="124"/>
      <c r="R48" s="563"/>
      <c r="S48" s="120"/>
      <c r="T48" s="373"/>
      <c r="U48" s="541">
        <v>550</v>
      </c>
      <c r="V48" s="540" t="s">
        <v>273</v>
      </c>
      <c r="W48" s="442" t="s">
        <v>34</v>
      </c>
      <c r="X48" s="552" t="s">
        <v>272</v>
      </c>
      <c r="Y48" s="563">
        <v>0</v>
      </c>
      <c r="Z48" s="563">
        <v>3694651.22</v>
      </c>
      <c r="AA48" s="563">
        <v>1447848.27</v>
      </c>
      <c r="AB48" s="563">
        <v>4252.99</v>
      </c>
      <c r="AC48" s="563"/>
      <c r="AD48" s="563">
        <v>5146752.4800000004</v>
      </c>
      <c r="AE48" s="124"/>
      <c r="AF48" s="541">
        <v>550</v>
      </c>
      <c r="AG48" s="540" t="s">
        <v>273</v>
      </c>
      <c r="AH48" s="442" t="s">
        <v>34</v>
      </c>
      <c r="AI48" s="552" t="s">
        <v>272</v>
      </c>
      <c r="AJ48" s="563">
        <v>0</v>
      </c>
      <c r="AK48" s="563">
        <v>3750429.72</v>
      </c>
      <c r="AL48" s="563">
        <v>1523635.4300000002</v>
      </c>
      <c r="AM48" s="563">
        <v>6305.98</v>
      </c>
      <c r="AN48" s="563"/>
      <c r="AO48" s="563">
        <v>5280371.1300000008</v>
      </c>
      <c r="AR48" s="124">
        <f>+L48</f>
        <v>735883.42999999993</v>
      </c>
      <c r="AS48" s="124">
        <f>+F48</f>
        <v>514897.96</v>
      </c>
      <c r="AV48" s="372">
        <f t="shared" si="4"/>
        <v>1250781.3899999999</v>
      </c>
      <c r="AW48" s="124">
        <f>+AV48+AO48-P48</f>
        <v>0</v>
      </c>
      <c r="AZ48" s="563">
        <v>0</v>
      </c>
      <c r="BA48" s="563">
        <v>93038.97</v>
      </c>
      <c r="BB48" s="563">
        <v>39267.899999999994</v>
      </c>
      <c r="BC48" s="563">
        <v>141.66</v>
      </c>
      <c r="BD48" s="563"/>
      <c r="BE48" s="563">
        <v>132448.53</v>
      </c>
      <c r="BF48" s="372"/>
      <c r="BO48" s="563">
        <v>0</v>
      </c>
      <c r="BP48" s="563">
        <v>8274003.3399999999</v>
      </c>
      <c r="BQ48" s="563">
        <v>3525649.56</v>
      </c>
      <c r="BR48" s="563">
        <v>10700.63</v>
      </c>
      <c r="BS48" s="563"/>
      <c r="BT48" s="563">
        <v>11810353.529999999</v>
      </c>
      <c r="BW48" s="126">
        <v>994</v>
      </c>
      <c r="BX48" s="125">
        <v>8130</v>
      </c>
      <c r="BY48" s="19" t="s">
        <v>34</v>
      </c>
      <c r="BZ48" t="s">
        <v>989</v>
      </c>
    </row>
    <row r="49" spans="1:78" x14ac:dyDescent="0.3">
      <c r="A49" s="436">
        <v>8130</v>
      </c>
      <c r="B49" s="19" t="s">
        <v>34</v>
      </c>
      <c r="C49" t="s">
        <v>558</v>
      </c>
      <c r="D49" s="563"/>
      <c r="E49" s="120"/>
      <c r="F49" s="563">
        <v>47302.770000000004</v>
      </c>
      <c r="G49" s="120">
        <v>8.578890060762202E-5</v>
      </c>
      <c r="H49" s="563">
        <v>139861.26999999999</v>
      </c>
      <c r="I49" s="120">
        <v>5.1190530319553053E-4</v>
      </c>
      <c r="J49" s="563"/>
      <c r="K49" s="120"/>
      <c r="L49" s="563">
        <v>63391.68</v>
      </c>
      <c r="M49" s="120">
        <v>4.3928321256417904E-4</v>
      </c>
      <c r="N49" s="563">
        <v>325535.75</v>
      </c>
      <c r="O49" s="120">
        <v>4.4075415737826636E-4</v>
      </c>
      <c r="P49" s="124">
        <v>576091.47</v>
      </c>
      <c r="Q49" s="124"/>
      <c r="R49" s="563"/>
      <c r="S49" s="120"/>
      <c r="T49" s="373"/>
      <c r="U49" s="541">
        <v>994</v>
      </c>
      <c r="V49" s="540" t="s">
        <v>559</v>
      </c>
      <c r="W49" s="442" t="s">
        <v>34</v>
      </c>
      <c r="X49" s="552" t="s">
        <v>558</v>
      </c>
      <c r="Y49" s="563"/>
      <c r="Z49" s="563">
        <v>306497.18</v>
      </c>
      <c r="AA49" s="563">
        <v>133406.66</v>
      </c>
      <c r="AB49" s="563"/>
      <c r="AC49" s="563"/>
      <c r="AD49" s="563">
        <v>439903.83999999997</v>
      </c>
      <c r="AE49" s="124"/>
      <c r="AF49" s="541">
        <v>994</v>
      </c>
      <c r="AG49" s="540" t="s">
        <v>559</v>
      </c>
      <c r="AH49" s="442" t="s">
        <v>34</v>
      </c>
      <c r="AI49" s="552" t="s">
        <v>558</v>
      </c>
      <c r="AJ49" s="563"/>
      <c r="AK49" s="563">
        <v>325535.75</v>
      </c>
      <c r="AL49" s="563">
        <v>139861.26999999999</v>
      </c>
      <c r="AM49" s="563"/>
      <c r="AN49" s="563"/>
      <c r="AO49" s="563">
        <v>465397.02</v>
      </c>
      <c r="AR49" s="124">
        <f>+L49</f>
        <v>63391.68</v>
      </c>
      <c r="AS49" s="124">
        <f>+F49</f>
        <v>47302.770000000004</v>
      </c>
      <c r="AV49" s="372">
        <f t="shared" si="4"/>
        <v>110694.45000000001</v>
      </c>
      <c r="AW49" s="124">
        <f>+AV49+AO49-P49</f>
        <v>0</v>
      </c>
      <c r="AZ49" s="563"/>
      <c r="BA49" s="563">
        <v>8077.67</v>
      </c>
      <c r="BB49" s="563">
        <v>3604.54</v>
      </c>
      <c r="BC49" s="563"/>
      <c r="BD49" s="563"/>
      <c r="BE49" s="563">
        <v>11682.21</v>
      </c>
      <c r="BF49" s="372"/>
      <c r="BO49" s="563"/>
      <c r="BP49" s="563">
        <v>703502.28</v>
      </c>
      <c r="BQ49" s="563">
        <v>324175.24</v>
      </c>
      <c r="BR49" s="563"/>
      <c r="BS49" s="563"/>
      <c r="BT49" s="563">
        <v>1027677.52</v>
      </c>
      <c r="BW49" s="126">
        <v>108</v>
      </c>
      <c r="BX49" s="125">
        <v>8401</v>
      </c>
      <c r="BY49" s="19" t="s">
        <v>34</v>
      </c>
      <c r="BZ49" t="s">
        <v>757</v>
      </c>
    </row>
    <row r="50" spans="1:78" x14ac:dyDescent="0.3">
      <c r="A50" s="436">
        <v>8401</v>
      </c>
      <c r="B50" s="19" t="s">
        <v>34</v>
      </c>
      <c r="C50" t="s">
        <v>72</v>
      </c>
      <c r="D50" s="563"/>
      <c r="E50" s="120"/>
      <c r="F50" s="563">
        <v>94790.83</v>
      </c>
      <c r="G50" s="120">
        <v>1.7191384549750457E-4</v>
      </c>
      <c r="H50" s="563">
        <v>281049.69999999995</v>
      </c>
      <c r="I50" s="120">
        <v>1.0286681358714453E-3</v>
      </c>
      <c r="J50" s="563"/>
      <c r="K50" s="120"/>
      <c r="L50" s="563">
        <v>149106.53</v>
      </c>
      <c r="M50" s="120">
        <v>1.0332585524267086E-3</v>
      </c>
      <c r="N50" s="563">
        <v>765281.3</v>
      </c>
      <c r="O50" s="120">
        <v>1.0361409293413836E-3</v>
      </c>
      <c r="P50" s="124">
        <v>1290228.3599999999</v>
      </c>
      <c r="Q50" s="124"/>
      <c r="R50" s="563"/>
      <c r="S50" s="120"/>
      <c r="T50" s="373"/>
      <c r="U50" s="541">
        <v>108</v>
      </c>
      <c r="V50" s="540" t="s">
        <v>73</v>
      </c>
      <c r="W50" s="442" t="s">
        <v>34</v>
      </c>
      <c r="X50" s="552" t="s">
        <v>72</v>
      </c>
      <c r="Y50" s="563"/>
      <c r="Z50" s="563">
        <v>717255.31</v>
      </c>
      <c r="AA50" s="563">
        <v>263174.02</v>
      </c>
      <c r="AB50" s="563"/>
      <c r="AC50" s="563"/>
      <c r="AD50" s="563">
        <v>980429.33000000007</v>
      </c>
      <c r="AE50" s="124"/>
      <c r="AF50" s="541">
        <v>108</v>
      </c>
      <c r="AG50" s="540" t="s">
        <v>73</v>
      </c>
      <c r="AH50" s="442" t="s">
        <v>34</v>
      </c>
      <c r="AI50" s="552" t="s">
        <v>72</v>
      </c>
      <c r="AJ50" s="563"/>
      <c r="AK50" s="563">
        <v>765281.3</v>
      </c>
      <c r="AL50" s="563">
        <v>281049.69999999995</v>
      </c>
      <c r="AM50" s="563"/>
      <c r="AN50" s="563"/>
      <c r="AO50" s="563">
        <v>1046331</v>
      </c>
      <c r="AR50" s="124">
        <f>+L50</f>
        <v>149106.53</v>
      </c>
      <c r="AS50" s="124">
        <f>+F50</f>
        <v>94790.83</v>
      </c>
      <c r="AV50" s="372">
        <f t="shared" si="4"/>
        <v>243897.36</v>
      </c>
      <c r="AW50" s="124">
        <f>+AV50+AO50-P50</f>
        <v>0</v>
      </c>
      <c r="AZ50" s="563"/>
      <c r="BA50" s="563">
        <v>18989.420000000002</v>
      </c>
      <c r="BB50" s="563">
        <v>7243.4500000000007</v>
      </c>
      <c r="BC50" s="563"/>
      <c r="BD50" s="563"/>
      <c r="BE50" s="563">
        <v>26232.870000000003</v>
      </c>
      <c r="BF50" s="372"/>
      <c r="BO50" s="563"/>
      <c r="BP50" s="563">
        <v>1650632.56</v>
      </c>
      <c r="BQ50" s="563">
        <v>646258</v>
      </c>
      <c r="BR50" s="563"/>
      <c r="BS50" s="563"/>
      <c r="BT50" s="563">
        <v>2296890.56</v>
      </c>
      <c r="BW50" s="126">
        <v>424</v>
      </c>
      <c r="BX50" s="125">
        <v>8402</v>
      </c>
      <c r="BY50" s="19" t="s">
        <v>34</v>
      </c>
      <c r="BZ50" t="s">
        <v>837</v>
      </c>
    </row>
    <row r="51" spans="1:78" x14ac:dyDescent="0.3">
      <c r="A51" s="436">
        <v>8402</v>
      </c>
      <c r="B51" s="19" t="s">
        <v>34</v>
      </c>
      <c r="C51" t="s">
        <v>234</v>
      </c>
      <c r="D51" s="563"/>
      <c r="E51" s="120"/>
      <c r="F51" s="563">
        <v>59820.67</v>
      </c>
      <c r="G51" s="120">
        <v>1.0849152201681541E-4</v>
      </c>
      <c r="H51" s="563">
        <v>176508.14</v>
      </c>
      <c r="I51" s="120">
        <v>6.4603626810466662E-4</v>
      </c>
      <c r="J51" s="563"/>
      <c r="K51" s="120"/>
      <c r="L51" s="563">
        <v>102451.09</v>
      </c>
      <c r="M51" s="120">
        <v>7.0995190450705574E-4</v>
      </c>
      <c r="N51" s="563">
        <v>526144.85000000009</v>
      </c>
      <c r="O51" s="120">
        <v>7.1236578477375961E-4</v>
      </c>
      <c r="P51" s="124">
        <v>864924.75000000012</v>
      </c>
      <c r="Q51" s="124"/>
      <c r="R51" s="563"/>
      <c r="S51" s="120"/>
      <c r="T51" s="373"/>
      <c r="U51" s="541">
        <v>424</v>
      </c>
      <c r="V51" s="540" t="s">
        <v>235</v>
      </c>
      <c r="W51" s="442" t="s">
        <v>34</v>
      </c>
      <c r="X51" s="552" t="s">
        <v>234</v>
      </c>
      <c r="Y51" s="563"/>
      <c r="Z51" s="563">
        <v>514504.33999999997</v>
      </c>
      <c r="AA51" s="563">
        <v>165411.19</v>
      </c>
      <c r="AB51" s="563"/>
      <c r="AC51" s="563"/>
      <c r="AD51" s="563">
        <v>679915.53</v>
      </c>
      <c r="AE51" s="124"/>
      <c r="AF51" s="541">
        <v>424</v>
      </c>
      <c r="AG51" s="540" t="s">
        <v>235</v>
      </c>
      <c r="AH51" s="442" t="s">
        <v>34</v>
      </c>
      <c r="AI51" s="552" t="s">
        <v>234</v>
      </c>
      <c r="AJ51" s="563"/>
      <c r="AK51" s="563">
        <v>526144.85000000009</v>
      </c>
      <c r="AL51" s="563">
        <v>176508.14</v>
      </c>
      <c r="AM51" s="563"/>
      <c r="AN51" s="563"/>
      <c r="AO51" s="563">
        <v>702652.99000000011</v>
      </c>
      <c r="AR51" s="124">
        <f>+L51</f>
        <v>102451.09</v>
      </c>
      <c r="AS51" s="124">
        <f>+F51</f>
        <v>59820.67</v>
      </c>
      <c r="AV51" s="372">
        <f t="shared" si="4"/>
        <v>162271.76</v>
      </c>
      <c r="AW51" s="124">
        <f>+AV51+AO51-P51</f>
        <v>0</v>
      </c>
      <c r="AZ51" s="563"/>
      <c r="BA51" s="563">
        <v>13055.46</v>
      </c>
      <c r="BB51" s="563">
        <v>4549.05</v>
      </c>
      <c r="BC51" s="563"/>
      <c r="BD51" s="563"/>
      <c r="BE51" s="563">
        <v>17604.509999999998</v>
      </c>
      <c r="BF51" s="372"/>
      <c r="BO51" s="563"/>
      <c r="BP51" s="563">
        <v>1156155.74</v>
      </c>
      <c r="BQ51" s="563">
        <v>406289.05</v>
      </c>
      <c r="BR51" s="563"/>
      <c r="BS51" s="563"/>
      <c r="BT51" s="563">
        <v>1562444.79</v>
      </c>
      <c r="BW51" s="126">
        <v>1113</v>
      </c>
      <c r="BX51" s="125">
        <v>8404</v>
      </c>
      <c r="BY51" s="19" t="s">
        <v>34</v>
      </c>
      <c r="BZ51" t="s">
        <v>1019</v>
      </c>
    </row>
    <row r="52" spans="1:78" x14ac:dyDescent="0.3">
      <c r="A52" s="436">
        <v>8404</v>
      </c>
      <c r="B52" s="19" t="s">
        <v>34</v>
      </c>
      <c r="C52" t="s">
        <v>620</v>
      </c>
      <c r="D52" s="563"/>
      <c r="E52" s="120"/>
      <c r="F52" s="563">
        <v>288230.27</v>
      </c>
      <c r="G52" s="120">
        <v>5.2273805498363117E-4</v>
      </c>
      <c r="H52" s="563">
        <v>854176.16999999993</v>
      </c>
      <c r="I52" s="120">
        <v>3.1263645131082182E-3</v>
      </c>
      <c r="J52" s="563">
        <v>0</v>
      </c>
      <c r="K52" s="120">
        <v>0</v>
      </c>
      <c r="L52" s="563">
        <v>250977.91999999998</v>
      </c>
      <c r="M52" s="120">
        <v>1.7391933291604751E-3</v>
      </c>
      <c r="N52" s="563">
        <v>1286162.17</v>
      </c>
      <c r="O52" s="120">
        <v>1.7413796287816393E-3</v>
      </c>
      <c r="P52" s="124">
        <v>2679546.5299999998</v>
      </c>
      <c r="Q52" s="124"/>
      <c r="R52" s="563"/>
      <c r="S52" s="120"/>
      <c r="T52" s="373"/>
      <c r="U52" s="541">
        <v>1113</v>
      </c>
      <c r="V52" s="540" t="s">
        <v>621</v>
      </c>
      <c r="W52" s="442" t="s">
        <v>34</v>
      </c>
      <c r="X52" s="552" t="s">
        <v>620</v>
      </c>
      <c r="Y52" s="563">
        <v>0</v>
      </c>
      <c r="Z52" s="563">
        <v>1180544.92</v>
      </c>
      <c r="AA52" s="563">
        <v>828563.9</v>
      </c>
      <c r="AB52" s="563"/>
      <c r="AC52" s="563"/>
      <c r="AD52" s="563">
        <v>2009108.8199999998</v>
      </c>
      <c r="AE52" s="124"/>
      <c r="AF52" s="541">
        <v>1113</v>
      </c>
      <c r="AG52" s="540" t="s">
        <v>621</v>
      </c>
      <c r="AH52" s="442" t="s">
        <v>34</v>
      </c>
      <c r="AI52" s="552" t="s">
        <v>620</v>
      </c>
      <c r="AJ52" s="563">
        <v>0</v>
      </c>
      <c r="AK52" s="563">
        <v>1286162.17</v>
      </c>
      <c r="AL52" s="563">
        <v>854176.16999999993</v>
      </c>
      <c r="AM52" s="563"/>
      <c r="AN52" s="563"/>
      <c r="AO52" s="563">
        <v>2140338.34</v>
      </c>
      <c r="AR52" s="124">
        <f>+L52</f>
        <v>250977.91999999998</v>
      </c>
      <c r="AS52" s="124">
        <f>+F52</f>
        <v>288230.27</v>
      </c>
      <c r="AV52" s="372">
        <f t="shared" si="4"/>
        <v>539208.18999999994</v>
      </c>
      <c r="AW52" s="124">
        <f>+AV52+AO52-P52</f>
        <v>0</v>
      </c>
      <c r="AZ52" s="563">
        <v>0</v>
      </c>
      <c r="BA52" s="563">
        <v>31914.489999999998</v>
      </c>
      <c r="BB52" s="563">
        <v>22015.260000000002</v>
      </c>
      <c r="BC52" s="563"/>
      <c r="BD52" s="563"/>
      <c r="BE52" s="563">
        <v>53929.75</v>
      </c>
      <c r="BF52" s="372"/>
      <c r="BO52" s="563">
        <v>0</v>
      </c>
      <c r="BP52" s="563">
        <v>2749599.5</v>
      </c>
      <c r="BQ52" s="563">
        <v>1992985.5999999999</v>
      </c>
      <c r="BR52" s="563"/>
      <c r="BS52" s="563"/>
      <c r="BT52" s="563">
        <v>4742585.0999999996</v>
      </c>
      <c r="BW52" s="126">
        <v>428</v>
      </c>
      <c r="BX52" s="125">
        <v>8458</v>
      </c>
      <c r="BY52" s="19" t="s">
        <v>34</v>
      </c>
      <c r="BZ52" t="s">
        <v>839</v>
      </c>
    </row>
    <row r="53" spans="1:78" x14ac:dyDescent="0.3">
      <c r="A53" s="436">
        <v>8458</v>
      </c>
      <c r="B53" s="19" t="s">
        <v>34</v>
      </c>
      <c r="C53" t="s">
        <v>238</v>
      </c>
      <c r="D53" s="563">
        <v>1291.5899999999999</v>
      </c>
      <c r="E53" s="120">
        <v>2.3424439231740238E-6</v>
      </c>
      <c r="F53" s="563">
        <v>379944.01</v>
      </c>
      <c r="G53" s="120">
        <v>6.89071251225908E-4</v>
      </c>
      <c r="H53" s="563">
        <v>1124056.1400000001</v>
      </c>
      <c r="I53" s="120">
        <v>4.1141503945695468E-3</v>
      </c>
      <c r="J53" s="563">
        <v>0</v>
      </c>
      <c r="K53" s="120">
        <v>0</v>
      </c>
      <c r="L53" s="563">
        <v>554146.97</v>
      </c>
      <c r="M53" s="120">
        <v>3.8400537927738422E-3</v>
      </c>
      <c r="N53" s="563">
        <v>2844940.79</v>
      </c>
      <c r="O53" s="120">
        <v>3.8518641368498223E-3</v>
      </c>
      <c r="P53" s="124">
        <v>4904379.5</v>
      </c>
      <c r="Q53" s="124"/>
      <c r="R53" s="563"/>
      <c r="S53" s="120"/>
      <c r="T53" s="373"/>
      <c r="U53" s="541">
        <v>428</v>
      </c>
      <c r="V53" s="540" t="s">
        <v>239</v>
      </c>
      <c r="W53" s="442" t="s">
        <v>34</v>
      </c>
      <c r="X53" s="552" t="s">
        <v>238</v>
      </c>
      <c r="Y53" s="563">
        <v>0</v>
      </c>
      <c r="Z53" s="563">
        <v>2805443.13</v>
      </c>
      <c r="AA53" s="563">
        <v>1069989.72</v>
      </c>
      <c r="AB53" s="563">
        <v>853.9</v>
      </c>
      <c r="AC53" s="563"/>
      <c r="AD53" s="563">
        <v>3876286.75</v>
      </c>
      <c r="AE53" s="124"/>
      <c r="AF53" s="541">
        <v>428</v>
      </c>
      <c r="AG53" s="540" t="s">
        <v>239</v>
      </c>
      <c r="AH53" s="442" t="s">
        <v>34</v>
      </c>
      <c r="AI53" s="552" t="s">
        <v>238</v>
      </c>
      <c r="AJ53" s="563">
        <v>0</v>
      </c>
      <c r="AK53" s="563">
        <v>2844940.79</v>
      </c>
      <c r="AL53" s="563">
        <v>1124056.1400000001</v>
      </c>
      <c r="AM53" s="563">
        <v>1291.5899999999999</v>
      </c>
      <c r="AN53" s="563"/>
      <c r="AO53" s="563">
        <v>3970288.5200000005</v>
      </c>
      <c r="AR53" s="124">
        <f>+L53</f>
        <v>554146.97</v>
      </c>
      <c r="AS53" s="124">
        <f>+F53</f>
        <v>379944.01</v>
      </c>
      <c r="AV53" s="372">
        <f t="shared" si="4"/>
        <v>934090.98</v>
      </c>
      <c r="AW53" s="124">
        <f>+AV53+AO53-P53</f>
        <v>0</v>
      </c>
      <c r="AZ53" s="563">
        <v>0</v>
      </c>
      <c r="BA53" s="563">
        <v>70592.28</v>
      </c>
      <c r="BB53" s="563">
        <v>28970.29</v>
      </c>
      <c r="BC53" s="563">
        <v>28.45</v>
      </c>
      <c r="BD53" s="563"/>
      <c r="BE53" s="563">
        <v>99591.02</v>
      </c>
      <c r="BF53" s="372"/>
      <c r="BO53" s="563">
        <v>0</v>
      </c>
      <c r="BP53" s="563">
        <v>6275123.1699999999</v>
      </c>
      <c r="BQ53" s="563">
        <v>2602960.16</v>
      </c>
      <c r="BR53" s="563">
        <v>2173.94</v>
      </c>
      <c r="BS53" s="563"/>
      <c r="BT53" s="563">
        <v>8880257.2699999996</v>
      </c>
      <c r="BW53" s="126">
        <v>686</v>
      </c>
      <c r="BX53" s="125">
        <v>9013</v>
      </c>
      <c r="BY53" s="19" t="s">
        <v>55</v>
      </c>
      <c r="BZ53" t="s">
        <v>911</v>
      </c>
    </row>
    <row r="54" spans="1:78" x14ac:dyDescent="0.3">
      <c r="A54" s="436">
        <v>9013</v>
      </c>
      <c r="B54" s="19" t="s">
        <v>55</v>
      </c>
      <c r="C54" t="s">
        <v>394</v>
      </c>
      <c r="D54" s="563"/>
      <c r="E54" s="120"/>
      <c r="F54" s="563">
        <v>20069.009999999998</v>
      </c>
      <c r="G54" s="120">
        <v>3.6397409796157224E-5</v>
      </c>
      <c r="H54" s="563">
        <v>58767.75</v>
      </c>
      <c r="I54" s="120">
        <v>2.1509545052657639E-4</v>
      </c>
      <c r="J54" s="563">
        <v>0</v>
      </c>
      <c r="K54" s="120">
        <v>0</v>
      </c>
      <c r="L54" s="563">
        <v>14306.6</v>
      </c>
      <c r="M54" s="120">
        <v>9.9139969296770236E-5</v>
      </c>
      <c r="N54" s="563">
        <v>73796.13</v>
      </c>
      <c r="O54" s="120">
        <v>9.9915143255163247E-5</v>
      </c>
      <c r="P54" s="124">
        <v>166939.49</v>
      </c>
      <c r="Q54" s="124"/>
      <c r="R54" s="563"/>
      <c r="S54" s="120"/>
      <c r="T54" s="373"/>
      <c r="U54" s="541">
        <v>686</v>
      </c>
      <c r="V54" s="540" t="s">
        <v>395</v>
      </c>
      <c r="W54" s="442" t="s">
        <v>55</v>
      </c>
      <c r="X54" s="552" t="s">
        <v>394</v>
      </c>
      <c r="Y54" s="563">
        <v>0</v>
      </c>
      <c r="Z54" s="563">
        <v>59779.68</v>
      </c>
      <c r="AA54" s="563">
        <v>53193.3</v>
      </c>
      <c r="AB54" s="563"/>
      <c r="AC54" s="563"/>
      <c r="AD54" s="563">
        <v>112972.98000000001</v>
      </c>
      <c r="AE54" s="124"/>
      <c r="AF54" s="541">
        <v>686</v>
      </c>
      <c r="AG54" s="540" t="s">
        <v>395</v>
      </c>
      <c r="AH54" s="442" t="s">
        <v>55</v>
      </c>
      <c r="AI54" s="552" t="s">
        <v>394</v>
      </c>
      <c r="AJ54" s="563">
        <v>0</v>
      </c>
      <c r="AK54" s="563">
        <v>73796.13</v>
      </c>
      <c r="AL54" s="563">
        <v>58767.75</v>
      </c>
      <c r="AM54" s="563"/>
      <c r="AN54" s="563"/>
      <c r="AO54" s="563">
        <v>132563.88</v>
      </c>
      <c r="AR54" s="124">
        <f>+L54</f>
        <v>14306.6</v>
      </c>
      <c r="AS54" s="124">
        <f>+F54</f>
        <v>20069.009999999998</v>
      </c>
      <c r="AV54" s="372">
        <f t="shared" si="4"/>
        <v>34375.61</v>
      </c>
      <c r="AW54" s="124">
        <f>+AV54+AO54-P54</f>
        <v>0</v>
      </c>
      <c r="AZ54" s="563">
        <v>0</v>
      </c>
      <c r="BA54" s="563">
        <v>1831.06</v>
      </c>
      <c r="BB54" s="563">
        <v>1514.49</v>
      </c>
      <c r="BC54" s="563"/>
      <c r="BD54" s="563"/>
      <c r="BE54" s="563">
        <v>3345.55</v>
      </c>
      <c r="BF54" s="372"/>
      <c r="BO54" s="563">
        <v>0</v>
      </c>
      <c r="BP54" s="563">
        <v>149713.47</v>
      </c>
      <c r="BQ54" s="563">
        <v>133544.54999999999</v>
      </c>
      <c r="BR54" s="563"/>
      <c r="BS54" s="563"/>
      <c r="BT54" s="563">
        <v>283258.02</v>
      </c>
      <c r="BW54" s="126">
        <v>87</v>
      </c>
      <c r="BX54" s="125">
        <v>9075</v>
      </c>
      <c r="BY54" s="19" t="s">
        <v>55</v>
      </c>
      <c r="BZ54" t="s">
        <v>749</v>
      </c>
    </row>
    <row r="55" spans="1:78" x14ac:dyDescent="0.3">
      <c r="A55" s="436">
        <v>9075</v>
      </c>
      <c r="B55" s="19" t="s">
        <v>55</v>
      </c>
      <c r="C55" t="s">
        <v>56</v>
      </c>
      <c r="D55" s="563"/>
      <c r="E55" s="120"/>
      <c r="F55" s="563">
        <v>69854.600000000006</v>
      </c>
      <c r="G55" s="120">
        <v>1.2668918408763785E-4</v>
      </c>
      <c r="H55" s="563">
        <v>206009.79</v>
      </c>
      <c r="I55" s="120">
        <v>7.540150608613635E-4</v>
      </c>
      <c r="J55" s="563"/>
      <c r="K55" s="120"/>
      <c r="L55" s="563">
        <v>74333.76999999999</v>
      </c>
      <c r="M55" s="120">
        <v>5.1510824902584673E-4</v>
      </c>
      <c r="N55" s="563">
        <v>381770.02</v>
      </c>
      <c r="O55" s="120">
        <v>5.1689168847779063E-4</v>
      </c>
      <c r="P55" s="124">
        <v>731968.18</v>
      </c>
      <c r="Q55" s="124"/>
      <c r="R55" s="563"/>
      <c r="S55" s="120"/>
      <c r="T55" s="373"/>
      <c r="U55" s="541">
        <v>87</v>
      </c>
      <c r="V55" s="540" t="s">
        <v>57</v>
      </c>
      <c r="W55" s="442" t="s">
        <v>55</v>
      </c>
      <c r="X55" s="552" t="s">
        <v>56</v>
      </c>
      <c r="Y55" s="563"/>
      <c r="Z55" s="563">
        <v>359821.31999999995</v>
      </c>
      <c r="AA55" s="563">
        <v>187210.27000000002</v>
      </c>
      <c r="AB55" s="563"/>
      <c r="AC55" s="563"/>
      <c r="AD55" s="563">
        <v>547031.59</v>
      </c>
      <c r="AE55" s="124"/>
      <c r="AF55" s="541">
        <v>87</v>
      </c>
      <c r="AG55" s="540" t="s">
        <v>57</v>
      </c>
      <c r="AH55" s="442" t="s">
        <v>55</v>
      </c>
      <c r="AI55" s="552" t="s">
        <v>56</v>
      </c>
      <c r="AJ55" s="563"/>
      <c r="AK55" s="563">
        <v>381770.02</v>
      </c>
      <c r="AL55" s="563">
        <v>206009.79</v>
      </c>
      <c r="AM55" s="563"/>
      <c r="AN55" s="563"/>
      <c r="AO55" s="563">
        <v>587779.81000000006</v>
      </c>
      <c r="AR55" s="124">
        <f>+L55</f>
        <v>74333.76999999999</v>
      </c>
      <c r="AS55" s="124">
        <f>+F55</f>
        <v>69854.600000000006</v>
      </c>
      <c r="AV55" s="372">
        <f t="shared" si="4"/>
        <v>144188.37</v>
      </c>
      <c r="AW55" s="124">
        <f>+AV55+AO55-P55</f>
        <v>0</v>
      </c>
      <c r="AZ55" s="563"/>
      <c r="BA55" s="563">
        <v>9473.0300000000007</v>
      </c>
      <c r="BB55" s="563">
        <v>5309.36</v>
      </c>
      <c r="BC55" s="563"/>
      <c r="BD55" s="563"/>
      <c r="BE55" s="563">
        <v>14782.39</v>
      </c>
      <c r="BF55" s="372"/>
      <c r="BO55" s="563"/>
      <c r="BP55" s="563">
        <v>825398.14</v>
      </c>
      <c r="BQ55" s="563">
        <v>468384.02</v>
      </c>
      <c r="BR55" s="563"/>
      <c r="BS55" s="563"/>
      <c r="BT55" s="563">
        <v>1293782.1600000001</v>
      </c>
      <c r="BW55" s="126">
        <v>701</v>
      </c>
      <c r="BX55" s="125">
        <v>9102</v>
      </c>
      <c r="BY55" s="19" t="s">
        <v>55</v>
      </c>
      <c r="BZ55" t="s">
        <v>915</v>
      </c>
    </row>
    <row r="56" spans="1:78" x14ac:dyDescent="0.3">
      <c r="A56" s="436">
        <v>9102</v>
      </c>
      <c r="B56" s="19" t="s">
        <v>55</v>
      </c>
      <c r="C56" t="s">
        <v>402</v>
      </c>
      <c r="D56" s="563"/>
      <c r="E56" s="120"/>
      <c r="F56" s="563">
        <v>4338.45</v>
      </c>
      <c r="G56" s="120">
        <v>7.8682676689153239E-6</v>
      </c>
      <c r="H56" s="563">
        <v>12781.93</v>
      </c>
      <c r="I56" s="120">
        <v>4.6783056896838196E-5</v>
      </c>
      <c r="J56" s="563"/>
      <c r="K56" s="120"/>
      <c r="L56" s="563">
        <v>3041.03</v>
      </c>
      <c r="M56" s="120">
        <v>2.10733242580737E-5</v>
      </c>
      <c r="N56" s="563">
        <v>15638.12</v>
      </c>
      <c r="O56" s="120">
        <v>2.117299376053234E-5</v>
      </c>
      <c r="P56" s="124">
        <v>35799.53</v>
      </c>
      <c r="Q56" s="124"/>
      <c r="R56" s="563"/>
      <c r="S56" s="120"/>
      <c r="T56" s="373"/>
      <c r="U56" s="541">
        <v>701</v>
      </c>
      <c r="V56" s="540" t="s">
        <v>403</v>
      </c>
      <c r="W56" s="442" t="s">
        <v>55</v>
      </c>
      <c r="X56" s="552" t="s">
        <v>402</v>
      </c>
      <c r="Y56" s="563"/>
      <c r="Z56" s="563">
        <v>17809.47</v>
      </c>
      <c r="AA56" s="563">
        <v>12030.59</v>
      </c>
      <c r="AB56" s="563"/>
      <c r="AC56" s="563"/>
      <c r="AD56" s="563">
        <v>29840.06</v>
      </c>
      <c r="AE56" s="124"/>
      <c r="AF56" s="541">
        <v>701</v>
      </c>
      <c r="AG56" s="540" t="s">
        <v>403</v>
      </c>
      <c r="AH56" s="442" t="s">
        <v>55</v>
      </c>
      <c r="AI56" s="552" t="s">
        <v>402</v>
      </c>
      <c r="AJ56" s="563"/>
      <c r="AK56" s="563">
        <v>15638.12</v>
      </c>
      <c r="AL56" s="563">
        <v>12781.93</v>
      </c>
      <c r="AM56" s="563"/>
      <c r="AN56" s="563"/>
      <c r="AO56" s="563">
        <v>28420.050000000003</v>
      </c>
      <c r="AR56" s="124">
        <f>+L56</f>
        <v>3041.03</v>
      </c>
      <c r="AS56" s="124">
        <f>+F56</f>
        <v>4338.45</v>
      </c>
      <c r="AV56" s="372">
        <f t="shared" si="4"/>
        <v>7379.48</v>
      </c>
      <c r="AW56" s="124">
        <f>+AV56+AO56-P56</f>
        <v>0</v>
      </c>
      <c r="AZ56" s="563"/>
      <c r="BA56" s="563">
        <v>388.01</v>
      </c>
      <c r="BB56" s="563">
        <v>329.29</v>
      </c>
      <c r="BC56" s="563"/>
      <c r="BD56" s="563"/>
      <c r="BE56" s="563">
        <v>717.3</v>
      </c>
      <c r="BF56" s="372"/>
      <c r="BO56" s="563"/>
      <c r="BP56" s="563">
        <v>36876.629999999997</v>
      </c>
      <c r="BQ56" s="563">
        <v>29480.26</v>
      </c>
      <c r="BR56" s="563"/>
      <c r="BS56" s="563"/>
      <c r="BT56" s="563">
        <v>66356.89</v>
      </c>
      <c r="BW56" s="126">
        <v>249</v>
      </c>
      <c r="BX56" s="125">
        <v>9206</v>
      </c>
      <c r="BY56" s="19" t="s">
        <v>55</v>
      </c>
      <c r="BZ56" t="s">
        <v>792</v>
      </c>
    </row>
    <row r="57" spans="1:78" x14ac:dyDescent="0.3">
      <c r="A57" s="436">
        <v>9206</v>
      </c>
      <c r="B57" s="19" t="s">
        <v>55</v>
      </c>
      <c r="C57" t="s">
        <v>144</v>
      </c>
      <c r="D57" s="563">
        <v>3972.72</v>
      </c>
      <c r="E57" s="120">
        <v>7.2049751255986091E-6</v>
      </c>
      <c r="F57" s="563">
        <v>391146.25</v>
      </c>
      <c r="G57" s="120">
        <v>7.0938777505617692E-4</v>
      </c>
      <c r="H57" s="563">
        <v>1153506.3399999999</v>
      </c>
      <c r="I57" s="120">
        <v>4.2219408755237728E-3</v>
      </c>
      <c r="J57" s="563">
        <v>0</v>
      </c>
      <c r="K57" s="120">
        <v>0</v>
      </c>
      <c r="L57" s="563">
        <v>718644.02</v>
      </c>
      <c r="M57" s="120">
        <v>4.9799635188030374E-3</v>
      </c>
      <c r="N57" s="563">
        <v>3695293.95</v>
      </c>
      <c r="O57" s="120">
        <v>5.0031868118855013E-3</v>
      </c>
      <c r="P57" s="124">
        <v>5962563.2800000003</v>
      </c>
      <c r="Q57" s="124"/>
      <c r="R57" s="563"/>
      <c r="S57" s="120"/>
      <c r="T57" s="373"/>
      <c r="U57" s="541">
        <v>249</v>
      </c>
      <c r="V57" s="540" t="s">
        <v>145</v>
      </c>
      <c r="W57" s="442" t="s">
        <v>55</v>
      </c>
      <c r="X57" s="552" t="s">
        <v>144</v>
      </c>
      <c r="Y57" s="563">
        <v>0</v>
      </c>
      <c r="Z57" s="563">
        <v>3407578.45</v>
      </c>
      <c r="AA57" s="563">
        <v>1039847.04</v>
      </c>
      <c r="AB57" s="563">
        <v>2655.78</v>
      </c>
      <c r="AC57" s="563"/>
      <c r="AD57" s="563">
        <v>4450081.2700000005</v>
      </c>
      <c r="AE57" s="124"/>
      <c r="AF57" s="541">
        <v>249</v>
      </c>
      <c r="AG57" s="540" t="s">
        <v>145</v>
      </c>
      <c r="AH57" s="442" t="s">
        <v>55</v>
      </c>
      <c r="AI57" s="552" t="s">
        <v>144</v>
      </c>
      <c r="AJ57" s="563">
        <v>0</v>
      </c>
      <c r="AK57" s="563">
        <v>3695293.95</v>
      </c>
      <c r="AL57" s="563">
        <v>1153506.3399999999</v>
      </c>
      <c r="AM57" s="563">
        <v>3972.72</v>
      </c>
      <c r="AN57" s="563"/>
      <c r="AO57" s="563">
        <v>4852773.01</v>
      </c>
      <c r="AR57" s="124">
        <f>+L57</f>
        <v>718644.02</v>
      </c>
      <c r="AS57" s="124">
        <f>+F57</f>
        <v>391146.25</v>
      </c>
      <c r="AV57" s="372">
        <f t="shared" si="4"/>
        <v>1109790.27</v>
      </c>
      <c r="AW57" s="124">
        <f>+AV57+AO57-P57</f>
        <v>0</v>
      </c>
      <c r="AZ57" s="563">
        <v>0</v>
      </c>
      <c r="BA57" s="563">
        <v>91691.97</v>
      </c>
      <c r="BB57" s="563">
        <v>29729.489999999998</v>
      </c>
      <c r="BC57" s="563">
        <v>88.47</v>
      </c>
      <c r="BD57" s="563"/>
      <c r="BE57" s="563">
        <v>121509.93</v>
      </c>
      <c r="BF57" s="372"/>
      <c r="BO57" s="563">
        <v>0</v>
      </c>
      <c r="BP57" s="563">
        <v>7913208.3900000006</v>
      </c>
      <c r="BQ57" s="563">
        <v>2614229.12</v>
      </c>
      <c r="BR57" s="563">
        <v>6716.97</v>
      </c>
      <c r="BS57" s="563"/>
      <c r="BT57" s="563">
        <v>10534154.48</v>
      </c>
      <c r="BW57" s="126">
        <v>562</v>
      </c>
      <c r="BX57" s="125">
        <v>9207</v>
      </c>
      <c r="BY57" s="19" t="s">
        <v>55</v>
      </c>
      <c r="BZ57" t="s">
        <v>861</v>
      </c>
    </row>
    <row r="58" spans="1:78" x14ac:dyDescent="0.3">
      <c r="A58" s="436">
        <v>9207</v>
      </c>
      <c r="B58" s="19" t="s">
        <v>55</v>
      </c>
      <c r="C58" t="s">
        <v>284</v>
      </c>
      <c r="D58" s="563"/>
      <c r="E58" s="120"/>
      <c r="F58" s="563">
        <v>12286.880000000001</v>
      </c>
      <c r="G58" s="120">
        <v>2.2283640621844743E-5</v>
      </c>
      <c r="H58" s="563">
        <v>36127.17</v>
      </c>
      <c r="I58" s="120">
        <v>1.3222881439905755E-4</v>
      </c>
      <c r="J58" s="563">
        <v>0</v>
      </c>
      <c r="K58" s="120">
        <v>0</v>
      </c>
      <c r="L58" s="563">
        <v>18181.150000000001</v>
      </c>
      <c r="M58" s="120">
        <v>1.2598930932436597E-4</v>
      </c>
      <c r="N58" s="563">
        <v>94016.239999999991</v>
      </c>
      <c r="O58" s="120">
        <v>1.2729185240353128E-4</v>
      </c>
      <c r="P58" s="124">
        <v>160611.44</v>
      </c>
      <c r="Q58" s="124"/>
      <c r="R58" s="563"/>
      <c r="S58" s="120"/>
      <c r="T58" s="373"/>
      <c r="U58" s="541">
        <v>562</v>
      </c>
      <c r="V58" s="540" t="s">
        <v>285</v>
      </c>
      <c r="W58" s="442" t="s">
        <v>55</v>
      </c>
      <c r="X58" s="552" t="s">
        <v>284</v>
      </c>
      <c r="Y58" s="563">
        <v>0</v>
      </c>
      <c r="Z58" s="563">
        <v>85120.4</v>
      </c>
      <c r="AA58" s="563">
        <v>33394.910000000003</v>
      </c>
      <c r="AB58" s="563"/>
      <c r="AC58" s="563"/>
      <c r="AD58" s="563">
        <v>118515.31</v>
      </c>
      <c r="AE58" s="124"/>
      <c r="AF58" s="541">
        <v>562</v>
      </c>
      <c r="AG58" s="540" t="s">
        <v>285</v>
      </c>
      <c r="AH58" s="442" t="s">
        <v>55</v>
      </c>
      <c r="AI58" s="552" t="s">
        <v>284</v>
      </c>
      <c r="AJ58" s="563">
        <v>0</v>
      </c>
      <c r="AK58" s="563">
        <v>94016.239999999991</v>
      </c>
      <c r="AL58" s="563">
        <v>36127.17</v>
      </c>
      <c r="AM58" s="563"/>
      <c r="AN58" s="563"/>
      <c r="AO58" s="563">
        <v>130143.40999999999</v>
      </c>
      <c r="AR58" s="124">
        <f>+L58</f>
        <v>18181.150000000001</v>
      </c>
      <c r="AS58" s="124">
        <f>+F58</f>
        <v>12286.880000000001</v>
      </c>
      <c r="AV58" s="372">
        <f t="shared" si="4"/>
        <v>30468.030000000002</v>
      </c>
      <c r="AW58" s="124">
        <f>+AV58+AO58-P58</f>
        <v>0</v>
      </c>
      <c r="AZ58" s="563">
        <v>0</v>
      </c>
      <c r="BA58" s="563">
        <v>2332.8100000000004</v>
      </c>
      <c r="BB58" s="563">
        <v>930.99</v>
      </c>
      <c r="BC58" s="563"/>
      <c r="BD58" s="563"/>
      <c r="BE58" s="563">
        <v>3263.8</v>
      </c>
      <c r="BF58" s="372"/>
      <c r="BO58" s="563">
        <v>0</v>
      </c>
      <c r="BP58" s="563">
        <v>199650.59999999998</v>
      </c>
      <c r="BQ58" s="563">
        <v>82739.95</v>
      </c>
      <c r="BR58" s="563"/>
      <c r="BS58" s="563"/>
      <c r="BT58" s="563">
        <v>282390.55</v>
      </c>
      <c r="BW58" s="126">
        <v>1067</v>
      </c>
      <c r="BX58" s="125">
        <v>9209</v>
      </c>
      <c r="BY58" s="19" t="s">
        <v>55</v>
      </c>
      <c r="BZ58" t="s">
        <v>1005</v>
      </c>
    </row>
    <row r="59" spans="1:78" x14ac:dyDescent="0.3">
      <c r="A59" s="436">
        <v>9209</v>
      </c>
      <c r="B59" s="19" t="s">
        <v>55</v>
      </c>
      <c r="C59" t="s">
        <v>592</v>
      </c>
      <c r="D59" s="563"/>
      <c r="E59" s="120"/>
      <c r="F59" s="563">
        <v>21904.51</v>
      </c>
      <c r="G59" s="120">
        <v>3.972629575918413E-5</v>
      </c>
      <c r="H59" s="563">
        <v>64780.759999999995</v>
      </c>
      <c r="I59" s="120">
        <v>2.3710362839574458E-4</v>
      </c>
      <c r="J59" s="563"/>
      <c r="K59" s="120"/>
      <c r="L59" s="563">
        <v>26248.910000000003</v>
      </c>
      <c r="M59" s="120">
        <v>1.8189619696319778E-4</v>
      </c>
      <c r="N59" s="563">
        <v>136428.31</v>
      </c>
      <c r="O59" s="120">
        <v>1.8471502689517484E-4</v>
      </c>
      <c r="P59" s="124">
        <v>249362.49</v>
      </c>
      <c r="Q59" s="124"/>
      <c r="R59" s="563"/>
      <c r="S59" s="120"/>
      <c r="T59" s="373"/>
      <c r="U59" s="541">
        <v>1067</v>
      </c>
      <c r="V59" s="540" t="s">
        <v>593</v>
      </c>
      <c r="W59" s="442" t="s">
        <v>55</v>
      </c>
      <c r="X59" s="552" t="s">
        <v>592</v>
      </c>
      <c r="Y59" s="563"/>
      <c r="Z59" s="563">
        <v>137992.03</v>
      </c>
      <c r="AA59" s="563">
        <v>58698.47</v>
      </c>
      <c r="AB59" s="563"/>
      <c r="AC59" s="563"/>
      <c r="AD59" s="563">
        <v>196690.5</v>
      </c>
      <c r="AE59" s="124"/>
      <c r="AF59" s="541">
        <v>1067</v>
      </c>
      <c r="AG59" s="540" t="s">
        <v>593</v>
      </c>
      <c r="AH59" s="442" t="s">
        <v>55</v>
      </c>
      <c r="AI59" s="552" t="s">
        <v>592</v>
      </c>
      <c r="AJ59" s="563"/>
      <c r="AK59" s="563">
        <v>136428.31</v>
      </c>
      <c r="AL59" s="563">
        <v>64780.759999999995</v>
      </c>
      <c r="AM59" s="563"/>
      <c r="AN59" s="563"/>
      <c r="AO59" s="563">
        <v>201209.07</v>
      </c>
      <c r="AR59" s="124">
        <f>+L59</f>
        <v>26248.910000000003</v>
      </c>
      <c r="AS59" s="124">
        <f>+F59</f>
        <v>21904.51</v>
      </c>
      <c r="AV59" s="372">
        <f t="shared" si="4"/>
        <v>48153.42</v>
      </c>
      <c r="AW59" s="124">
        <f>+AV59+AO59-P59</f>
        <v>0</v>
      </c>
      <c r="AZ59" s="563"/>
      <c r="BA59" s="563">
        <v>3386.15</v>
      </c>
      <c r="BB59" s="563">
        <v>1669.4699999999998</v>
      </c>
      <c r="BC59" s="563"/>
      <c r="BD59" s="563"/>
      <c r="BE59" s="563">
        <v>5055.62</v>
      </c>
      <c r="BF59" s="372"/>
      <c r="BO59" s="563"/>
      <c r="BP59" s="563">
        <v>304055.40000000002</v>
      </c>
      <c r="BQ59" s="563">
        <v>147053.21</v>
      </c>
      <c r="BR59" s="563"/>
      <c r="BS59" s="563"/>
      <c r="BT59" s="563">
        <v>451108.61</v>
      </c>
      <c r="BW59" s="126">
        <v>425</v>
      </c>
      <c r="BX59" s="125">
        <v>10003</v>
      </c>
      <c r="BY59" s="19" t="s">
        <v>18</v>
      </c>
      <c r="BZ59" t="s">
        <v>838</v>
      </c>
    </row>
    <row r="60" spans="1:78" x14ac:dyDescent="0.3">
      <c r="A60" s="436">
        <v>10003</v>
      </c>
      <c r="B60" s="19" t="s">
        <v>18</v>
      </c>
      <c r="C60" t="s">
        <v>236</v>
      </c>
      <c r="D60" s="563"/>
      <c r="E60" s="120"/>
      <c r="F60" s="563">
        <v>8025.2699999999995</v>
      </c>
      <c r="G60" s="120">
        <v>1.455473094660906E-5</v>
      </c>
      <c r="H60" s="563">
        <v>23806.19</v>
      </c>
      <c r="I60" s="120">
        <v>8.7132877528428048E-5</v>
      </c>
      <c r="J60" s="563"/>
      <c r="K60" s="120"/>
      <c r="L60" s="563">
        <v>3915.26</v>
      </c>
      <c r="M60" s="120">
        <v>2.7131446758060801E-5</v>
      </c>
      <c r="N60" s="563">
        <v>20100.04</v>
      </c>
      <c r="O60" s="120">
        <v>2.7214142205485727E-5</v>
      </c>
      <c r="P60" s="124">
        <v>55846.76</v>
      </c>
      <c r="Q60" s="124"/>
      <c r="R60" s="563"/>
      <c r="S60" s="120"/>
      <c r="T60" s="373"/>
      <c r="U60" s="541">
        <v>425</v>
      </c>
      <c r="V60" s="540" t="s">
        <v>237</v>
      </c>
      <c r="W60" s="442" t="s">
        <v>18</v>
      </c>
      <c r="X60" s="552" t="s">
        <v>236</v>
      </c>
      <c r="Y60" s="563"/>
      <c r="Z60" s="563">
        <v>16515.12</v>
      </c>
      <c r="AA60" s="563">
        <v>21564.25</v>
      </c>
      <c r="AB60" s="563"/>
      <c r="AC60" s="563"/>
      <c r="AD60" s="563">
        <v>38079.369999999995</v>
      </c>
      <c r="AE60" s="124"/>
      <c r="AF60" s="541">
        <v>425</v>
      </c>
      <c r="AG60" s="540" t="s">
        <v>237</v>
      </c>
      <c r="AH60" s="442" t="s">
        <v>18</v>
      </c>
      <c r="AI60" s="552" t="s">
        <v>236</v>
      </c>
      <c r="AJ60" s="563"/>
      <c r="AK60" s="563">
        <v>20100.04</v>
      </c>
      <c r="AL60" s="563">
        <v>23806.19</v>
      </c>
      <c r="AM60" s="563"/>
      <c r="AN60" s="563"/>
      <c r="AO60" s="563">
        <v>43906.229999999996</v>
      </c>
      <c r="AR60" s="124">
        <f>+L60</f>
        <v>3915.26</v>
      </c>
      <c r="AS60" s="124">
        <f>+F60</f>
        <v>8025.2699999999995</v>
      </c>
      <c r="AV60" s="372">
        <f t="shared" si="4"/>
        <v>11940.529999999999</v>
      </c>
      <c r="AW60" s="124">
        <f>+AV60+AO60-P60</f>
        <v>0</v>
      </c>
      <c r="AZ60" s="563"/>
      <c r="BA60" s="563">
        <v>498.62</v>
      </c>
      <c r="BB60" s="563">
        <v>613.47</v>
      </c>
      <c r="BC60" s="563"/>
      <c r="BD60" s="563"/>
      <c r="BE60" s="563">
        <v>1112.0900000000001</v>
      </c>
      <c r="BF60" s="372"/>
      <c r="BO60" s="563"/>
      <c r="BP60" s="563">
        <v>41029.040000000001</v>
      </c>
      <c r="BQ60" s="563">
        <v>54009.18</v>
      </c>
      <c r="BR60" s="563"/>
      <c r="BS60" s="563"/>
      <c r="BT60" s="563">
        <v>95038.22</v>
      </c>
      <c r="BW60" s="126">
        <v>214</v>
      </c>
      <c r="BX60" s="125">
        <v>10050</v>
      </c>
      <c r="BY60" s="19" t="s">
        <v>18</v>
      </c>
      <c r="BZ60" t="s">
        <v>782</v>
      </c>
    </row>
    <row r="61" spans="1:78" x14ac:dyDescent="0.3">
      <c r="A61" s="436">
        <v>10050</v>
      </c>
      <c r="B61" s="19" t="s">
        <v>18</v>
      </c>
      <c r="C61" t="s">
        <v>122</v>
      </c>
      <c r="D61" s="563"/>
      <c r="E61" s="120"/>
      <c r="F61" s="563">
        <v>24840.79</v>
      </c>
      <c r="G61" s="120">
        <v>4.5051570221465064E-5</v>
      </c>
      <c r="H61" s="563">
        <v>71733.540000000008</v>
      </c>
      <c r="I61" s="120">
        <v>2.6255145218535998E-4</v>
      </c>
      <c r="J61" s="563"/>
      <c r="K61" s="120"/>
      <c r="L61" s="563">
        <v>32769.31</v>
      </c>
      <c r="M61" s="120">
        <v>2.2708039557101936E-4</v>
      </c>
      <c r="N61" s="563">
        <v>155856.69</v>
      </c>
      <c r="O61" s="120">
        <v>2.1101978530074095E-4</v>
      </c>
      <c r="P61" s="124">
        <v>285200.33</v>
      </c>
      <c r="Q61" s="124"/>
      <c r="R61" s="563"/>
      <c r="S61" s="120"/>
      <c r="T61" s="373"/>
      <c r="U61" s="541">
        <v>214</v>
      </c>
      <c r="V61" s="540" t="s">
        <v>123</v>
      </c>
      <c r="W61" s="442" t="s">
        <v>18</v>
      </c>
      <c r="X61" s="552" t="s">
        <v>122</v>
      </c>
      <c r="Y61" s="563"/>
      <c r="Z61" s="563">
        <v>163271.6</v>
      </c>
      <c r="AA61" s="563">
        <v>70975.649999999994</v>
      </c>
      <c r="AB61" s="563"/>
      <c r="AC61" s="563"/>
      <c r="AD61" s="563">
        <v>234247.25</v>
      </c>
      <c r="AE61" s="124"/>
      <c r="AF61" s="541">
        <v>214</v>
      </c>
      <c r="AG61" s="540" t="s">
        <v>123</v>
      </c>
      <c r="AH61" s="442" t="s">
        <v>18</v>
      </c>
      <c r="AI61" s="552" t="s">
        <v>122</v>
      </c>
      <c r="AJ61" s="563"/>
      <c r="AK61" s="563">
        <v>155856.69</v>
      </c>
      <c r="AL61" s="563">
        <v>71733.540000000008</v>
      </c>
      <c r="AM61" s="563"/>
      <c r="AN61" s="563"/>
      <c r="AO61" s="563">
        <v>227590.23</v>
      </c>
      <c r="AR61" s="124">
        <f>+L61</f>
        <v>32769.31</v>
      </c>
      <c r="AS61" s="124">
        <f>+F61</f>
        <v>24840.79</v>
      </c>
      <c r="AV61" s="372">
        <f t="shared" si="4"/>
        <v>57610.1</v>
      </c>
      <c r="AW61" s="124">
        <f>+AV61+AO61-P61</f>
        <v>0</v>
      </c>
      <c r="AZ61" s="563"/>
      <c r="BA61" s="563">
        <v>3856.8500000000004</v>
      </c>
      <c r="BB61" s="563">
        <v>1845.48</v>
      </c>
      <c r="BC61" s="563"/>
      <c r="BD61" s="563"/>
      <c r="BE61" s="563">
        <v>5702.33</v>
      </c>
      <c r="BF61" s="372"/>
      <c r="BO61" s="563"/>
      <c r="BP61" s="563">
        <v>355754.44999999995</v>
      </c>
      <c r="BQ61" s="563">
        <v>169395.46</v>
      </c>
      <c r="BR61" s="563"/>
      <c r="BS61" s="563"/>
      <c r="BT61" s="563">
        <v>525149.90999999992</v>
      </c>
      <c r="BW61" s="126">
        <v>685</v>
      </c>
      <c r="BX61" s="125">
        <v>10065</v>
      </c>
      <c r="BY61" s="19" t="s">
        <v>18</v>
      </c>
      <c r="BZ61" t="s">
        <v>910</v>
      </c>
    </row>
    <row r="62" spans="1:78" x14ac:dyDescent="0.3">
      <c r="A62" s="436">
        <v>10065</v>
      </c>
      <c r="B62" s="19" t="s">
        <v>18</v>
      </c>
      <c r="C62" t="s">
        <v>392</v>
      </c>
      <c r="D62" s="563"/>
      <c r="E62" s="120"/>
      <c r="F62" s="563">
        <v>5760.49</v>
      </c>
      <c r="G62" s="120">
        <v>1.0447297358298478E-5</v>
      </c>
      <c r="H62" s="563">
        <v>17035.550000000003</v>
      </c>
      <c r="I62" s="120">
        <v>6.2351703140209035E-5</v>
      </c>
      <c r="J62" s="563"/>
      <c r="K62" s="120"/>
      <c r="L62" s="563">
        <v>4784.8500000000004</v>
      </c>
      <c r="M62" s="120">
        <v>3.315741560466156E-5</v>
      </c>
      <c r="N62" s="563">
        <v>24782.86</v>
      </c>
      <c r="O62" s="120">
        <v>3.355437483202242E-5</v>
      </c>
      <c r="P62" s="124">
        <v>52363.75</v>
      </c>
      <c r="Q62" s="124"/>
      <c r="R62" s="563"/>
      <c r="S62" s="120"/>
      <c r="T62" s="373"/>
      <c r="U62" s="541">
        <v>685</v>
      </c>
      <c r="V62" s="540" t="s">
        <v>393</v>
      </c>
      <c r="W62" s="442" t="s">
        <v>18</v>
      </c>
      <c r="X62" s="552" t="s">
        <v>392</v>
      </c>
      <c r="Y62" s="563"/>
      <c r="Z62" s="563">
        <v>36673.730000000003</v>
      </c>
      <c r="AA62" s="563">
        <v>15749.77</v>
      </c>
      <c r="AB62" s="563"/>
      <c r="AC62" s="563"/>
      <c r="AD62" s="563">
        <v>52423.5</v>
      </c>
      <c r="AE62" s="124"/>
      <c r="AF62" s="541">
        <v>685</v>
      </c>
      <c r="AG62" s="540" t="s">
        <v>393</v>
      </c>
      <c r="AH62" s="442" t="s">
        <v>18</v>
      </c>
      <c r="AI62" s="552" t="s">
        <v>392</v>
      </c>
      <c r="AJ62" s="563"/>
      <c r="AK62" s="563">
        <v>24782.86</v>
      </c>
      <c r="AL62" s="563">
        <v>17035.550000000003</v>
      </c>
      <c r="AM62" s="563"/>
      <c r="AN62" s="563"/>
      <c r="AO62" s="563">
        <v>41818.410000000003</v>
      </c>
      <c r="AR62" s="124">
        <f>+L62</f>
        <v>4784.8500000000004</v>
      </c>
      <c r="AS62" s="124">
        <f>+F62</f>
        <v>5760.49</v>
      </c>
      <c r="AV62" s="372">
        <f t="shared" si="4"/>
        <v>10545.34</v>
      </c>
      <c r="AW62" s="124">
        <f>+AV62+AO62-P62</f>
        <v>0</v>
      </c>
      <c r="AZ62" s="563"/>
      <c r="BA62" s="563">
        <v>614.86</v>
      </c>
      <c r="BB62" s="563">
        <v>438.98</v>
      </c>
      <c r="BC62" s="563"/>
      <c r="BD62" s="563"/>
      <c r="BE62" s="563">
        <v>1053.8400000000001</v>
      </c>
      <c r="BF62" s="372"/>
      <c r="BO62" s="563"/>
      <c r="BP62" s="563">
        <v>66856.3</v>
      </c>
      <c r="BQ62" s="563">
        <v>38984.79</v>
      </c>
      <c r="BR62" s="563"/>
      <c r="BS62" s="563"/>
      <c r="BT62" s="563">
        <v>105841.09</v>
      </c>
      <c r="BW62" s="126">
        <v>396</v>
      </c>
      <c r="BX62" s="125">
        <v>10070</v>
      </c>
      <c r="BY62" s="19" t="s">
        <v>18</v>
      </c>
      <c r="BZ62" t="s">
        <v>833</v>
      </c>
    </row>
    <row r="63" spans="1:78" x14ac:dyDescent="0.3">
      <c r="A63" s="436">
        <v>10070</v>
      </c>
      <c r="B63" s="19" t="s">
        <v>18</v>
      </c>
      <c r="C63" t="s">
        <v>226</v>
      </c>
      <c r="D63" s="563"/>
      <c r="E63" s="120"/>
      <c r="F63" s="563">
        <v>25781.309999999998</v>
      </c>
      <c r="G63" s="120">
        <v>4.6757309162323712E-5</v>
      </c>
      <c r="H63" s="563">
        <v>76120.320000000007</v>
      </c>
      <c r="I63" s="120">
        <v>2.7860747645821332E-4</v>
      </c>
      <c r="J63" s="563"/>
      <c r="K63" s="120"/>
      <c r="L63" s="563">
        <v>38874.300000000003</v>
      </c>
      <c r="M63" s="120">
        <v>2.6938594134409542E-4</v>
      </c>
      <c r="N63" s="563">
        <v>200220.87</v>
      </c>
      <c r="O63" s="120">
        <v>2.7108598931574614E-4</v>
      </c>
      <c r="P63" s="124">
        <v>340996.8</v>
      </c>
      <c r="Q63" s="124"/>
      <c r="R63" s="563"/>
      <c r="S63" s="120"/>
      <c r="T63" s="373"/>
      <c r="U63" s="541">
        <v>396</v>
      </c>
      <c r="V63" s="540" t="s">
        <v>227</v>
      </c>
      <c r="W63" s="442" t="s">
        <v>18</v>
      </c>
      <c r="X63" s="552" t="s">
        <v>226</v>
      </c>
      <c r="Y63" s="563"/>
      <c r="Z63" s="563">
        <v>230988.97999999998</v>
      </c>
      <c r="AA63" s="563">
        <v>70086.649999999994</v>
      </c>
      <c r="AB63" s="563"/>
      <c r="AC63" s="563"/>
      <c r="AD63" s="563">
        <v>301075.63</v>
      </c>
      <c r="AE63" s="124"/>
      <c r="AF63" s="541">
        <v>396</v>
      </c>
      <c r="AG63" s="540" t="s">
        <v>227</v>
      </c>
      <c r="AH63" s="442" t="s">
        <v>18</v>
      </c>
      <c r="AI63" s="552" t="s">
        <v>226</v>
      </c>
      <c r="AJ63" s="563"/>
      <c r="AK63" s="563">
        <v>200220.87</v>
      </c>
      <c r="AL63" s="563">
        <v>76120.320000000007</v>
      </c>
      <c r="AM63" s="563"/>
      <c r="AN63" s="563"/>
      <c r="AO63" s="563">
        <v>276341.19</v>
      </c>
      <c r="AR63" s="124">
        <f>+L63</f>
        <v>38874.300000000003</v>
      </c>
      <c r="AS63" s="124">
        <f>+F63</f>
        <v>25781.309999999998</v>
      </c>
      <c r="AV63" s="372">
        <f t="shared" si="4"/>
        <v>64655.61</v>
      </c>
      <c r="AW63" s="124">
        <f>+AV63+AO63-P63</f>
        <v>0</v>
      </c>
      <c r="AZ63" s="563"/>
      <c r="BA63" s="563">
        <v>4968.1099999999997</v>
      </c>
      <c r="BB63" s="563">
        <v>1961.73</v>
      </c>
      <c r="BC63" s="563"/>
      <c r="BD63" s="563"/>
      <c r="BE63" s="563">
        <v>6929.84</v>
      </c>
      <c r="BF63" s="372"/>
      <c r="BO63" s="563"/>
      <c r="BP63" s="563">
        <v>475052.26</v>
      </c>
      <c r="BQ63" s="563">
        <v>173950.01</v>
      </c>
      <c r="BR63" s="563"/>
      <c r="BS63" s="563"/>
      <c r="BT63" s="563">
        <v>649002.27</v>
      </c>
      <c r="BW63" s="126">
        <v>805</v>
      </c>
      <c r="BX63" s="125">
        <v>10309</v>
      </c>
      <c r="BY63" s="19" t="s">
        <v>18</v>
      </c>
      <c r="BZ63" t="s">
        <v>939</v>
      </c>
    </row>
    <row r="64" spans="1:78" x14ac:dyDescent="0.3">
      <c r="A64" s="436">
        <v>10309</v>
      </c>
      <c r="B64" s="19" t="s">
        <v>18</v>
      </c>
      <c r="C64" t="s">
        <v>452</v>
      </c>
      <c r="D64" s="563"/>
      <c r="E64" s="120"/>
      <c r="F64" s="563">
        <v>34713.06</v>
      </c>
      <c r="G64" s="120">
        <v>6.2956043676224867E-5</v>
      </c>
      <c r="H64" s="563">
        <v>101991.87</v>
      </c>
      <c r="I64" s="120">
        <v>3.7329976437243232E-4</v>
      </c>
      <c r="J64" s="563"/>
      <c r="K64" s="120"/>
      <c r="L64" s="563">
        <v>40271.93</v>
      </c>
      <c r="M64" s="120">
        <v>2.7907105138339508E-4</v>
      </c>
      <c r="N64" s="563">
        <v>208127.32</v>
      </c>
      <c r="O64" s="120">
        <v>2.8179080655195876E-4</v>
      </c>
      <c r="P64" s="124">
        <v>385104.18</v>
      </c>
      <c r="Q64" s="124"/>
      <c r="R64" s="563"/>
      <c r="S64" s="120"/>
      <c r="T64" s="373"/>
      <c r="U64" s="541">
        <v>805</v>
      </c>
      <c r="V64" s="540" t="s">
        <v>453</v>
      </c>
      <c r="W64" s="442" t="s">
        <v>18</v>
      </c>
      <c r="X64" s="552" t="s">
        <v>452</v>
      </c>
      <c r="Y64" s="563"/>
      <c r="Z64" s="563">
        <v>228980.78000000003</v>
      </c>
      <c r="AA64" s="563">
        <v>99638.38</v>
      </c>
      <c r="AB64" s="563"/>
      <c r="AC64" s="563"/>
      <c r="AD64" s="563">
        <v>328619.16000000003</v>
      </c>
      <c r="AE64" s="124"/>
      <c r="AF64" s="541">
        <v>805</v>
      </c>
      <c r="AG64" s="540" t="s">
        <v>453</v>
      </c>
      <c r="AH64" s="442" t="s">
        <v>18</v>
      </c>
      <c r="AI64" s="552" t="s">
        <v>452</v>
      </c>
      <c r="AJ64" s="563"/>
      <c r="AK64" s="563">
        <v>208127.32</v>
      </c>
      <c r="AL64" s="563">
        <v>101991.87</v>
      </c>
      <c r="AM64" s="563"/>
      <c r="AN64" s="563"/>
      <c r="AO64" s="563">
        <v>310119.19</v>
      </c>
      <c r="AR64" s="124">
        <f>+L64</f>
        <v>40271.93</v>
      </c>
      <c r="AS64" s="124">
        <f>+F64</f>
        <v>34713.06</v>
      </c>
      <c r="AV64" s="372">
        <f t="shared" si="4"/>
        <v>74984.989999999991</v>
      </c>
      <c r="AW64" s="124">
        <f>+AV64+AO64-P64</f>
        <v>0</v>
      </c>
      <c r="AZ64" s="563"/>
      <c r="BA64" s="563">
        <v>5164.33</v>
      </c>
      <c r="BB64" s="563">
        <v>2629.25</v>
      </c>
      <c r="BC64" s="563"/>
      <c r="BD64" s="563"/>
      <c r="BE64" s="563">
        <v>7793.58</v>
      </c>
      <c r="BF64" s="372"/>
      <c r="BO64" s="563"/>
      <c r="BP64" s="563">
        <v>482544.36</v>
      </c>
      <c r="BQ64" s="563">
        <v>238972.56</v>
      </c>
      <c r="BR64" s="563"/>
      <c r="BS64" s="563"/>
      <c r="BT64" s="563">
        <v>721516.91999999993</v>
      </c>
      <c r="BW64" s="126">
        <v>709</v>
      </c>
      <c r="BX64" s="125">
        <v>11001</v>
      </c>
      <c r="BY64" s="19" t="s">
        <v>26</v>
      </c>
      <c r="BZ64" t="s">
        <v>917</v>
      </c>
    </row>
    <row r="65" spans="1:78" x14ac:dyDescent="0.3">
      <c r="A65" s="436">
        <v>11001</v>
      </c>
      <c r="B65" s="19" t="s">
        <v>26</v>
      </c>
      <c r="C65" t="s">
        <v>406</v>
      </c>
      <c r="D65" s="563"/>
      <c r="E65" s="120"/>
      <c r="F65" s="563">
        <v>1217715.55</v>
      </c>
      <c r="G65" s="120">
        <v>2.2084642883980318E-3</v>
      </c>
      <c r="H65" s="563">
        <v>3538797.49</v>
      </c>
      <c r="I65" s="120">
        <v>1.2952329133476572E-2</v>
      </c>
      <c r="J65" s="563">
        <v>0</v>
      </c>
      <c r="K65" s="120">
        <v>0</v>
      </c>
      <c r="L65" s="563">
        <v>2322469.4500000002</v>
      </c>
      <c r="M65" s="120">
        <v>1.6093939158548284E-2</v>
      </c>
      <c r="N65" s="563">
        <v>12079050.98</v>
      </c>
      <c r="O65" s="120">
        <v>1.6354246612296876E-2</v>
      </c>
      <c r="P65" s="124">
        <v>19158033.469999999</v>
      </c>
      <c r="Q65" s="124"/>
      <c r="R65" s="563"/>
      <c r="S65" s="120"/>
      <c r="T65" s="373"/>
      <c r="U65" s="541">
        <v>709</v>
      </c>
      <c r="V65" s="540" t="s">
        <v>407</v>
      </c>
      <c r="W65" s="442" t="s">
        <v>26</v>
      </c>
      <c r="X65" s="552" t="s">
        <v>406</v>
      </c>
      <c r="Y65" s="563">
        <v>0</v>
      </c>
      <c r="Z65" s="563">
        <v>11099644.359999999</v>
      </c>
      <c r="AA65" s="563">
        <v>3202226.56</v>
      </c>
      <c r="AB65" s="563"/>
      <c r="AC65" s="563"/>
      <c r="AD65" s="563">
        <v>14301870.92</v>
      </c>
      <c r="AE65" s="124"/>
      <c r="AF65" s="541">
        <v>709</v>
      </c>
      <c r="AG65" s="540" t="s">
        <v>407</v>
      </c>
      <c r="AH65" s="442" t="s">
        <v>26</v>
      </c>
      <c r="AI65" s="552" t="s">
        <v>406</v>
      </c>
      <c r="AJ65" s="563">
        <v>0</v>
      </c>
      <c r="AK65" s="563">
        <v>12079050.98</v>
      </c>
      <c r="AL65" s="563">
        <v>3538797.49</v>
      </c>
      <c r="AM65" s="563"/>
      <c r="AN65" s="563"/>
      <c r="AO65" s="563">
        <v>15617848.470000001</v>
      </c>
      <c r="AR65" s="124">
        <f>+L65</f>
        <v>2322469.4500000002</v>
      </c>
      <c r="AS65" s="124">
        <f>+F65</f>
        <v>1217715.55</v>
      </c>
      <c r="AV65" s="372">
        <f t="shared" si="4"/>
        <v>3540185</v>
      </c>
      <c r="AW65" s="124">
        <f>+AV65+AO65-P65</f>
        <v>0</v>
      </c>
      <c r="AZ65" s="563">
        <v>0</v>
      </c>
      <c r="BA65" s="563">
        <v>299803.86</v>
      </c>
      <c r="BB65" s="563">
        <v>91118.450000000012</v>
      </c>
      <c r="BC65" s="563"/>
      <c r="BD65" s="563"/>
      <c r="BE65" s="563">
        <v>390922.31</v>
      </c>
      <c r="BF65" s="372"/>
      <c r="BO65" s="563">
        <v>0</v>
      </c>
      <c r="BP65" s="563">
        <v>25800968.649999999</v>
      </c>
      <c r="BQ65" s="563">
        <v>8049858.0500000007</v>
      </c>
      <c r="BR65" s="563"/>
      <c r="BS65" s="563"/>
      <c r="BT65" s="563">
        <v>33850826.700000003</v>
      </c>
      <c r="BW65" s="126">
        <v>648</v>
      </c>
      <c r="BX65" s="125">
        <v>11051</v>
      </c>
      <c r="BY65" s="19" t="s">
        <v>26</v>
      </c>
      <c r="BZ65" t="s">
        <v>892</v>
      </c>
    </row>
    <row r="66" spans="1:78" x14ac:dyDescent="0.3">
      <c r="A66" s="436">
        <v>11051</v>
      </c>
      <c r="B66" s="19" t="s">
        <v>26</v>
      </c>
      <c r="C66" t="s">
        <v>346</v>
      </c>
      <c r="D66" s="563"/>
      <c r="E66" s="120"/>
      <c r="F66" s="563">
        <v>160969.19</v>
      </c>
      <c r="G66" s="120">
        <v>2.9193575432896263E-4</v>
      </c>
      <c r="H66" s="563">
        <v>470495.70999999996</v>
      </c>
      <c r="I66" s="120">
        <v>1.722058215828774E-3</v>
      </c>
      <c r="J66" s="563">
        <v>34458.18</v>
      </c>
      <c r="K66" s="120">
        <v>2.3878370173364616E-4</v>
      </c>
      <c r="L66" s="563">
        <v>260056.15999999997</v>
      </c>
      <c r="M66" s="120">
        <v>1.8021025063841838E-3</v>
      </c>
      <c r="N66" s="563">
        <v>1345671.6600000001</v>
      </c>
      <c r="O66" s="120">
        <v>1.8219515939834965E-3</v>
      </c>
      <c r="P66" s="124">
        <v>2271650.9000000004</v>
      </c>
      <c r="Q66" s="124"/>
      <c r="R66" s="563"/>
      <c r="S66" s="120"/>
      <c r="T66" s="373"/>
      <c r="U66" s="541">
        <v>648</v>
      </c>
      <c r="V66" s="540" t="s">
        <v>347</v>
      </c>
      <c r="W66" s="442" t="s">
        <v>26</v>
      </c>
      <c r="X66" s="552" t="s">
        <v>346</v>
      </c>
      <c r="Y66" s="563">
        <v>21497.01</v>
      </c>
      <c r="Z66" s="563">
        <v>1379329.9100000001</v>
      </c>
      <c r="AA66" s="563">
        <v>435308.72</v>
      </c>
      <c r="AB66" s="563"/>
      <c r="AC66" s="563"/>
      <c r="AD66" s="563">
        <v>1836135.6400000001</v>
      </c>
      <c r="AE66" s="124"/>
      <c r="AF66" s="541">
        <v>648</v>
      </c>
      <c r="AG66" s="540" t="s">
        <v>347</v>
      </c>
      <c r="AH66" s="442" t="s">
        <v>26</v>
      </c>
      <c r="AI66" s="552" t="s">
        <v>346</v>
      </c>
      <c r="AJ66" s="563">
        <v>34458.18</v>
      </c>
      <c r="AK66" s="563">
        <v>1345671.6600000001</v>
      </c>
      <c r="AL66" s="563">
        <v>470495.70999999996</v>
      </c>
      <c r="AM66" s="563"/>
      <c r="AN66" s="563"/>
      <c r="AO66" s="563">
        <v>1850625.55</v>
      </c>
      <c r="AR66" s="124">
        <f>+L66</f>
        <v>260056.15999999997</v>
      </c>
      <c r="AS66" s="124">
        <f>+F66</f>
        <v>160969.19</v>
      </c>
      <c r="AV66" s="372">
        <f t="shared" si="4"/>
        <v>421025.35</v>
      </c>
      <c r="AW66" s="124">
        <f>+AV66+AO66-P66</f>
        <v>0</v>
      </c>
      <c r="AZ66" s="563">
        <v>716.49</v>
      </c>
      <c r="BA66" s="563">
        <v>33390.79</v>
      </c>
      <c r="BB66" s="563">
        <v>12126</v>
      </c>
      <c r="BC66" s="563"/>
      <c r="BD66" s="563"/>
      <c r="BE66" s="563">
        <v>46233.279999999999</v>
      </c>
      <c r="BF66" s="372"/>
      <c r="BO66" s="563">
        <v>56671.68</v>
      </c>
      <c r="BP66" s="563">
        <v>3018448.52</v>
      </c>
      <c r="BQ66" s="563">
        <v>1078899.6200000001</v>
      </c>
      <c r="BR66" s="563"/>
      <c r="BS66" s="563"/>
      <c r="BT66" s="563">
        <v>4154019.8200000003</v>
      </c>
      <c r="BW66" s="126">
        <v>932</v>
      </c>
      <c r="BX66" s="125">
        <v>11054</v>
      </c>
      <c r="BY66" s="19" t="s">
        <v>26</v>
      </c>
      <c r="BZ66" t="s">
        <v>971</v>
      </c>
    </row>
    <row r="67" spans="1:78" x14ac:dyDescent="0.3">
      <c r="A67" s="436">
        <v>11054</v>
      </c>
      <c r="B67" s="19" t="s">
        <v>26</v>
      </c>
      <c r="C67" t="s">
        <v>518</v>
      </c>
      <c r="D67" s="563"/>
      <c r="E67" s="120"/>
      <c r="F67" s="563">
        <v>1596.26</v>
      </c>
      <c r="G67" s="120">
        <v>2.8949972799462423E-6</v>
      </c>
      <c r="H67" s="563">
        <v>4729.22</v>
      </c>
      <c r="I67" s="120">
        <v>1.7309386637046604E-5</v>
      </c>
      <c r="J67" s="563">
        <v>0</v>
      </c>
      <c r="K67" s="120">
        <v>0</v>
      </c>
      <c r="L67" s="563">
        <v>2968.2</v>
      </c>
      <c r="M67" s="120">
        <v>2.0568636633908362E-5</v>
      </c>
      <c r="N67" s="563">
        <v>15390.48</v>
      </c>
      <c r="O67" s="120">
        <v>2.0837705364301958E-5</v>
      </c>
      <c r="P67" s="124">
        <v>24684.16</v>
      </c>
      <c r="Q67" s="124"/>
      <c r="R67" s="563"/>
      <c r="S67" s="120"/>
      <c r="T67" s="373"/>
      <c r="U67" s="541">
        <v>932</v>
      </c>
      <c r="V67" s="540" t="s">
        <v>519</v>
      </c>
      <c r="W67" s="442" t="s">
        <v>26</v>
      </c>
      <c r="X67" s="552" t="s">
        <v>518</v>
      </c>
      <c r="Y67" s="563">
        <v>0</v>
      </c>
      <c r="Z67" s="563">
        <v>17625.63</v>
      </c>
      <c r="AA67" s="563">
        <v>3047.14</v>
      </c>
      <c r="AB67" s="563"/>
      <c r="AC67" s="563"/>
      <c r="AD67" s="563">
        <v>20672.77</v>
      </c>
      <c r="AE67" s="124"/>
      <c r="AF67" s="541">
        <v>932</v>
      </c>
      <c r="AG67" s="540" t="s">
        <v>519</v>
      </c>
      <c r="AH67" s="442" t="s">
        <v>26</v>
      </c>
      <c r="AI67" s="552" t="s">
        <v>518</v>
      </c>
      <c r="AJ67" s="563">
        <v>0</v>
      </c>
      <c r="AK67" s="563">
        <v>15390.48</v>
      </c>
      <c r="AL67" s="563">
        <v>4729.22</v>
      </c>
      <c r="AM67" s="563"/>
      <c r="AN67" s="563"/>
      <c r="AO67" s="563">
        <v>20119.7</v>
      </c>
      <c r="AR67" s="124">
        <f>+L67</f>
        <v>2968.2</v>
      </c>
      <c r="AS67" s="124">
        <f>+F67</f>
        <v>1596.26</v>
      </c>
      <c r="AV67" s="372">
        <f t="shared" si="4"/>
        <v>4564.46</v>
      </c>
      <c r="AW67" s="124">
        <f>+AV67+AO67-P67</f>
        <v>0</v>
      </c>
      <c r="AZ67" s="563">
        <v>0</v>
      </c>
      <c r="BA67" s="563">
        <v>381.78999999999996</v>
      </c>
      <c r="BB67" s="563">
        <v>121.81</v>
      </c>
      <c r="BC67" s="563"/>
      <c r="BD67" s="563"/>
      <c r="BE67" s="563">
        <v>503.59999999999997</v>
      </c>
      <c r="BF67" s="372"/>
      <c r="BO67" s="563">
        <v>0</v>
      </c>
      <c r="BP67" s="563">
        <v>36366.1</v>
      </c>
      <c r="BQ67" s="563">
        <v>9494.43</v>
      </c>
      <c r="BR67" s="563"/>
      <c r="BS67" s="563"/>
      <c r="BT67" s="563">
        <v>45860.53</v>
      </c>
      <c r="BW67" s="126">
        <v>421</v>
      </c>
      <c r="BX67" s="125">
        <v>11056</v>
      </c>
      <c r="BY67" s="19" t="s">
        <v>26</v>
      </c>
      <c r="BZ67" t="s">
        <v>836</v>
      </c>
    </row>
    <row r="68" spans="1:78" x14ac:dyDescent="0.3">
      <c r="A68" s="436">
        <v>11056</v>
      </c>
      <c r="B68" s="19" t="s">
        <v>26</v>
      </c>
      <c r="C68" t="s">
        <v>232</v>
      </c>
      <c r="D68" s="563"/>
      <c r="E68" s="120"/>
      <c r="F68" s="563">
        <v>9937.26</v>
      </c>
      <c r="G68" s="120">
        <v>1.8022340138898798E-5</v>
      </c>
      <c r="H68" s="563">
        <v>29531.61</v>
      </c>
      <c r="I68" s="120">
        <v>1.0808844915323709E-4</v>
      </c>
      <c r="J68" s="563"/>
      <c r="K68" s="120"/>
      <c r="L68" s="563">
        <v>18556.169999999998</v>
      </c>
      <c r="M68" s="120">
        <v>1.2858807292198348E-4</v>
      </c>
      <c r="N68" s="563">
        <v>94325.28</v>
      </c>
      <c r="O68" s="120">
        <v>1.277102723921076E-4</v>
      </c>
      <c r="P68" s="124">
        <v>152350.32</v>
      </c>
      <c r="Q68" s="124"/>
      <c r="R68" s="563"/>
      <c r="S68" s="120"/>
      <c r="T68" s="373"/>
      <c r="U68" s="541">
        <v>421</v>
      </c>
      <c r="V68" s="540" t="s">
        <v>233</v>
      </c>
      <c r="W68" s="442" t="s">
        <v>26</v>
      </c>
      <c r="X68" s="552" t="s">
        <v>232</v>
      </c>
      <c r="Y68" s="563"/>
      <c r="Z68" s="563">
        <v>102151.47</v>
      </c>
      <c r="AA68" s="563">
        <v>28420.160000000003</v>
      </c>
      <c r="AB68" s="563"/>
      <c r="AC68" s="563"/>
      <c r="AD68" s="563">
        <v>130571.63</v>
      </c>
      <c r="AE68" s="124"/>
      <c r="AF68" s="541">
        <v>421</v>
      </c>
      <c r="AG68" s="540" t="s">
        <v>233</v>
      </c>
      <c r="AH68" s="442" t="s">
        <v>26</v>
      </c>
      <c r="AI68" s="552" t="s">
        <v>232</v>
      </c>
      <c r="AJ68" s="563"/>
      <c r="AK68" s="563">
        <v>94325.28</v>
      </c>
      <c r="AL68" s="563">
        <v>29531.61</v>
      </c>
      <c r="AM68" s="563"/>
      <c r="AN68" s="563"/>
      <c r="AO68" s="563">
        <v>123856.89</v>
      </c>
      <c r="AR68" s="124">
        <f>+L68</f>
        <v>18556.169999999998</v>
      </c>
      <c r="AS68" s="124">
        <f>+F68</f>
        <v>9937.26</v>
      </c>
      <c r="AV68" s="372">
        <f t="shared" si="4"/>
        <v>28493.43</v>
      </c>
      <c r="AW68" s="124">
        <f>+AV68+AO68-P68</f>
        <v>0</v>
      </c>
      <c r="AZ68" s="563"/>
      <c r="BA68" s="563">
        <v>2339.87</v>
      </c>
      <c r="BB68" s="563">
        <v>760.99</v>
      </c>
      <c r="BC68" s="563"/>
      <c r="BD68" s="563"/>
      <c r="BE68" s="563">
        <v>3100.8599999999997</v>
      </c>
      <c r="BF68" s="372"/>
      <c r="BO68" s="563"/>
      <c r="BP68" s="563">
        <v>217372.78999999998</v>
      </c>
      <c r="BQ68" s="563">
        <v>68650.02</v>
      </c>
      <c r="BR68" s="563"/>
      <c r="BS68" s="563"/>
      <c r="BT68" s="563">
        <v>286022.81</v>
      </c>
      <c r="BW68" s="126">
        <v>265</v>
      </c>
      <c r="BX68" s="125">
        <v>11801</v>
      </c>
      <c r="BY68" s="19">
        <v>123</v>
      </c>
      <c r="BZ68" t="s">
        <v>800</v>
      </c>
    </row>
    <row r="69" spans="1:78" x14ac:dyDescent="0.3">
      <c r="A69" s="436">
        <v>11801</v>
      </c>
      <c r="B69" s="19">
        <v>123</v>
      </c>
      <c r="C69" t="s">
        <v>158</v>
      </c>
      <c r="D69" s="563"/>
      <c r="E69" s="120"/>
      <c r="F69" s="563">
        <v>330862.15000000002</v>
      </c>
      <c r="G69" s="120">
        <v>6.0005577054312307E-4</v>
      </c>
      <c r="H69" s="563">
        <v>967447.41999999993</v>
      </c>
      <c r="I69" s="120">
        <v>3.5409478611257697E-3</v>
      </c>
      <c r="J69" s="563"/>
      <c r="K69" s="120"/>
      <c r="L69" s="563">
        <v>58774.080000000002</v>
      </c>
      <c r="M69" s="120">
        <v>4.0728478371142811E-4</v>
      </c>
      <c r="N69" s="563">
        <v>302967.98</v>
      </c>
      <c r="O69" s="120">
        <v>4.1019886982457518E-4</v>
      </c>
      <c r="P69" s="124">
        <v>1660051.63</v>
      </c>
      <c r="Q69" s="124"/>
      <c r="R69" s="563"/>
      <c r="S69" s="120"/>
      <c r="T69" s="373"/>
      <c r="U69" s="541">
        <v>265</v>
      </c>
      <c r="V69" s="540" t="s">
        <v>159</v>
      </c>
      <c r="W69" s="442">
        <v>123</v>
      </c>
      <c r="X69" s="552" t="s">
        <v>158</v>
      </c>
      <c r="Y69" s="563"/>
      <c r="Z69" s="563">
        <v>297462.45999999996</v>
      </c>
      <c r="AA69" s="563">
        <v>903447.6100000001</v>
      </c>
      <c r="AB69" s="563"/>
      <c r="AC69" s="563"/>
      <c r="AD69" s="563">
        <v>1200910.07</v>
      </c>
      <c r="AE69" s="124"/>
      <c r="AF69" s="541">
        <v>265</v>
      </c>
      <c r="AG69" s="540" t="s">
        <v>159</v>
      </c>
      <c r="AH69" s="442">
        <v>123</v>
      </c>
      <c r="AI69" s="552" t="s">
        <v>158</v>
      </c>
      <c r="AJ69" s="563"/>
      <c r="AK69" s="563">
        <v>302967.98</v>
      </c>
      <c r="AL69" s="563">
        <v>967447.41999999993</v>
      </c>
      <c r="AM69" s="563"/>
      <c r="AN69" s="563"/>
      <c r="AO69" s="563">
        <v>1270415.3999999999</v>
      </c>
      <c r="AR69" s="124">
        <f>+L69</f>
        <v>58774.080000000002</v>
      </c>
      <c r="AS69" s="124">
        <f>+F69</f>
        <v>330862.15000000002</v>
      </c>
      <c r="AV69" s="372">
        <f t="shared" si="4"/>
        <v>389636.23000000004</v>
      </c>
      <c r="AW69" s="124">
        <f>+AV69+AO69-P69</f>
        <v>0</v>
      </c>
      <c r="AZ69" s="563"/>
      <c r="BA69" s="563">
        <v>7517.7099999999991</v>
      </c>
      <c r="BB69" s="563">
        <v>24933.989999999998</v>
      </c>
      <c r="BC69" s="563"/>
      <c r="BD69" s="563"/>
      <c r="BE69" s="563">
        <v>32451.699999999997</v>
      </c>
      <c r="BF69" s="372"/>
      <c r="BO69" s="563"/>
      <c r="BP69" s="563">
        <v>666722.23</v>
      </c>
      <c r="BQ69" s="563">
        <v>2226691.17</v>
      </c>
      <c r="BR69" s="563"/>
      <c r="BS69" s="563"/>
      <c r="BT69" s="563">
        <v>2893413.4</v>
      </c>
      <c r="BW69" s="126">
        <v>750</v>
      </c>
      <c r="BX69" s="125">
        <v>12110</v>
      </c>
      <c r="BY69" s="19" t="s">
        <v>26</v>
      </c>
      <c r="BZ69" t="s">
        <v>923</v>
      </c>
    </row>
    <row r="70" spans="1:78" x14ac:dyDescent="0.3">
      <c r="A70" s="436">
        <v>12110</v>
      </c>
      <c r="B70" s="19" t="s">
        <v>26</v>
      </c>
      <c r="C70" t="s">
        <v>418</v>
      </c>
      <c r="D70" s="563"/>
      <c r="E70" s="120"/>
      <c r="F70" s="563">
        <v>38689.120000000003</v>
      </c>
      <c r="G70" s="120">
        <v>7.0167076267972495E-5</v>
      </c>
      <c r="H70" s="563">
        <v>112817.51000000001</v>
      </c>
      <c r="I70" s="120">
        <v>4.129226172643421E-4</v>
      </c>
      <c r="J70" s="563">
        <v>0</v>
      </c>
      <c r="K70" s="120">
        <v>0</v>
      </c>
      <c r="L70" s="563">
        <v>36430.83</v>
      </c>
      <c r="M70" s="120">
        <v>2.5245350870618148E-4</v>
      </c>
      <c r="N70" s="563">
        <v>188654.83000000002</v>
      </c>
      <c r="O70" s="120">
        <v>2.5542632608550702E-4</v>
      </c>
      <c r="P70" s="124">
        <v>376592.29000000004</v>
      </c>
      <c r="Q70" s="124"/>
      <c r="R70" s="563"/>
      <c r="S70" s="120"/>
      <c r="T70" s="373"/>
      <c r="U70" s="541">
        <v>750</v>
      </c>
      <c r="V70" s="540" t="s">
        <v>419</v>
      </c>
      <c r="W70" s="442" t="s">
        <v>26</v>
      </c>
      <c r="X70" s="552" t="s">
        <v>418</v>
      </c>
      <c r="Y70" s="563">
        <v>0</v>
      </c>
      <c r="Z70" s="563">
        <v>192227.14</v>
      </c>
      <c r="AA70" s="563">
        <v>100329.34</v>
      </c>
      <c r="AB70" s="563"/>
      <c r="AC70" s="563"/>
      <c r="AD70" s="563">
        <v>292556.48</v>
      </c>
      <c r="AE70" s="124"/>
      <c r="AF70" s="541">
        <v>750</v>
      </c>
      <c r="AG70" s="540" t="s">
        <v>419</v>
      </c>
      <c r="AH70" s="442" t="s">
        <v>26</v>
      </c>
      <c r="AI70" s="552" t="s">
        <v>418</v>
      </c>
      <c r="AJ70" s="563">
        <v>0</v>
      </c>
      <c r="AK70" s="563">
        <v>188654.83000000002</v>
      </c>
      <c r="AL70" s="563">
        <v>112817.51000000001</v>
      </c>
      <c r="AM70" s="563"/>
      <c r="AN70" s="563"/>
      <c r="AO70" s="563">
        <v>301472.34000000003</v>
      </c>
      <c r="AR70" s="124">
        <f>+L70</f>
        <v>36430.83</v>
      </c>
      <c r="AS70" s="124">
        <f>+F70</f>
        <v>38689.120000000003</v>
      </c>
      <c r="AV70" s="372">
        <f t="shared" si="4"/>
        <v>75119.950000000012</v>
      </c>
      <c r="AW70" s="124">
        <f>+AV70+AO70-P70</f>
        <v>0</v>
      </c>
      <c r="AZ70" s="563">
        <v>0</v>
      </c>
      <c r="BA70" s="563">
        <v>4681.12</v>
      </c>
      <c r="BB70" s="563">
        <v>2907.5</v>
      </c>
      <c r="BC70" s="563"/>
      <c r="BD70" s="563"/>
      <c r="BE70" s="563">
        <v>7588.62</v>
      </c>
      <c r="BF70" s="372"/>
      <c r="BO70" s="563">
        <v>0</v>
      </c>
      <c r="BP70" s="563">
        <v>421993.92</v>
      </c>
      <c r="BQ70" s="563">
        <v>254743.47</v>
      </c>
      <c r="BR70" s="563"/>
      <c r="BS70" s="563"/>
      <c r="BT70" s="563">
        <v>676737.39</v>
      </c>
      <c r="BW70" s="126">
        <v>1044</v>
      </c>
      <c r="BX70" s="125">
        <v>13073</v>
      </c>
      <c r="BY70" s="19" t="s">
        <v>45</v>
      </c>
      <c r="BZ70" t="s">
        <v>998</v>
      </c>
    </row>
    <row r="71" spans="1:78" x14ac:dyDescent="0.3">
      <c r="A71" s="436">
        <v>13073</v>
      </c>
      <c r="B71" s="19" t="s">
        <v>45</v>
      </c>
      <c r="C71" t="s">
        <v>578</v>
      </c>
      <c r="D71" s="563"/>
      <c r="E71" s="120"/>
      <c r="F71" s="563">
        <v>215694.94</v>
      </c>
      <c r="G71" s="120">
        <v>3.9118706513861649E-4</v>
      </c>
      <c r="H71" s="563">
        <v>635159.75</v>
      </c>
      <c r="I71" s="120">
        <v>2.3247439723759651E-3</v>
      </c>
      <c r="J71" s="563"/>
      <c r="K71" s="120"/>
      <c r="L71" s="563">
        <v>253718.53</v>
      </c>
      <c r="M71" s="120">
        <v>1.758184842955117E-3</v>
      </c>
      <c r="N71" s="563">
        <v>1303425.05</v>
      </c>
      <c r="O71" s="120">
        <v>1.7647524415320736E-3</v>
      </c>
      <c r="P71" s="124">
        <v>2407998.27</v>
      </c>
      <c r="Q71" s="124"/>
      <c r="R71" s="563"/>
      <c r="S71" s="120"/>
      <c r="T71" s="373"/>
      <c r="U71" s="541">
        <v>1044</v>
      </c>
      <c r="V71" s="540" t="s">
        <v>579</v>
      </c>
      <c r="W71" s="442" t="s">
        <v>45</v>
      </c>
      <c r="X71" s="552" t="s">
        <v>578</v>
      </c>
      <c r="Y71" s="563"/>
      <c r="Z71" s="563">
        <v>1199204.6200000001</v>
      </c>
      <c r="AA71" s="563">
        <v>572748.41</v>
      </c>
      <c r="AB71" s="563"/>
      <c r="AC71" s="563"/>
      <c r="AD71" s="563">
        <v>1771953.0300000003</v>
      </c>
      <c r="AE71" s="124"/>
      <c r="AF71" s="541">
        <v>1044</v>
      </c>
      <c r="AG71" s="540" t="s">
        <v>579</v>
      </c>
      <c r="AH71" s="442" t="s">
        <v>45</v>
      </c>
      <c r="AI71" s="552" t="s">
        <v>578</v>
      </c>
      <c r="AJ71" s="563"/>
      <c r="AK71" s="563">
        <v>1303425.05</v>
      </c>
      <c r="AL71" s="563">
        <v>635159.75</v>
      </c>
      <c r="AM71" s="563"/>
      <c r="AN71" s="563"/>
      <c r="AO71" s="563">
        <v>1938584.8</v>
      </c>
      <c r="AR71" s="124">
        <f>+L71</f>
        <v>253718.53</v>
      </c>
      <c r="AS71" s="124">
        <f>+F71</f>
        <v>215694.94</v>
      </c>
      <c r="AV71" s="372">
        <f t="shared" si="4"/>
        <v>469413.47</v>
      </c>
      <c r="AW71" s="124">
        <f>+AV71+AO71-P71</f>
        <v>0</v>
      </c>
      <c r="AZ71" s="563"/>
      <c r="BA71" s="563">
        <v>32342.74</v>
      </c>
      <c r="BB71" s="563">
        <v>16369.900000000001</v>
      </c>
      <c r="BC71" s="563"/>
      <c r="BD71" s="563"/>
      <c r="BE71" s="563">
        <v>48712.639999999999</v>
      </c>
      <c r="BF71" s="372"/>
      <c r="BO71" s="563"/>
      <c r="BP71" s="563">
        <v>2788690.94</v>
      </c>
      <c r="BQ71" s="563">
        <v>1439973</v>
      </c>
      <c r="BR71" s="563"/>
      <c r="BS71" s="563"/>
      <c r="BT71" s="563">
        <v>4228663.9399999995</v>
      </c>
      <c r="BW71" s="126">
        <v>790</v>
      </c>
      <c r="BX71" s="125">
        <v>13144</v>
      </c>
      <c r="BY71" s="19" t="s">
        <v>55</v>
      </c>
      <c r="BZ71" t="s">
        <v>934</v>
      </c>
    </row>
    <row r="72" spans="1:78" x14ac:dyDescent="0.3">
      <c r="A72" s="436">
        <v>13144</v>
      </c>
      <c r="B72" s="19" t="s">
        <v>55</v>
      </c>
      <c r="C72" t="s">
        <v>442</v>
      </c>
      <c r="D72" s="563"/>
      <c r="E72" s="120"/>
      <c r="F72" s="563">
        <v>243324.74</v>
      </c>
      <c r="G72" s="120">
        <v>4.412968190918939E-4</v>
      </c>
      <c r="H72" s="563">
        <v>722043.6</v>
      </c>
      <c r="I72" s="120">
        <v>2.6427469733285875E-3</v>
      </c>
      <c r="J72" s="563"/>
      <c r="K72" s="120"/>
      <c r="L72" s="563">
        <v>401946.35</v>
      </c>
      <c r="M72" s="120">
        <v>2.7853542279751204E-3</v>
      </c>
      <c r="N72" s="563">
        <v>2032513.62</v>
      </c>
      <c r="O72" s="120">
        <v>2.7518907767977861E-3</v>
      </c>
      <c r="P72" s="124">
        <v>3399828.31</v>
      </c>
      <c r="Q72" s="124"/>
      <c r="R72" s="563"/>
      <c r="S72" s="120"/>
      <c r="T72" s="373"/>
      <c r="U72" s="541">
        <v>790</v>
      </c>
      <c r="V72" s="540" t="s">
        <v>443</v>
      </c>
      <c r="W72" s="442" t="s">
        <v>55</v>
      </c>
      <c r="X72" s="552" t="s">
        <v>442</v>
      </c>
      <c r="Y72" s="563"/>
      <c r="Z72" s="563">
        <v>1791775.58</v>
      </c>
      <c r="AA72" s="563">
        <v>636365.26</v>
      </c>
      <c r="AB72" s="563"/>
      <c r="AC72" s="563"/>
      <c r="AD72" s="563">
        <v>2428140.84</v>
      </c>
      <c r="AE72" s="124"/>
      <c r="AF72" s="541">
        <v>790</v>
      </c>
      <c r="AG72" s="540" t="s">
        <v>443</v>
      </c>
      <c r="AH72" s="442" t="s">
        <v>55</v>
      </c>
      <c r="AI72" s="552" t="s">
        <v>442</v>
      </c>
      <c r="AJ72" s="563"/>
      <c r="AK72" s="563">
        <v>2032513.62</v>
      </c>
      <c r="AL72" s="563">
        <v>722043.6</v>
      </c>
      <c r="AM72" s="563"/>
      <c r="AN72" s="563"/>
      <c r="AO72" s="563">
        <v>2754557.22</v>
      </c>
      <c r="AR72" s="124">
        <f>+L72</f>
        <v>401946.35</v>
      </c>
      <c r="AS72" s="124">
        <f>+F72</f>
        <v>243324.74</v>
      </c>
      <c r="AV72" s="372">
        <f t="shared" ref="AV72:AV135" si="6">SUM(AQ72:AU72)</f>
        <v>645271.09</v>
      </c>
      <c r="AW72" s="124">
        <f>+AV72+AO72-P72</f>
        <v>0</v>
      </c>
      <c r="AZ72" s="563"/>
      <c r="BA72" s="563">
        <v>50403.979999999996</v>
      </c>
      <c r="BB72" s="563">
        <v>18677.800000000003</v>
      </c>
      <c r="BC72" s="563"/>
      <c r="BD72" s="563"/>
      <c r="BE72" s="563">
        <v>69081.78</v>
      </c>
      <c r="BF72" s="372"/>
      <c r="BO72" s="563"/>
      <c r="BP72" s="563">
        <v>4276639.53</v>
      </c>
      <c r="BQ72" s="563">
        <v>1620411.4</v>
      </c>
      <c r="BR72" s="563"/>
      <c r="BS72" s="563"/>
      <c r="BT72" s="563">
        <v>5897050.9299999997</v>
      </c>
      <c r="BW72" s="126">
        <v>1059</v>
      </c>
      <c r="BX72" s="125">
        <v>13146</v>
      </c>
      <c r="BY72" s="19" t="s">
        <v>55</v>
      </c>
      <c r="BZ72" t="s">
        <v>1002</v>
      </c>
    </row>
    <row r="73" spans="1:78" x14ac:dyDescent="0.3">
      <c r="A73" s="436">
        <v>13146</v>
      </c>
      <c r="B73" s="19" t="s">
        <v>55</v>
      </c>
      <c r="C73" t="s">
        <v>586</v>
      </c>
      <c r="D73" s="563">
        <v>3643.94</v>
      </c>
      <c r="E73" s="120">
        <v>6.6086955685711043E-6</v>
      </c>
      <c r="F73" s="563">
        <v>68692.679999999993</v>
      </c>
      <c r="G73" s="120">
        <v>1.2458191131282974E-4</v>
      </c>
      <c r="H73" s="563">
        <v>202322.55</v>
      </c>
      <c r="I73" s="120">
        <v>7.4051941828529727E-4</v>
      </c>
      <c r="J73" s="563"/>
      <c r="K73" s="120"/>
      <c r="L73" s="563">
        <v>105935.48999999999</v>
      </c>
      <c r="M73" s="120">
        <v>7.3409763508019445E-4</v>
      </c>
      <c r="N73" s="563">
        <v>543072.38</v>
      </c>
      <c r="O73" s="120">
        <v>7.3528455551290358E-4</v>
      </c>
      <c r="P73" s="124">
        <v>923667.04</v>
      </c>
      <c r="Q73" s="124"/>
      <c r="R73" s="563"/>
      <c r="S73" s="120"/>
      <c r="T73" s="373"/>
      <c r="U73" s="541">
        <v>1059</v>
      </c>
      <c r="V73" s="540" t="s">
        <v>587</v>
      </c>
      <c r="W73" s="442" t="s">
        <v>55</v>
      </c>
      <c r="X73" s="552" t="s">
        <v>586</v>
      </c>
      <c r="Y73" s="563"/>
      <c r="Z73" s="563">
        <v>527427.18000000005</v>
      </c>
      <c r="AA73" s="563">
        <v>190019.87</v>
      </c>
      <c r="AB73" s="563">
        <v>2435.7399999999998</v>
      </c>
      <c r="AC73" s="563"/>
      <c r="AD73" s="563">
        <v>719882.79</v>
      </c>
      <c r="AE73" s="124"/>
      <c r="AF73" s="541">
        <v>1059</v>
      </c>
      <c r="AG73" s="540" t="s">
        <v>587</v>
      </c>
      <c r="AH73" s="442" t="s">
        <v>55</v>
      </c>
      <c r="AI73" s="552" t="s">
        <v>586</v>
      </c>
      <c r="AJ73" s="563"/>
      <c r="AK73" s="563">
        <v>543072.38</v>
      </c>
      <c r="AL73" s="563">
        <v>202322.55</v>
      </c>
      <c r="AM73" s="563">
        <v>3643.94</v>
      </c>
      <c r="AN73" s="563"/>
      <c r="AO73" s="563">
        <v>749038.87</v>
      </c>
      <c r="AR73" s="124">
        <f>+L73</f>
        <v>105935.48999999999</v>
      </c>
      <c r="AS73" s="124">
        <f>+F73</f>
        <v>68692.679999999993</v>
      </c>
      <c r="AV73" s="372">
        <f t="shared" si="6"/>
        <v>174628.16999999998</v>
      </c>
      <c r="AW73" s="124">
        <f>+AV73+AO73-P73</f>
        <v>0</v>
      </c>
      <c r="AZ73" s="563"/>
      <c r="BA73" s="563">
        <v>13469.869999999999</v>
      </c>
      <c r="BB73" s="563">
        <v>5214.37</v>
      </c>
      <c r="BC73" s="563">
        <v>81.11</v>
      </c>
      <c r="BD73" s="563"/>
      <c r="BE73" s="563">
        <v>18765.349999999999</v>
      </c>
      <c r="BF73" s="372"/>
      <c r="BO73" s="563"/>
      <c r="BP73" s="563">
        <v>1189904.92</v>
      </c>
      <c r="BQ73" s="563">
        <v>466249.47</v>
      </c>
      <c r="BR73" s="563">
        <v>6160.79</v>
      </c>
      <c r="BS73" s="563"/>
      <c r="BT73" s="563">
        <v>1662315.18</v>
      </c>
      <c r="BW73" s="126">
        <v>197</v>
      </c>
      <c r="BX73" s="125">
        <v>13151</v>
      </c>
      <c r="BY73" s="19" t="s">
        <v>55</v>
      </c>
      <c r="BZ73" t="s">
        <v>778</v>
      </c>
    </row>
    <row r="74" spans="1:78" x14ac:dyDescent="0.3">
      <c r="A74" s="436">
        <v>13151</v>
      </c>
      <c r="B74" s="19" t="s">
        <v>55</v>
      </c>
      <c r="C74" t="s">
        <v>114</v>
      </c>
      <c r="D74" s="563">
        <v>2288</v>
      </c>
      <c r="E74" s="120">
        <v>4.1495456733345456E-6</v>
      </c>
      <c r="F74" s="563">
        <v>18382.98</v>
      </c>
      <c r="G74" s="120">
        <v>3.3339604511361664E-5</v>
      </c>
      <c r="H74" s="563">
        <v>53754.14</v>
      </c>
      <c r="I74" s="120">
        <v>1.967451699438665E-4</v>
      </c>
      <c r="J74" s="563"/>
      <c r="K74" s="120"/>
      <c r="L74" s="563">
        <v>27233.45</v>
      </c>
      <c r="M74" s="120">
        <v>1.8871873099444503E-4</v>
      </c>
      <c r="N74" s="563">
        <v>140569.12</v>
      </c>
      <c r="O74" s="120">
        <v>1.9032141335937578E-4</v>
      </c>
      <c r="P74" s="124">
        <v>242227.69</v>
      </c>
      <c r="Q74" s="124"/>
      <c r="R74" s="563"/>
      <c r="S74" s="120"/>
      <c r="T74" s="373"/>
      <c r="U74" s="541">
        <v>197</v>
      </c>
      <c r="V74" s="540" t="s">
        <v>115</v>
      </c>
      <c r="W74" s="442" t="s">
        <v>55</v>
      </c>
      <c r="X74" s="552" t="s">
        <v>114</v>
      </c>
      <c r="Y74" s="563"/>
      <c r="Z74" s="563">
        <v>136711.03</v>
      </c>
      <c r="AA74" s="563">
        <v>52672.619999999995</v>
      </c>
      <c r="AB74" s="563">
        <v>1526.35</v>
      </c>
      <c r="AC74" s="563"/>
      <c r="AD74" s="563">
        <v>190910</v>
      </c>
      <c r="AE74" s="124"/>
      <c r="AF74" s="541">
        <v>197</v>
      </c>
      <c r="AG74" s="540" t="s">
        <v>115</v>
      </c>
      <c r="AH74" s="442" t="s">
        <v>55</v>
      </c>
      <c r="AI74" s="552" t="s">
        <v>114</v>
      </c>
      <c r="AJ74" s="563"/>
      <c r="AK74" s="563">
        <v>140569.12</v>
      </c>
      <c r="AL74" s="563">
        <v>53754.14</v>
      </c>
      <c r="AM74" s="563">
        <v>2288</v>
      </c>
      <c r="AN74" s="563"/>
      <c r="AO74" s="563">
        <v>196611.26</v>
      </c>
      <c r="AR74" s="124">
        <f>+L74</f>
        <v>27233.45</v>
      </c>
      <c r="AS74" s="124">
        <f>+F74</f>
        <v>18382.98</v>
      </c>
      <c r="AV74" s="372">
        <f t="shared" si="6"/>
        <v>45616.43</v>
      </c>
      <c r="AW74" s="124">
        <f>+AV74+AO74-P74</f>
        <v>0</v>
      </c>
      <c r="AZ74" s="563"/>
      <c r="BA74" s="563">
        <v>3487.91</v>
      </c>
      <c r="BB74" s="563">
        <v>1385.26</v>
      </c>
      <c r="BC74" s="563">
        <v>50.79</v>
      </c>
      <c r="BD74" s="563"/>
      <c r="BE74" s="563">
        <v>4923.96</v>
      </c>
      <c r="BF74" s="372"/>
      <c r="BO74" s="563"/>
      <c r="BP74" s="563">
        <v>308001.51</v>
      </c>
      <c r="BQ74" s="563">
        <v>126195</v>
      </c>
      <c r="BR74" s="563">
        <v>3865.14</v>
      </c>
      <c r="BS74" s="563"/>
      <c r="BT74" s="563">
        <v>438061.65</v>
      </c>
      <c r="BW74" s="126">
        <v>905</v>
      </c>
      <c r="BX74" s="125">
        <v>13156</v>
      </c>
      <c r="BY74" s="19" t="s">
        <v>55</v>
      </c>
      <c r="BZ74" t="s">
        <v>964</v>
      </c>
    </row>
    <row r="75" spans="1:78" x14ac:dyDescent="0.3">
      <c r="A75" s="436">
        <v>13156</v>
      </c>
      <c r="B75" s="19" t="s">
        <v>55</v>
      </c>
      <c r="C75" t="s">
        <v>502</v>
      </c>
      <c r="D75" s="563"/>
      <c r="E75" s="120"/>
      <c r="F75" s="563">
        <v>51363.58</v>
      </c>
      <c r="G75" s="120">
        <v>9.315363686886924E-5</v>
      </c>
      <c r="H75" s="563">
        <v>150508.46000000002</v>
      </c>
      <c r="I75" s="120">
        <v>5.5087501243047769E-4</v>
      </c>
      <c r="J75" s="563">
        <v>0</v>
      </c>
      <c r="K75" s="120">
        <v>0</v>
      </c>
      <c r="L75" s="563">
        <v>55860.79</v>
      </c>
      <c r="M75" s="120">
        <v>3.870966550748137E-4</v>
      </c>
      <c r="N75" s="563">
        <v>288075.08</v>
      </c>
      <c r="O75" s="120">
        <v>3.9003485530261019E-4</v>
      </c>
      <c r="P75" s="124">
        <v>545807.91</v>
      </c>
      <c r="Q75" s="124"/>
      <c r="R75" s="563"/>
      <c r="S75" s="120"/>
      <c r="T75" s="373"/>
      <c r="U75" s="541">
        <v>905</v>
      </c>
      <c r="V75" s="540" t="s">
        <v>503</v>
      </c>
      <c r="W75" s="442" t="s">
        <v>55</v>
      </c>
      <c r="X75" s="552" t="s">
        <v>502</v>
      </c>
      <c r="Y75" s="563">
        <v>0</v>
      </c>
      <c r="Z75" s="563">
        <v>246765.06</v>
      </c>
      <c r="AA75" s="563">
        <v>149670.78</v>
      </c>
      <c r="AB75" s="563"/>
      <c r="AC75" s="563"/>
      <c r="AD75" s="563">
        <v>396435.83999999997</v>
      </c>
      <c r="AE75" s="124"/>
      <c r="AF75" s="541">
        <v>905</v>
      </c>
      <c r="AG75" s="540" t="s">
        <v>503</v>
      </c>
      <c r="AH75" s="442" t="s">
        <v>55</v>
      </c>
      <c r="AI75" s="552" t="s">
        <v>502</v>
      </c>
      <c r="AJ75" s="563">
        <v>0</v>
      </c>
      <c r="AK75" s="563">
        <v>288075.08</v>
      </c>
      <c r="AL75" s="563">
        <v>150508.46000000002</v>
      </c>
      <c r="AM75" s="563"/>
      <c r="AN75" s="563"/>
      <c r="AO75" s="563">
        <v>438583.54000000004</v>
      </c>
      <c r="AR75" s="124">
        <f>+L75</f>
        <v>55860.79</v>
      </c>
      <c r="AS75" s="124">
        <f>+F75</f>
        <v>51363.58</v>
      </c>
      <c r="AV75" s="372">
        <f t="shared" si="6"/>
        <v>107224.37</v>
      </c>
      <c r="AW75" s="124">
        <f>+AV75+AO75-P75</f>
        <v>0</v>
      </c>
      <c r="AZ75" s="563">
        <v>0</v>
      </c>
      <c r="BA75" s="563">
        <v>7147.26</v>
      </c>
      <c r="BB75" s="563">
        <v>3878.91</v>
      </c>
      <c r="BC75" s="563"/>
      <c r="BD75" s="563"/>
      <c r="BE75" s="563">
        <v>11026.17</v>
      </c>
      <c r="BF75" s="372"/>
      <c r="BO75" s="563">
        <v>0</v>
      </c>
      <c r="BP75" s="563">
        <v>597848.18999999994</v>
      </c>
      <c r="BQ75" s="563">
        <v>355421.73</v>
      </c>
      <c r="BR75" s="563"/>
      <c r="BS75" s="563"/>
      <c r="BT75" s="563">
        <v>953269.91999999993</v>
      </c>
      <c r="BW75" s="126">
        <v>825</v>
      </c>
      <c r="BX75" s="125">
        <v>13160</v>
      </c>
      <c r="BY75" s="19" t="s">
        <v>45</v>
      </c>
      <c r="BZ75" t="s">
        <v>948</v>
      </c>
    </row>
    <row r="76" spans="1:78" x14ac:dyDescent="0.3">
      <c r="A76" s="436">
        <v>13160</v>
      </c>
      <c r="B76" s="19" t="s">
        <v>45</v>
      </c>
      <c r="C76" t="s">
        <v>470</v>
      </c>
      <c r="D76" s="563">
        <v>693.97</v>
      </c>
      <c r="E76" s="120">
        <v>1.2585927495297094E-6</v>
      </c>
      <c r="F76" s="563">
        <v>140097.60999999999</v>
      </c>
      <c r="G76" s="120">
        <v>2.5408279345280182E-4</v>
      </c>
      <c r="H76" s="563">
        <v>410506.47</v>
      </c>
      <c r="I76" s="120">
        <v>1.5024919978853114E-3</v>
      </c>
      <c r="J76" s="563">
        <v>14010.23</v>
      </c>
      <c r="K76" s="120">
        <v>9.7086223983384532E-5</v>
      </c>
      <c r="L76" s="563">
        <v>198303.15000000002</v>
      </c>
      <c r="M76" s="120">
        <v>1.3741747307153918E-3</v>
      </c>
      <c r="N76" s="563">
        <v>1030892.24</v>
      </c>
      <c r="O76" s="120">
        <v>1.3957608053462439E-3</v>
      </c>
      <c r="P76" s="124">
        <v>1794503.67</v>
      </c>
      <c r="Q76" s="124"/>
      <c r="R76" s="563"/>
      <c r="S76" s="120"/>
      <c r="T76" s="373"/>
      <c r="U76" s="541">
        <v>825</v>
      </c>
      <c r="V76" s="540" t="s">
        <v>471</v>
      </c>
      <c r="W76" s="442" t="s">
        <v>45</v>
      </c>
      <c r="X76" s="552" t="s">
        <v>470</v>
      </c>
      <c r="Y76" s="563">
        <v>8832.92</v>
      </c>
      <c r="Z76" s="563">
        <v>930712.77</v>
      </c>
      <c r="AA76" s="563">
        <v>347695.41</v>
      </c>
      <c r="AB76" s="563">
        <v>329.16</v>
      </c>
      <c r="AC76" s="563"/>
      <c r="AD76" s="563">
        <v>1287570.26</v>
      </c>
      <c r="AE76" s="124"/>
      <c r="AF76" s="541">
        <v>825</v>
      </c>
      <c r="AG76" s="540" t="s">
        <v>471</v>
      </c>
      <c r="AH76" s="442" t="s">
        <v>45</v>
      </c>
      <c r="AI76" s="552" t="s">
        <v>470</v>
      </c>
      <c r="AJ76" s="563">
        <v>14010.23</v>
      </c>
      <c r="AK76" s="563">
        <v>1030892.24</v>
      </c>
      <c r="AL76" s="563">
        <v>410506.47</v>
      </c>
      <c r="AM76" s="563">
        <v>693.97</v>
      </c>
      <c r="AN76" s="563"/>
      <c r="AO76" s="563">
        <v>1456102.91</v>
      </c>
      <c r="AR76" s="124">
        <f>+L76</f>
        <v>198303.15000000002</v>
      </c>
      <c r="AS76" s="124">
        <f>+F76</f>
        <v>140097.60999999999</v>
      </c>
      <c r="AV76" s="372">
        <f t="shared" si="6"/>
        <v>338400.76</v>
      </c>
      <c r="AW76" s="124">
        <f>+AV76+AO76-P76</f>
        <v>0</v>
      </c>
      <c r="AZ76" s="563">
        <v>289.99</v>
      </c>
      <c r="BA76" s="563">
        <v>25584.18</v>
      </c>
      <c r="BB76" s="563">
        <v>10580.279999999999</v>
      </c>
      <c r="BC76" s="563">
        <v>9.8699999999999992</v>
      </c>
      <c r="BD76" s="563"/>
      <c r="BE76" s="563">
        <v>36464.32</v>
      </c>
      <c r="BF76" s="372"/>
      <c r="BO76" s="563">
        <v>23133.14</v>
      </c>
      <c r="BP76" s="563">
        <v>2185492.34</v>
      </c>
      <c r="BQ76" s="563">
        <v>908879.77</v>
      </c>
      <c r="BR76" s="563">
        <v>1033</v>
      </c>
      <c r="BS76" s="563"/>
      <c r="BT76" s="563">
        <v>3118538.25</v>
      </c>
      <c r="BW76" s="126">
        <v>611</v>
      </c>
      <c r="BX76" s="125">
        <v>13161</v>
      </c>
      <c r="BY76" s="19" t="s">
        <v>55</v>
      </c>
      <c r="BZ76" t="s">
        <v>876</v>
      </c>
    </row>
    <row r="77" spans="1:78" x14ac:dyDescent="0.3">
      <c r="A77" s="436">
        <v>13161</v>
      </c>
      <c r="B77" s="19" t="s">
        <v>55</v>
      </c>
      <c r="C77" t="s">
        <v>314</v>
      </c>
      <c r="D77" s="563"/>
      <c r="E77" s="120"/>
      <c r="F77" s="563">
        <v>503367.18999999994</v>
      </c>
      <c r="G77" s="120">
        <v>9.1291308800833392E-4</v>
      </c>
      <c r="H77" s="563">
        <v>1479781.3900000001</v>
      </c>
      <c r="I77" s="120">
        <v>5.4161380138408139E-3</v>
      </c>
      <c r="J77" s="563">
        <v>10649.98</v>
      </c>
      <c r="K77" s="120">
        <v>7.3800811528330773E-5</v>
      </c>
      <c r="L77" s="563">
        <v>948496.83</v>
      </c>
      <c r="M77" s="120">
        <v>6.5727668771255153E-3</v>
      </c>
      <c r="N77" s="563">
        <v>4825568.82</v>
      </c>
      <c r="O77" s="120">
        <v>6.5335052114243531E-3</v>
      </c>
      <c r="P77" s="124">
        <v>7767864.2100000009</v>
      </c>
      <c r="Q77" s="124"/>
      <c r="R77" s="563"/>
      <c r="S77" s="120"/>
      <c r="T77" s="373"/>
      <c r="U77" s="541">
        <v>611</v>
      </c>
      <c r="V77" s="540" t="s">
        <v>315</v>
      </c>
      <c r="W77" s="442" t="s">
        <v>55</v>
      </c>
      <c r="X77" s="552" t="s">
        <v>314</v>
      </c>
      <c r="Y77" s="563">
        <v>6624.5</v>
      </c>
      <c r="Z77" s="563">
        <v>4408102.7799999993</v>
      </c>
      <c r="AA77" s="563">
        <v>1360427</v>
      </c>
      <c r="AB77" s="563"/>
      <c r="AC77" s="563"/>
      <c r="AD77" s="563">
        <v>5775154.2799999993</v>
      </c>
      <c r="AE77" s="124"/>
      <c r="AF77" s="541">
        <v>611</v>
      </c>
      <c r="AG77" s="540" t="s">
        <v>315</v>
      </c>
      <c r="AH77" s="442" t="s">
        <v>55</v>
      </c>
      <c r="AI77" s="552" t="s">
        <v>314</v>
      </c>
      <c r="AJ77" s="563">
        <v>10649.98</v>
      </c>
      <c r="AK77" s="563">
        <v>4825568.82</v>
      </c>
      <c r="AL77" s="563">
        <v>1479781.3900000001</v>
      </c>
      <c r="AM77" s="563"/>
      <c r="AN77" s="563"/>
      <c r="AO77" s="563">
        <v>6316000.1900000004</v>
      </c>
      <c r="AR77" s="124">
        <f>+L77</f>
        <v>948496.83</v>
      </c>
      <c r="AS77" s="124">
        <f>+F77</f>
        <v>503367.18999999994</v>
      </c>
      <c r="AV77" s="372">
        <f t="shared" si="6"/>
        <v>1451864.02</v>
      </c>
      <c r="AW77" s="124">
        <f>+AV77+AO77-P77</f>
        <v>0</v>
      </c>
      <c r="AZ77" s="563">
        <v>220.69</v>
      </c>
      <c r="BA77" s="563">
        <v>119693.25</v>
      </c>
      <c r="BB77" s="563">
        <v>38138.550000000003</v>
      </c>
      <c r="BC77" s="563"/>
      <c r="BD77" s="563"/>
      <c r="BE77" s="563">
        <v>158052.49</v>
      </c>
      <c r="BF77" s="372"/>
      <c r="BO77" s="563">
        <v>17495.169999999998</v>
      </c>
      <c r="BP77" s="563">
        <v>10301861.68</v>
      </c>
      <c r="BQ77" s="563">
        <v>3381714.13</v>
      </c>
      <c r="BR77" s="563"/>
      <c r="BS77" s="563"/>
      <c r="BT77" s="563">
        <v>13701070.98</v>
      </c>
      <c r="BW77" s="126">
        <v>284</v>
      </c>
      <c r="BX77" s="125">
        <v>13165</v>
      </c>
      <c r="BY77" s="19" t="s">
        <v>55</v>
      </c>
      <c r="BZ77" t="s">
        <v>806</v>
      </c>
    </row>
    <row r="78" spans="1:78" x14ac:dyDescent="0.3">
      <c r="A78" s="436">
        <v>13165</v>
      </c>
      <c r="B78" s="19" t="s">
        <v>55</v>
      </c>
      <c r="C78" t="s">
        <v>170</v>
      </c>
      <c r="D78" s="563"/>
      <c r="E78" s="120"/>
      <c r="F78" s="563">
        <v>195723.72</v>
      </c>
      <c r="G78" s="120">
        <v>3.5496700852051668E-4</v>
      </c>
      <c r="H78" s="563">
        <v>570127.4</v>
      </c>
      <c r="I78" s="120">
        <v>2.08671950109619E-3</v>
      </c>
      <c r="J78" s="563">
        <v>0</v>
      </c>
      <c r="K78" s="120">
        <v>0</v>
      </c>
      <c r="L78" s="563">
        <v>304653.15000000002</v>
      </c>
      <c r="M78" s="120">
        <v>2.1111447819303214E-3</v>
      </c>
      <c r="N78" s="563">
        <v>1557398.75</v>
      </c>
      <c r="O78" s="120">
        <v>2.1086162541540071E-3</v>
      </c>
      <c r="P78" s="124">
        <v>2627903.02</v>
      </c>
      <c r="Q78" s="124"/>
      <c r="R78" s="563"/>
      <c r="S78" s="120"/>
      <c r="T78" s="373"/>
      <c r="U78" s="541">
        <v>284</v>
      </c>
      <c r="V78" s="540" t="s">
        <v>171</v>
      </c>
      <c r="W78" s="442" t="s">
        <v>55</v>
      </c>
      <c r="X78" s="552" t="s">
        <v>170</v>
      </c>
      <c r="Y78" s="563">
        <v>0</v>
      </c>
      <c r="Z78" s="563">
        <v>1427106.95</v>
      </c>
      <c r="AA78" s="563">
        <v>569773.38</v>
      </c>
      <c r="AB78" s="563"/>
      <c r="AC78" s="563"/>
      <c r="AD78" s="563">
        <v>1996880.33</v>
      </c>
      <c r="AE78" s="124"/>
      <c r="AF78" s="541">
        <v>284</v>
      </c>
      <c r="AG78" s="540" t="s">
        <v>171</v>
      </c>
      <c r="AH78" s="442" t="s">
        <v>55</v>
      </c>
      <c r="AI78" s="552" t="s">
        <v>170</v>
      </c>
      <c r="AJ78" s="563">
        <v>0</v>
      </c>
      <c r="AK78" s="563">
        <v>1557398.75</v>
      </c>
      <c r="AL78" s="563">
        <v>570127.4</v>
      </c>
      <c r="AM78" s="563"/>
      <c r="AN78" s="563"/>
      <c r="AO78" s="563">
        <v>2127526.15</v>
      </c>
      <c r="AR78" s="124">
        <f>+L78</f>
        <v>304653.15000000002</v>
      </c>
      <c r="AS78" s="124">
        <f>+F78</f>
        <v>195723.72</v>
      </c>
      <c r="AV78" s="372">
        <f t="shared" si="6"/>
        <v>500376.87</v>
      </c>
      <c r="AW78" s="124">
        <f>+AV78+AO78-P78</f>
        <v>0</v>
      </c>
      <c r="AZ78" s="563">
        <v>0</v>
      </c>
      <c r="BA78" s="563">
        <v>38628.980000000003</v>
      </c>
      <c r="BB78" s="563">
        <v>14693.98</v>
      </c>
      <c r="BC78" s="563"/>
      <c r="BD78" s="563"/>
      <c r="BE78" s="563">
        <v>53322.960000000006</v>
      </c>
      <c r="BF78" s="372"/>
      <c r="BO78" s="563">
        <v>0</v>
      </c>
      <c r="BP78" s="563">
        <v>3327787.83</v>
      </c>
      <c r="BQ78" s="563">
        <v>1350318.48</v>
      </c>
      <c r="BR78" s="563"/>
      <c r="BS78" s="563"/>
      <c r="BT78" s="563">
        <v>4678106.3100000005</v>
      </c>
      <c r="BW78" s="126">
        <v>1104</v>
      </c>
      <c r="BX78" s="125">
        <v>13167</v>
      </c>
      <c r="BY78" s="19" t="s">
        <v>55</v>
      </c>
      <c r="BZ78" t="s">
        <v>1015</v>
      </c>
    </row>
    <row r="79" spans="1:78" x14ac:dyDescent="0.3">
      <c r="A79" s="436">
        <v>13167</v>
      </c>
      <c r="B79" s="19" t="s">
        <v>55</v>
      </c>
      <c r="C79" t="s">
        <v>612</v>
      </c>
      <c r="D79" s="563"/>
      <c r="E79" s="120"/>
      <c r="F79" s="563">
        <v>18748.36</v>
      </c>
      <c r="G79" s="120">
        <v>3.400226229026157E-5</v>
      </c>
      <c r="H79" s="563">
        <v>55383.8</v>
      </c>
      <c r="I79" s="120">
        <v>2.0270987766034606E-4</v>
      </c>
      <c r="J79" s="563"/>
      <c r="K79" s="120"/>
      <c r="L79" s="563">
        <v>17569.189999999999</v>
      </c>
      <c r="M79" s="120">
        <v>1.2174863050404166E-4</v>
      </c>
      <c r="N79" s="563">
        <v>90319.25</v>
      </c>
      <c r="O79" s="120">
        <v>1.2228636925064909E-4</v>
      </c>
      <c r="P79" s="124">
        <v>182020.6</v>
      </c>
      <c r="Q79" s="124"/>
      <c r="R79" s="563"/>
      <c r="S79" s="120"/>
      <c r="T79" s="373"/>
      <c r="U79" s="541">
        <v>1104</v>
      </c>
      <c r="V79" s="540" t="s">
        <v>613</v>
      </c>
      <c r="W79" s="442" t="s">
        <v>55</v>
      </c>
      <c r="X79" s="552" t="s">
        <v>612</v>
      </c>
      <c r="Y79" s="563"/>
      <c r="Z79" s="563">
        <v>88653.95</v>
      </c>
      <c r="AA79" s="563">
        <v>49400.009999999995</v>
      </c>
      <c r="AB79" s="563"/>
      <c r="AC79" s="563"/>
      <c r="AD79" s="563">
        <v>138053.96</v>
      </c>
      <c r="AE79" s="124"/>
      <c r="AF79" s="541">
        <v>1104</v>
      </c>
      <c r="AG79" s="540" t="s">
        <v>613</v>
      </c>
      <c r="AH79" s="442" t="s">
        <v>55</v>
      </c>
      <c r="AI79" s="552" t="s">
        <v>612</v>
      </c>
      <c r="AJ79" s="563"/>
      <c r="AK79" s="563">
        <v>90319.25</v>
      </c>
      <c r="AL79" s="563">
        <v>55383.8</v>
      </c>
      <c r="AM79" s="563"/>
      <c r="AN79" s="563"/>
      <c r="AO79" s="563">
        <v>145703.04999999999</v>
      </c>
      <c r="AR79" s="124">
        <f>+L79</f>
        <v>17569.189999999999</v>
      </c>
      <c r="AS79" s="124">
        <f>+F79</f>
        <v>18748.36</v>
      </c>
      <c r="AV79" s="372">
        <f t="shared" si="6"/>
        <v>36317.550000000003</v>
      </c>
      <c r="AW79" s="124">
        <f>+AV79+AO79-P79</f>
        <v>0</v>
      </c>
      <c r="AZ79" s="563"/>
      <c r="BA79" s="563">
        <v>2241.04</v>
      </c>
      <c r="BB79" s="563">
        <v>1427.17</v>
      </c>
      <c r="BC79" s="563"/>
      <c r="BD79" s="563"/>
      <c r="BE79" s="563">
        <v>3668.21</v>
      </c>
      <c r="BF79" s="372"/>
      <c r="BO79" s="563"/>
      <c r="BP79" s="563">
        <v>198783.43</v>
      </c>
      <c r="BQ79" s="563">
        <v>124959.34</v>
      </c>
      <c r="BR79" s="563"/>
      <c r="BS79" s="563"/>
      <c r="BT79" s="563">
        <v>323742.77</v>
      </c>
      <c r="BW79" s="126">
        <v>339</v>
      </c>
      <c r="BX79" s="125">
        <v>13301</v>
      </c>
      <c r="BY79" s="19" t="s">
        <v>55</v>
      </c>
      <c r="BZ79" t="s">
        <v>819</v>
      </c>
    </row>
    <row r="80" spans="1:78" x14ac:dyDescent="0.3">
      <c r="A80" s="436">
        <v>13301</v>
      </c>
      <c r="B80" s="19" t="s">
        <v>55</v>
      </c>
      <c r="C80" t="s">
        <v>198</v>
      </c>
      <c r="D80" s="563">
        <v>9142.84</v>
      </c>
      <c r="E80" s="120">
        <v>1.658157000174389E-5</v>
      </c>
      <c r="F80" s="563">
        <v>61749.7</v>
      </c>
      <c r="G80" s="120">
        <v>1.1199003516814082E-4</v>
      </c>
      <c r="H80" s="563">
        <v>182386.97999999998</v>
      </c>
      <c r="I80" s="120">
        <v>6.6755337125007635E-4</v>
      </c>
      <c r="J80" s="563"/>
      <c r="K80" s="120"/>
      <c r="L80" s="563">
        <v>72387.47</v>
      </c>
      <c r="M80" s="120">
        <v>5.0162103877027925E-4</v>
      </c>
      <c r="N80" s="563">
        <v>371603.27999999997</v>
      </c>
      <c r="O80" s="120">
        <v>5.0312658611350669E-4</v>
      </c>
      <c r="P80" s="124">
        <v>697270.27</v>
      </c>
      <c r="Q80" s="124"/>
      <c r="R80" s="563"/>
      <c r="S80" s="120"/>
      <c r="T80" s="373"/>
      <c r="U80" s="541">
        <v>339</v>
      </c>
      <c r="V80" s="540" t="s">
        <v>199</v>
      </c>
      <c r="W80" s="442" t="s">
        <v>55</v>
      </c>
      <c r="X80" s="552" t="s">
        <v>198</v>
      </c>
      <c r="Y80" s="563"/>
      <c r="Z80" s="563">
        <v>419803.55</v>
      </c>
      <c r="AA80" s="563">
        <v>177342.99</v>
      </c>
      <c r="AB80" s="563">
        <v>6148.6</v>
      </c>
      <c r="AC80" s="563"/>
      <c r="AD80" s="563">
        <v>603295.14</v>
      </c>
      <c r="AE80" s="124"/>
      <c r="AF80" s="541">
        <v>339</v>
      </c>
      <c r="AG80" s="540" t="s">
        <v>199</v>
      </c>
      <c r="AH80" s="442" t="s">
        <v>55</v>
      </c>
      <c r="AI80" s="552" t="s">
        <v>198</v>
      </c>
      <c r="AJ80" s="563"/>
      <c r="AK80" s="563">
        <v>371603.27999999997</v>
      </c>
      <c r="AL80" s="563">
        <v>182386.97999999998</v>
      </c>
      <c r="AM80" s="563">
        <v>9142.84</v>
      </c>
      <c r="AN80" s="563"/>
      <c r="AO80" s="563">
        <v>563133.1</v>
      </c>
      <c r="AR80" s="124">
        <f>+L80</f>
        <v>72387.47</v>
      </c>
      <c r="AS80" s="124">
        <f>+F80</f>
        <v>61749.7</v>
      </c>
      <c r="AV80" s="372">
        <f t="shared" si="6"/>
        <v>134137.16999999998</v>
      </c>
      <c r="AW80" s="124">
        <f>+AV80+AO80-P80</f>
        <v>0</v>
      </c>
      <c r="AZ80" s="563"/>
      <c r="BA80" s="563">
        <v>9220.7999999999993</v>
      </c>
      <c r="BB80" s="563">
        <v>4700.57</v>
      </c>
      <c r="BC80" s="563">
        <v>204.9</v>
      </c>
      <c r="BD80" s="563"/>
      <c r="BE80" s="563">
        <v>14126.269999999999</v>
      </c>
      <c r="BF80" s="372"/>
      <c r="BO80" s="563"/>
      <c r="BP80" s="563">
        <v>873015.1</v>
      </c>
      <c r="BQ80" s="563">
        <v>426180.24</v>
      </c>
      <c r="BR80" s="563">
        <v>15496.34</v>
      </c>
      <c r="BS80" s="563"/>
      <c r="BT80" s="563">
        <v>1314691.68</v>
      </c>
      <c r="BW80" s="126">
        <v>2</v>
      </c>
      <c r="BX80" s="125">
        <v>14005</v>
      </c>
      <c r="BY80" s="19" t="s">
        <v>13</v>
      </c>
      <c r="BZ80" t="s">
        <v>731</v>
      </c>
    </row>
    <row r="81" spans="1:78" x14ac:dyDescent="0.3">
      <c r="A81" s="436">
        <v>14005</v>
      </c>
      <c r="B81" s="19" t="s">
        <v>13</v>
      </c>
      <c r="C81" t="s">
        <v>11</v>
      </c>
      <c r="D81" s="563"/>
      <c r="E81" s="120"/>
      <c r="F81" s="563">
        <v>325357.11</v>
      </c>
      <c r="G81" s="120">
        <v>5.9007176052846676E-4</v>
      </c>
      <c r="H81" s="563">
        <v>952120.6399999999</v>
      </c>
      <c r="I81" s="120">
        <v>3.4848504156863623E-3</v>
      </c>
      <c r="J81" s="563">
        <v>0</v>
      </c>
      <c r="K81" s="120">
        <v>0</v>
      </c>
      <c r="L81" s="563">
        <v>390155.94999999995</v>
      </c>
      <c r="M81" s="120">
        <v>2.7036506859737615E-3</v>
      </c>
      <c r="N81" s="563">
        <v>2017034.08</v>
      </c>
      <c r="O81" s="120">
        <v>2.7309324900065407E-3</v>
      </c>
      <c r="P81" s="124">
        <v>3684667.7800000003</v>
      </c>
      <c r="Q81" s="124"/>
      <c r="R81" s="563"/>
      <c r="S81" s="120"/>
      <c r="T81" s="373"/>
      <c r="U81" s="541">
        <v>2</v>
      </c>
      <c r="V81" s="540" t="s">
        <v>12</v>
      </c>
      <c r="W81" s="442" t="s">
        <v>13</v>
      </c>
      <c r="X81" s="552" t="s">
        <v>11</v>
      </c>
      <c r="Y81" s="563">
        <v>0</v>
      </c>
      <c r="Z81" s="563">
        <v>1989995.9200000002</v>
      </c>
      <c r="AA81" s="563">
        <v>885554.7</v>
      </c>
      <c r="AB81" s="563"/>
      <c r="AC81" s="563"/>
      <c r="AD81" s="563">
        <v>2875550.62</v>
      </c>
      <c r="AE81" s="124"/>
      <c r="AF81" s="541">
        <v>2</v>
      </c>
      <c r="AG81" s="540" t="s">
        <v>12</v>
      </c>
      <c r="AH81" s="442" t="s">
        <v>13</v>
      </c>
      <c r="AI81" s="552" t="s">
        <v>11</v>
      </c>
      <c r="AJ81" s="563">
        <v>0</v>
      </c>
      <c r="AK81" s="563">
        <v>2017034.08</v>
      </c>
      <c r="AL81" s="563">
        <v>952120.6399999999</v>
      </c>
      <c r="AM81" s="563"/>
      <c r="AN81" s="563"/>
      <c r="AO81" s="563">
        <v>2969154.7199999997</v>
      </c>
      <c r="AR81" s="124">
        <f>+L81</f>
        <v>390155.94999999995</v>
      </c>
      <c r="AS81" s="124">
        <f>+F81</f>
        <v>325357.11</v>
      </c>
      <c r="AV81" s="372">
        <f t="shared" si="6"/>
        <v>715513.05999999994</v>
      </c>
      <c r="AW81" s="124">
        <f>+AV81+AO81-P81</f>
        <v>0</v>
      </c>
      <c r="AZ81" s="563">
        <v>0</v>
      </c>
      <c r="BA81" s="563">
        <v>50049.5</v>
      </c>
      <c r="BB81" s="563">
        <v>24539.29</v>
      </c>
      <c r="BC81" s="563"/>
      <c r="BD81" s="563"/>
      <c r="BE81" s="563">
        <v>74588.790000000008</v>
      </c>
      <c r="BF81" s="372"/>
      <c r="BO81" s="563">
        <v>0</v>
      </c>
      <c r="BP81" s="563">
        <v>4447235.45</v>
      </c>
      <c r="BQ81" s="563">
        <v>2187571.7399999998</v>
      </c>
      <c r="BR81" s="563"/>
      <c r="BS81" s="563"/>
      <c r="BT81" s="563">
        <v>6634807.1899999995</v>
      </c>
      <c r="BW81" s="126">
        <v>385</v>
      </c>
      <c r="BX81" s="125">
        <v>14028</v>
      </c>
      <c r="BY81" s="19" t="s">
        <v>13</v>
      </c>
      <c r="BZ81" t="s">
        <v>832</v>
      </c>
    </row>
    <row r="82" spans="1:78" x14ac:dyDescent="0.3">
      <c r="A82" s="436">
        <v>14028</v>
      </c>
      <c r="B82" s="19" t="s">
        <v>13</v>
      </c>
      <c r="C82" t="s">
        <v>224</v>
      </c>
      <c r="D82" s="563"/>
      <c r="E82" s="120"/>
      <c r="F82" s="563">
        <v>147620.97</v>
      </c>
      <c r="G82" s="120">
        <v>2.6772725408957554E-4</v>
      </c>
      <c r="H82" s="563">
        <v>436780.49</v>
      </c>
      <c r="I82" s="120">
        <v>1.5986573635670719E-3</v>
      </c>
      <c r="J82" s="563">
        <v>11841.49</v>
      </c>
      <c r="K82" s="120">
        <v>8.205757867194244E-5</v>
      </c>
      <c r="L82" s="563">
        <v>189035.05</v>
      </c>
      <c r="M82" s="120">
        <v>1.3099498869761806E-3</v>
      </c>
      <c r="N82" s="563">
        <v>965307.19</v>
      </c>
      <c r="O82" s="120">
        <v>1.3069629284637157E-3</v>
      </c>
      <c r="P82" s="124">
        <v>1750585.19</v>
      </c>
      <c r="Q82" s="124"/>
      <c r="R82" s="563"/>
      <c r="S82" s="120"/>
      <c r="T82" s="373"/>
      <c r="U82" s="541">
        <v>385</v>
      </c>
      <c r="V82" s="540" t="s">
        <v>225</v>
      </c>
      <c r="W82" s="442" t="s">
        <v>13</v>
      </c>
      <c r="X82" s="552" t="s">
        <v>224</v>
      </c>
      <c r="Y82" s="563">
        <v>7368.09</v>
      </c>
      <c r="Z82" s="563">
        <v>902483.62</v>
      </c>
      <c r="AA82" s="563">
        <v>425895.9</v>
      </c>
      <c r="AB82" s="563"/>
      <c r="AC82" s="563"/>
      <c r="AD82" s="563">
        <v>1335747.6100000001</v>
      </c>
      <c r="AE82" s="124"/>
      <c r="AF82" s="541">
        <v>385</v>
      </c>
      <c r="AG82" s="540" t="s">
        <v>225</v>
      </c>
      <c r="AH82" s="442" t="s">
        <v>13</v>
      </c>
      <c r="AI82" s="552" t="s">
        <v>224</v>
      </c>
      <c r="AJ82" s="563">
        <v>11841.49</v>
      </c>
      <c r="AK82" s="563">
        <v>965307.19</v>
      </c>
      <c r="AL82" s="563">
        <v>436780.49</v>
      </c>
      <c r="AM82" s="563"/>
      <c r="AN82" s="563"/>
      <c r="AO82" s="563">
        <v>1413929.17</v>
      </c>
      <c r="AR82" s="124">
        <f>+L82</f>
        <v>189035.05</v>
      </c>
      <c r="AS82" s="124">
        <f>+F82</f>
        <v>147620.97</v>
      </c>
      <c r="AV82" s="372">
        <f t="shared" si="6"/>
        <v>336656.02</v>
      </c>
      <c r="AW82" s="124">
        <f>+AV82+AO82-P82</f>
        <v>0</v>
      </c>
      <c r="AZ82" s="563">
        <v>245.5</v>
      </c>
      <c r="BA82" s="563">
        <v>23949.35</v>
      </c>
      <c r="BB82" s="563">
        <v>11257.08</v>
      </c>
      <c r="BC82" s="563"/>
      <c r="BD82" s="563"/>
      <c r="BE82" s="563">
        <v>35451.93</v>
      </c>
      <c r="BF82" s="372"/>
      <c r="BO82" s="563">
        <v>19455.080000000002</v>
      </c>
      <c r="BP82" s="563">
        <v>2080775.21</v>
      </c>
      <c r="BQ82" s="563">
        <v>1021554.4400000001</v>
      </c>
      <c r="BR82" s="563"/>
      <c r="BS82" s="563"/>
      <c r="BT82" s="563">
        <v>3121784.73</v>
      </c>
      <c r="BW82" s="126">
        <v>645</v>
      </c>
      <c r="BX82" s="125">
        <v>14064</v>
      </c>
      <c r="BY82" s="19" t="s">
        <v>13</v>
      </c>
      <c r="BZ82" t="s">
        <v>891</v>
      </c>
    </row>
    <row r="83" spans="1:78" x14ac:dyDescent="0.3">
      <c r="A83" s="436">
        <v>14064</v>
      </c>
      <c r="B83" s="19" t="s">
        <v>13</v>
      </c>
      <c r="C83" t="s">
        <v>342</v>
      </c>
      <c r="D83" s="563"/>
      <c r="E83" s="120"/>
      <c r="F83" s="563">
        <v>65953.63</v>
      </c>
      <c r="G83" s="120">
        <v>1.1961433566748581E-4</v>
      </c>
      <c r="H83" s="563">
        <v>194174.06</v>
      </c>
      <c r="I83" s="120">
        <v>7.1069518428516451E-4</v>
      </c>
      <c r="J83" s="563">
        <v>0</v>
      </c>
      <c r="K83" s="120">
        <v>0</v>
      </c>
      <c r="L83" s="563">
        <v>77517.209999999992</v>
      </c>
      <c r="M83" s="120">
        <v>5.3716842711554733E-4</v>
      </c>
      <c r="N83" s="563">
        <v>397999.44</v>
      </c>
      <c r="O83" s="120">
        <v>5.3886526384343931E-4</v>
      </c>
      <c r="P83" s="124">
        <v>735644.34000000008</v>
      </c>
      <c r="Q83" s="124"/>
      <c r="R83" s="563"/>
      <c r="S83" s="120"/>
      <c r="T83" s="373"/>
      <c r="U83" s="541">
        <v>645</v>
      </c>
      <c r="V83" s="540" t="s">
        <v>343</v>
      </c>
      <c r="W83" s="442" t="s">
        <v>13</v>
      </c>
      <c r="X83" s="552" t="s">
        <v>342</v>
      </c>
      <c r="Y83" s="563">
        <v>0</v>
      </c>
      <c r="Z83" s="563">
        <v>399903.89</v>
      </c>
      <c r="AA83" s="563">
        <v>187699.12</v>
      </c>
      <c r="AB83" s="563"/>
      <c r="AC83" s="563"/>
      <c r="AD83" s="563">
        <v>587603.01</v>
      </c>
      <c r="AE83" s="124"/>
      <c r="AF83" s="541">
        <v>645</v>
      </c>
      <c r="AG83" s="540" t="s">
        <v>343</v>
      </c>
      <c r="AH83" s="442" t="s">
        <v>13</v>
      </c>
      <c r="AI83" s="552" t="s">
        <v>342</v>
      </c>
      <c r="AJ83" s="563">
        <v>0</v>
      </c>
      <c r="AK83" s="563">
        <v>397999.44</v>
      </c>
      <c r="AL83" s="563">
        <v>194174.06</v>
      </c>
      <c r="AM83" s="563"/>
      <c r="AN83" s="563"/>
      <c r="AO83" s="563">
        <v>592173.5</v>
      </c>
      <c r="AR83" s="124">
        <f>+L83</f>
        <v>77517.209999999992</v>
      </c>
      <c r="AS83" s="124">
        <f>+F83</f>
        <v>65953.63</v>
      </c>
      <c r="AV83" s="372">
        <f t="shared" si="6"/>
        <v>143470.84</v>
      </c>
      <c r="AW83" s="124">
        <f>+AV83+AO83-P83</f>
        <v>0</v>
      </c>
      <c r="AZ83" s="563">
        <v>0</v>
      </c>
      <c r="BA83" s="563">
        <v>9875.7199999999993</v>
      </c>
      <c r="BB83" s="563">
        <v>5004.34</v>
      </c>
      <c r="BC83" s="563"/>
      <c r="BD83" s="563"/>
      <c r="BE83" s="563">
        <v>14880.06</v>
      </c>
      <c r="BF83" s="372"/>
      <c r="BO83" s="563">
        <v>0</v>
      </c>
      <c r="BP83" s="563">
        <v>885296.26</v>
      </c>
      <c r="BQ83" s="563">
        <v>452831.15</v>
      </c>
      <c r="BR83" s="563"/>
      <c r="BS83" s="563"/>
      <c r="BT83" s="563">
        <v>1338127.4100000001</v>
      </c>
      <c r="BW83" s="126">
        <v>577</v>
      </c>
      <c r="BX83" s="125">
        <v>14065</v>
      </c>
      <c r="BY83" s="19" t="s">
        <v>13</v>
      </c>
      <c r="BZ83" t="s">
        <v>866</v>
      </c>
    </row>
    <row r="84" spans="1:78" x14ac:dyDescent="0.3">
      <c r="A84" s="436">
        <v>14065</v>
      </c>
      <c r="B84" s="19" t="s">
        <v>13</v>
      </c>
      <c r="C84" t="s">
        <v>294</v>
      </c>
      <c r="D84" s="563"/>
      <c r="E84" s="120"/>
      <c r="F84" s="563">
        <v>30360.66</v>
      </c>
      <c r="G84" s="120">
        <v>5.5062476111268014E-5</v>
      </c>
      <c r="H84" s="563">
        <v>87685.76999999999</v>
      </c>
      <c r="I84" s="120">
        <v>3.2093810300581107E-4</v>
      </c>
      <c r="J84" s="563"/>
      <c r="K84" s="120"/>
      <c r="L84" s="563">
        <v>42254.119999999995</v>
      </c>
      <c r="M84" s="120">
        <v>2.9280696737603936E-4</v>
      </c>
      <c r="N84" s="563">
        <v>218581.54</v>
      </c>
      <c r="O84" s="120">
        <v>2.9594513807206684E-4</v>
      </c>
      <c r="P84" s="124">
        <v>378882.08999999997</v>
      </c>
      <c r="Q84" s="124"/>
      <c r="R84" s="563"/>
      <c r="S84" s="120"/>
      <c r="T84" s="373"/>
      <c r="U84" s="541">
        <v>577</v>
      </c>
      <c r="V84" s="540" t="s">
        <v>295</v>
      </c>
      <c r="W84" s="442" t="s">
        <v>13</v>
      </c>
      <c r="X84" s="552" t="s">
        <v>294</v>
      </c>
      <c r="Y84" s="563"/>
      <c r="Z84" s="563">
        <v>204343.12</v>
      </c>
      <c r="AA84" s="563">
        <v>84707.680000000008</v>
      </c>
      <c r="AB84" s="563"/>
      <c r="AC84" s="563"/>
      <c r="AD84" s="563">
        <v>289050.8</v>
      </c>
      <c r="AE84" s="124"/>
      <c r="AF84" s="541">
        <v>577</v>
      </c>
      <c r="AG84" s="540" t="s">
        <v>295</v>
      </c>
      <c r="AH84" s="442" t="s">
        <v>13</v>
      </c>
      <c r="AI84" s="552" t="s">
        <v>294</v>
      </c>
      <c r="AJ84" s="563"/>
      <c r="AK84" s="563">
        <v>218581.54</v>
      </c>
      <c r="AL84" s="563">
        <v>87685.76999999999</v>
      </c>
      <c r="AM84" s="563"/>
      <c r="AN84" s="563"/>
      <c r="AO84" s="563">
        <v>306267.31</v>
      </c>
      <c r="AR84" s="124">
        <f>+L84</f>
        <v>42254.119999999995</v>
      </c>
      <c r="AS84" s="124">
        <f>+F84</f>
        <v>30360.66</v>
      </c>
      <c r="AV84" s="372">
        <f t="shared" si="6"/>
        <v>72614.78</v>
      </c>
      <c r="AW84" s="124">
        <f>+AV84+AO84-P84</f>
        <v>0</v>
      </c>
      <c r="AZ84" s="563"/>
      <c r="BA84" s="563">
        <v>5423.8099999999995</v>
      </c>
      <c r="BB84" s="563">
        <v>2260.59</v>
      </c>
      <c r="BC84" s="563"/>
      <c r="BD84" s="563"/>
      <c r="BE84" s="563">
        <v>7684.4</v>
      </c>
      <c r="BF84" s="372"/>
      <c r="BO84" s="563"/>
      <c r="BP84" s="563">
        <v>470602.58999999997</v>
      </c>
      <c r="BQ84" s="563">
        <v>205014.7</v>
      </c>
      <c r="BR84" s="563"/>
      <c r="BS84" s="563"/>
      <c r="BT84" s="563">
        <v>675617.29</v>
      </c>
      <c r="BW84" s="126">
        <v>606</v>
      </c>
      <c r="BX84" s="125">
        <v>14066</v>
      </c>
      <c r="BY84" s="19" t="s">
        <v>13</v>
      </c>
      <c r="BZ84" t="s">
        <v>874</v>
      </c>
    </row>
    <row r="85" spans="1:78" x14ac:dyDescent="0.3">
      <c r="A85" s="436">
        <v>14066</v>
      </c>
      <c r="B85" s="19" t="s">
        <v>13</v>
      </c>
      <c r="C85" t="s">
        <v>310</v>
      </c>
      <c r="D85" s="563"/>
      <c r="E85" s="120"/>
      <c r="F85" s="563">
        <v>97139.11</v>
      </c>
      <c r="G85" s="120">
        <v>1.7617271573954044E-4</v>
      </c>
      <c r="H85" s="563">
        <v>283317.52</v>
      </c>
      <c r="I85" s="120">
        <v>1.0369685687553517E-3</v>
      </c>
      <c r="J85" s="563">
        <v>0</v>
      </c>
      <c r="K85" s="120">
        <v>0</v>
      </c>
      <c r="L85" s="563">
        <v>173854.87</v>
      </c>
      <c r="M85" s="120">
        <v>1.204756299462764E-3</v>
      </c>
      <c r="N85" s="563">
        <v>900536.9</v>
      </c>
      <c r="O85" s="120">
        <v>1.2192681834407931E-3</v>
      </c>
      <c r="P85" s="124">
        <v>1454848.4</v>
      </c>
      <c r="Q85" s="124"/>
      <c r="R85" s="563"/>
      <c r="S85" s="120"/>
      <c r="T85" s="373"/>
      <c r="U85" s="541">
        <v>606</v>
      </c>
      <c r="V85" s="540" t="s">
        <v>311</v>
      </c>
      <c r="W85" s="442" t="s">
        <v>13</v>
      </c>
      <c r="X85" s="552" t="s">
        <v>310</v>
      </c>
      <c r="Y85" s="563">
        <v>0</v>
      </c>
      <c r="Z85" s="563">
        <v>899535.03</v>
      </c>
      <c r="AA85" s="563">
        <v>265609</v>
      </c>
      <c r="AB85" s="563"/>
      <c r="AC85" s="563"/>
      <c r="AD85" s="563">
        <v>1165144.03</v>
      </c>
      <c r="AE85" s="124"/>
      <c r="AF85" s="541">
        <v>606</v>
      </c>
      <c r="AG85" s="540" t="s">
        <v>311</v>
      </c>
      <c r="AH85" s="442" t="s">
        <v>13</v>
      </c>
      <c r="AI85" s="552" t="s">
        <v>310</v>
      </c>
      <c r="AJ85" s="563">
        <v>0</v>
      </c>
      <c r="AK85" s="563">
        <v>900536.9</v>
      </c>
      <c r="AL85" s="563">
        <v>283317.52</v>
      </c>
      <c r="AM85" s="563"/>
      <c r="AN85" s="563"/>
      <c r="AO85" s="563">
        <v>1183854.42</v>
      </c>
      <c r="AR85" s="124">
        <f>+L85</f>
        <v>173854.87</v>
      </c>
      <c r="AS85" s="124">
        <f>+F85</f>
        <v>97139.11</v>
      </c>
      <c r="AV85" s="372">
        <f t="shared" si="6"/>
        <v>270993.98</v>
      </c>
      <c r="AW85" s="124">
        <f>+AV85+AO85-P85</f>
        <v>0</v>
      </c>
      <c r="AZ85" s="563">
        <v>0</v>
      </c>
      <c r="BA85" s="563">
        <v>22345.279999999999</v>
      </c>
      <c r="BB85" s="563">
        <v>7301.8200000000006</v>
      </c>
      <c r="BC85" s="563"/>
      <c r="BD85" s="563"/>
      <c r="BE85" s="563">
        <v>29647.1</v>
      </c>
      <c r="BF85" s="372"/>
      <c r="BO85" s="563">
        <v>0</v>
      </c>
      <c r="BP85" s="563">
        <v>1996272.08</v>
      </c>
      <c r="BQ85" s="563">
        <v>653367.44999999995</v>
      </c>
      <c r="BR85" s="563"/>
      <c r="BS85" s="563"/>
      <c r="BT85" s="563">
        <v>2649639.5300000003</v>
      </c>
      <c r="BW85" s="126">
        <v>272</v>
      </c>
      <c r="BX85" s="125">
        <v>14068</v>
      </c>
      <c r="BY85" s="19" t="s">
        <v>13</v>
      </c>
      <c r="BZ85" t="s">
        <v>802</v>
      </c>
    </row>
    <row r="86" spans="1:78" x14ac:dyDescent="0.3">
      <c r="A86" s="436">
        <v>14068</v>
      </c>
      <c r="B86" s="19" t="s">
        <v>13</v>
      </c>
      <c r="C86" t="s">
        <v>162</v>
      </c>
      <c r="D86" s="563"/>
      <c r="E86" s="120"/>
      <c r="F86" s="563">
        <v>116750.1</v>
      </c>
      <c r="G86" s="120">
        <v>2.1173945468373059E-4</v>
      </c>
      <c r="H86" s="563">
        <v>341009.44999999995</v>
      </c>
      <c r="I86" s="120">
        <v>1.2481264176622386E-3</v>
      </c>
      <c r="J86" s="563">
        <v>0</v>
      </c>
      <c r="K86" s="120">
        <v>0</v>
      </c>
      <c r="L86" s="563">
        <v>181902.83000000002</v>
      </c>
      <c r="M86" s="120">
        <v>1.2605259797013697E-3</v>
      </c>
      <c r="N86" s="563">
        <v>950959.67999999993</v>
      </c>
      <c r="O86" s="120">
        <v>1.2875373364034698E-3</v>
      </c>
      <c r="P86" s="124">
        <v>1590622.0599999998</v>
      </c>
      <c r="Q86" s="124"/>
      <c r="R86" s="563"/>
      <c r="S86" s="120"/>
      <c r="T86" s="373"/>
      <c r="U86" s="541">
        <v>272</v>
      </c>
      <c r="V86" s="540" t="s">
        <v>163</v>
      </c>
      <c r="W86" s="442" t="s">
        <v>13</v>
      </c>
      <c r="X86" s="552" t="s">
        <v>162</v>
      </c>
      <c r="Y86" s="563">
        <v>0</v>
      </c>
      <c r="Z86" s="563">
        <v>931366.48</v>
      </c>
      <c r="AA86" s="563">
        <v>336782.3</v>
      </c>
      <c r="AB86" s="563"/>
      <c r="AC86" s="563"/>
      <c r="AD86" s="563">
        <v>1268148.78</v>
      </c>
      <c r="AE86" s="124"/>
      <c r="AF86" s="541">
        <v>272</v>
      </c>
      <c r="AG86" s="540" t="s">
        <v>163</v>
      </c>
      <c r="AH86" s="442" t="s">
        <v>13</v>
      </c>
      <c r="AI86" s="552" t="s">
        <v>162</v>
      </c>
      <c r="AJ86" s="563">
        <v>0</v>
      </c>
      <c r="AK86" s="563">
        <v>950959.67999999993</v>
      </c>
      <c r="AL86" s="563">
        <v>341009.44999999995</v>
      </c>
      <c r="AM86" s="563"/>
      <c r="AN86" s="563"/>
      <c r="AO86" s="563">
        <v>1291969.1299999999</v>
      </c>
      <c r="AR86" s="124">
        <f>+L86</f>
        <v>181902.83000000002</v>
      </c>
      <c r="AS86" s="124">
        <f>+F86</f>
        <v>116750.1</v>
      </c>
      <c r="AV86" s="372">
        <f t="shared" si="6"/>
        <v>298652.93000000005</v>
      </c>
      <c r="AW86" s="124">
        <f>+AV86+AO86-P86</f>
        <v>0</v>
      </c>
      <c r="AZ86" s="563">
        <v>0</v>
      </c>
      <c r="BA86" s="563">
        <v>23602.29</v>
      </c>
      <c r="BB86" s="563">
        <v>8788.4</v>
      </c>
      <c r="BC86" s="563"/>
      <c r="BD86" s="563"/>
      <c r="BE86" s="563">
        <v>32390.690000000002</v>
      </c>
      <c r="BF86" s="372"/>
      <c r="BO86" s="563">
        <v>0</v>
      </c>
      <c r="BP86" s="563">
        <v>2087831.2799999998</v>
      </c>
      <c r="BQ86" s="563">
        <v>803330.25</v>
      </c>
      <c r="BR86" s="563"/>
      <c r="BS86" s="563"/>
      <c r="BT86" s="563">
        <v>2891161.53</v>
      </c>
      <c r="BW86" s="126">
        <v>967</v>
      </c>
      <c r="BX86" s="125">
        <v>14077</v>
      </c>
      <c r="BY86" s="19" t="s">
        <v>13</v>
      </c>
      <c r="BZ86" t="s">
        <v>980</v>
      </c>
    </row>
    <row r="87" spans="1:78" x14ac:dyDescent="0.3">
      <c r="A87" s="436">
        <v>14077</v>
      </c>
      <c r="B87" s="19" t="s">
        <v>13</v>
      </c>
      <c r="C87" t="s">
        <v>540</v>
      </c>
      <c r="D87" s="563"/>
      <c r="E87" s="120"/>
      <c r="F87" s="563">
        <v>24862.2</v>
      </c>
      <c r="G87" s="120">
        <v>4.5090399667647796E-5</v>
      </c>
      <c r="H87" s="563">
        <v>72788</v>
      </c>
      <c r="I87" s="120">
        <v>2.6641087421125435E-4</v>
      </c>
      <c r="J87" s="563"/>
      <c r="K87" s="120"/>
      <c r="L87" s="563">
        <v>27460.78</v>
      </c>
      <c r="M87" s="120">
        <v>1.9029405212037535E-4</v>
      </c>
      <c r="N87" s="563">
        <v>141652.43</v>
      </c>
      <c r="O87" s="120">
        <v>1.9178814439038986E-4</v>
      </c>
      <c r="P87" s="124">
        <v>266763.40999999997</v>
      </c>
      <c r="Q87" s="124"/>
      <c r="R87" s="563"/>
      <c r="S87" s="120"/>
      <c r="T87" s="373"/>
      <c r="U87" s="541">
        <v>967</v>
      </c>
      <c r="V87" s="540" t="s">
        <v>541</v>
      </c>
      <c r="W87" s="442" t="s">
        <v>13</v>
      </c>
      <c r="X87" s="552" t="s">
        <v>540</v>
      </c>
      <c r="Y87" s="563"/>
      <c r="Z87" s="563">
        <v>123520.02</v>
      </c>
      <c r="AA87" s="563">
        <v>69782.399999999994</v>
      </c>
      <c r="AB87" s="563"/>
      <c r="AC87" s="563"/>
      <c r="AD87" s="563">
        <v>193302.41999999998</v>
      </c>
      <c r="AE87" s="124"/>
      <c r="AF87" s="541">
        <v>967</v>
      </c>
      <c r="AG87" s="540" t="s">
        <v>541</v>
      </c>
      <c r="AH87" s="442" t="s">
        <v>13</v>
      </c>
      <c r="AI87" s="552" t="s">
        <v>540</v>
      </c>
      <c r="AJ87" s="563"/>
      <c r="AK87" s="563">
        <v>141652.43</v>
      </c>
      <c r="AL87" s="563">
        <v>72788</v>
      </c>
      <c r="AM87" s="563"/>
      <c r="AN87" s="563"/>
      <c r="AO87" s="563">
        <v>214440.43</v>
      </c>
      <c r="AR87" s="124">
        <f>+L87</f>
        <v>27460.78</v>
      </c>
      <c r="AS87" s="124">
        <f>+F87</f>
        <v>24862.2</v>
      </c>
      <c r="AV87" s="372">
        <f t="shared" si="6"/>
        <v>52322.979999999996</v>
      </c>
      <c r="AW87" s="124">
        <f>+AV87+AO87-P87</f>
        <v>0</v>
      </c>
      <c r="AZ87" s="563"/>
      <c r="BA87" s="563">
        <v>3514.8599999999997</v>
      </c>
      <c r="BB87" s="563">
        <v>1875.49</v>
      </c>
      <c r="BC87" s="563"/>
      <c r="BD87" s="563"/>
      <c r="BE87" s="563">
        <v>5390.3499999999995</v>
      </c>
      <c r="BF87" s="372"/>
      <c r="BO87" s="563"/>
      <c r="BP87" s="563">
        <v>296148.08999999997</v>
      </c>
      <c r="BQ87" s="563">
        <v>169308.09</v>
      </c>
      <c r="BR87" s="563"/>
      <c r="BS87" s="563"/>
      <c r="BT87" s="563">
        <v>465456.17999999993</v>
      </c>
      <c r="BW87" s="126">
        <v>788</v>
      </c>
      <c r="BX87" s="125">
        <v>14097</v>
      </c>
      <c r="BY87" s="19" t="s">
        <v>13</v>
      </c>
      <c r="BZ87" t="s">
        <v>933</v>
      </c>
    </row>
    <row r="88" spans="1:78" x14ac:dyDescent="0.3">
      <c r="A88" s="436">
        <v>14097</v>
      </c>
      <c r="B88" s="19" t="s">
        <v>13</v>
      </c>
      <c r="C88" t="s">
        <v>440</v>
      </c>
      <c r="D88" s="563"/>
      <c r="E88" s="120"/>
      <c r="F88" s="563">
        <v>22643.360000000001</v>
      </c>
      <c r="G88" s="120">
        <v>4.1066283443075403E-5</v>
      </c>
      <c r="H88" s="563">
        <v>66762.679999999993</v>
      </c>
      <c r="I88" s="120">
        <v>2.4435764059304042E-4</v>
      </c>
      <c r="J88" s="563"/>
      <c r="K88" s="120"/>
      <c r="L88" s="563">
        <v>25091.9</v>
      </c>
      <c r="M88" s="120">
        <v>1.7387850331998024E-4</v>
      </c>
      <c r="N88" s="563">
        <v>129141.09</v>
      </c>
      <c r="O88" s="120">
        <v>1.7484860666105293E-4</v>
      </c>
      <c r="P88" s="124">
        <v>243639.03</v>
      </c>
      <c r="Q88" s="124"/>
      <c r="R88" s="563"/>
      <c r="S88" s="120"/>
      <c r="T88" s="373"/>
      <c r="U88" s="541">
        <v>788</v>
      </c>
      <c r="V88" s="540" t="s">
        <v>441</v>
      </c>
      <c r="W88" s="442" t="s">
        <v>13</v>
      </c>
      <c r="X88" s="552" t="s">
        <v>440</v>
      </c>
      <c r="Y88" s="563"/>
      <c r="Z88" s="563">
        <v>137792.41999999998</v>
      </c>
      <c r="AA88" s="563">
        <v>59187.700000000004</v>
      </c>
      <c r="AB88" s="563"/>
      <c r="AC88" s="563"/>
      <c r="AD88" s="563">
        <v>196980.12</v>
      </c>
      <c r="AE88" s="124"/>
      <c r="AF88" s="541">
        <v>788</v>
      </c>
      <c r="AG88" s="540" t="s">
        <v>441</v>
      </c>
      <c r="AH88" s="442" t="s">
        <v>13</v>
      </c>
      <c r="AI88" s="552" t="s">
        <v>440</v>
      </c>
      <c r="AJ88" s="563"/>
      <c r="AK88" s="563">
        <v>129141.09</v>
      </c>
      <c r="AL88" s="563">
        <v>66762.679999999993</v>
      </c>
      <c r="AM88" s="563"/>
      <c r="AN88" s="563"/>
      <c r="AO88" s="563">
        <v>195903.77</v>
      </c>
      <c r="AR88" s="124">
        <f>+L88</f>
        <v>25091.9</v>
      </c>
      <c r="AS88" s="124">
        <f>+F88</f>
        <v>22643.360000000001</v>
      </c>
      <c r="AV88" s="372">
        <f t="shared" si="6"/>
        <v>47735.26</v>
      </c>
      <c r="AW88" s="124">
        <f>+AV88+AO88-P88</f>
        <v>0</v>
      </c>
      <c r="AZ88" s="563"/>
      <c r="BA88" s="563">
        <v>3204.3700000000003</v>
      </c>
      <c r="BB88" s="563">
        <v>1720.56</v>
      </c>
      <c r="BC88" s="563"/>
      <c r="BD88" s="563"/>
      <c r="BE88" s="563">
        <v>4924.93</v>
      </c>
      <c r="BF88" s="372"/>
      <c r="BO88" s="563"/>
      <c r="BP88" s="563">
        <v>295229.77999999997</v>
      </c>
      <c r="BQ88" s="563">
        <v>150314.29999999999</v>
      </c>
      <c r="BR88" s="563"/>
      <c r="BS88" s="563"/>
      <c r="BT88" s="563">
        <v>445544.07999999996</v>
      </c>
      <c r="BW88" s="126">
        <v>194</v>
      </c>
      <c r="BX88" s="125">
        <v>14099</v>
      </c>
      <c r="BY88" s="19" t="s">
        <v>13</v>
      </c>
      <c r="BZ88" t="s">
        <v>777</v>
      </c>
    </row>
    <row r="89" spans="1:78" x14ac:dyDescent="0.3">
      <c r="A89" s="436">
        <v>14099</v>
      </c>
      <c r="B89" s="19" t="s">
        <v>13</v>
      </c>
      <c r="C89" t="s">
        <v>112</v>
      </c>
      <c r="D89" s="563"/>
      <c r="E89" s="120"/>
      <c r="F89" s="563">
        <v>18746.650000000001</v>
      </c>
      <c r="G89" s="120">
        <v>3.399916101268229E-5</v>
      </c>
      <c r="H89" s="563">
        <v>55287.58</v>
      </c>
      <c r="I89" s="120">
        <v>2.0235770347893419E-4</v>
      </c>
      <c r="J89" s="563">
        <v>0</v>
      </c>
      <c r="K89" s="120">
        <v>0</v>
      </c>
      <c r="L89" s="563">
        <v>19994.099999999999</v>
      </c>
      <c r="M89" s="120">
        <v>1.3855244852841022E-4</v>
      </c>
      <c r="N89" s="563">
        <v>102622.62999999999</v>
      </c>
      <c r="O89" s="120">
        <v>1.3894434271379287E-4</v>
      </c>
      <c r="P89" s="124">
        <v>196650.96000000002</v>
      </c>
      <c r="Q89" s="124"/>
      <c r="R89" s="563"/>
      <c r="S89" s="120"/>
      <c r="T89" s="373"/>
      <c r="U89" s="541">
        <v>194</v>
      </c>
      <c r="V89" s="540" t="s">
        <v>113</v>
      </c>
      <c r="W89" s="442" t="s">
        <v>13</v>
      </c>
      <c r="X89" s="552" t="s">
        <v>112</v>
      </c>
      <c r="Y89" s="563">
        <v>0</v>
      </c>
      <c r="Z89" s="563">
        <v>94939.37</v>
      </c>
      <c r="AA89" s="563">
        <v>47991.76</v>
      </c>
      <c r="AB89" s="563"/>
      <c r="AC89" s="563"/>
      <c r="AD89" s="563">
        <v>142931.13</v>
      </c>
      <c r="AE89" s="124"/>
      <c r="AF89" s="541">
        <v>194</v>
      </c>
      <c r="AG89" s="540" t="s">
        <v>113</v>
      </c>
      <c r="AH89" s="442" t="s">
        <v>13</v>
      </c>
      <c r="AI89" s="552" t="s">
        <v>112</v>
      </c>
      <c r="AJ89" s="563">
        <v>0</v>
      </c>
      <c r="AK89" s="563">
        <v>102622.62999999999</v>
      </c>
      <c r="AL89" s="563">
        <v>55287.58</v>
      </c>
      <c r="AM89" s="563"/>
      <c r="AN89" s="563"/>
      <c r="AO89" s="563">
        <v>157910.21</v>
      </c>
      <c r="AR89" s="124">
        <f>+L89</f>
        <v>19994.099999999999</v>
      </c>
      <c r="AS89" s="124">
        <f>+F89</f>
        <v>18746.650000000001</v>
      </c>
      <c r="AV89" s="372">
        <f t="shared" si="6"/>
        <v>38740.75</v>
      </c>
      <c r="AW89" s="124">
        <f>+AV89+AO89-P89</f>
        <v>0</v>
      </c>
      <c r="AZ89" s="563">
        <v>0</v>
      </c>
      <c r="BA89" s="563">
        <v>2546.35</v>
      </c>
      <c r="BB89" s="563">
        <v>1424.8400000000001</v>
      </c>
      <c r="BC89" s="563"/>
      <c r="BD89" s="563"/>
      <c r="BE89" s="563">
        <v>3971.19</v>
      </c>
      <c r="BF89" s="372"/>
      <c r="BO89" s="563">
        <v>0</v>
      </c>
      <c r="BP89" s="563">
        <v>220102.44999999998</v>
      </c>
      <c r="BQ89" s="563">
        <v>123450.83</v>
      </c>
      <c r="BR89" s="563"/>
      <c r="BS89" s="563"/>
      <c r="BT89" s="563">
        <v>343553.27999999997</v>
      </c>
      <c r="BW89" s="126">
        <v>834</v>
      </c>
      <c r="BX89" s="125">
        <v>14104</v>
      </c>
      <c r="BY89" s="19" t="s">
        <v>13</v>
      </c>
      <c r="BZ89" t="s">
        <v>950</v>
      </c>
    </row>
    <row r="90" spans="1:78" x14ac:dyDescent="0.3">
      <c r="A90" s="436">
        <v>14104</v>
      </c>
      <c r="B90" s="19" t="s">
        <v>13</v>
      </c>
      <c r="C90" t="s">
        <v>476</v>
      </c>
      <c r="D90" s="563"/>
      <c r="E90" s="120"/>
      <c r="F90" s="563">
        <v>6916.41</v>
      </c>
      <c r="G90" s="120">
        <v>1.2543688457389767E-5</v>
      </c>
      <c r="H90" s="563">
        <v>20467.2</v>
      </c>
      <c r="I90" s="120">
        <v>7.4911862458874881E-5</v>
      </c>
      <c r="J90" s="563"/>
      <c r="K90" s="120"/>
      <c r="L90" s="563">
        <v>6710.08</v>
      </c>
      <c r="M90" s="120">
        <v>4.6498617783321821E-5</v>
      </c>
      <c r="N90" s="563">
        <v>34496.009999999995</v>
      </c>
      <c r="O90" s="120">
        <v>4.6705345942687549E-5</v>
      </c>
      <c r="P90" s="124">
        <v>68589.7</v>
      </c>
      <c r="Q90" s="124"/>
      <c r="R90" s="563"/>
      <c r="S90" s="120"/>
      <c r="T90" s="373"/>
      <c r="U90" s="541">
        <v>834</v>
      </c>
      <c r="V90" s="540" t="s">
        <v>477</v>
      </c>
      <c r="W90" s="442" t="s">
        <v>13</v>
      </c>
      <c r="X90" s="552" t="s">
        <v>476</v>
      </c>
      <c r="Y90" s="563"/>
      <c r="Z90" s="563">
        <v>32106.100000000002</v>
      </c>
      <c r="AA90" s="563">
        <v>16492.52</v>
      </c>
      <c r="AB90" s="563"/>
      <c r="AC90" s="563"/>
      <c r="AD90" s="563">
        <v>48598.62</v>
      </c>
      <c r="AE90" s="124"/>
      <c r="AF90" s="541">
        <v>834</v>
      </c>
      <c r="AG90" s="540" t="s">
        <v>477</v>
      </c>
      <c r="AH90" s="442" t="s">
        <v>13</v>
      </c>
      <c r="AI90" s="552" t="s">
        <v>476</v>
      </c>
      <c r="AJ90" s="563"/>
      <c r="AK90" s="563">
        <v>34496.009999999995</v>
      </c>
      <c r="AL90" s="563">
        <v>20467.2</v>
      </c>
      <c r="AM90" s="563"/>
      <c r="AN90" s="563"/>
      <c r="AO90" s="563">
        <v>54963.209999999992</v>
      </c>
      <c r="AR90" s="124">
        <f>+L90</f>
        <v>6710.08</v>
      </c>
      <c r="AS90" s="124">
        <f>+F90</f>
        <v>6916.41</v>
      </c>
      <c r="AV90" s="372">
        <f t="shared" si="6"/>
        <v>13626.49</v>
      </c>
      <c r="AW90" s="124">
        <f>+AV90+AO90-P90</f>
        <v>0</v>
      </c>
      <c r="AZ90" s="563"/>
      <c r="BA90" s="563">
        <v>855.8900000000001</v>
      </c>
      <c r="BB90" s="563">
        <v>527.38</v>
      </c>
      <c r="BC90" s="563"/>
      <c r="BD90" s="563"/>
      <c r="BE90" s="563">
        <v>1383.27</v>
      </c>
      <c r="BF90" s="372"/>
      <c r="BO90" s="563"/>
      <c r="BP90" s="563">
        <v>74168.08</v>
      </c>
      <c r="BQ90" s="563">
        <v>44403.51</v>
      </c>
      <c r="BR90" s="563"/>
      <c r="BS90" s="563"/>
      <c r="BT90" s="563">
        <v>118571.59</v>
      </c>
      <c r="BW90" s="126">
        <v>1109</v>
      </c>
      <c r="BX90" s="125">
        <v>14117</v>
      </c>
      <c r="BY90" s="19" t="s">
        <v>13</v>
      </c>
      <c r="BZ90" t="s">
        <v>1017</v>
      </c>
    </row>
    <row r="91" spans="1:78" x14ac:dyDescent="0.3">
      <c r="A91" s="436">
        <v>14117</v>
      </c>
      <c r="B91" s="19" t="s">
        <v>13</v>
      </c>
      <c r="C91" t="s">
        <v>616</v>
      </c>
      <c r="D91" s="563"/>
      <c r="E91" s="120"/>
      <c r="F91" s="563">
        <v>18169.690000000002</v>
      </c>
      <c r="G91" s="120">
        <v>3.2952779075756109E-5</v>
      </c>
      <c r="H91" s="563">
        <v>53934.94</v>
      </c>
      <c r="I91" s="120">
        <v>1.9740691482018398E-4</v>
      </c>
      <c r="J91" s="563">
        <v>0</v>
      </c>
      <c r="K91" s="120">
        <v>0</v>
      </c>
      <c r="L91" s="563">
        <v>25580.43</v>
      </c>
      <c r="M91" s="120">
        <v>1.772638533822278E-4</v>
      </c>
      <c r="N91" s="563">
        <v>130925.52</v>
      </c>
      <c r="O91" s="120">
        <v>1.7726460840909597E-4</v>
      </c>
      <c r="P91" s="124">
        <v>228610.58000000002</v>
      </c>
      <c r="Q91" s="124"/>
      <c r="R91" s="563"/>
      <c r="S91" s="120"/>
      <c r="T91" s="373"/>
      <c r="U91" s="541">
        <v>1109</v>
      </c>
      <c r="V91" s="540" t="s">
        <v>617</v>
      </c>
      <c r="W91" s="442" t="s">
        <v>13</v>
      </c>
      <c r="X91" s="552" t="s">
        <v>616</v>
      </c>
      <c r="Y91" s="563">
        <v>0</v>
      </c>
      <c r="Z91" s="563">
        <v>112961.56</v>
      </c>
      <c r="AA91" s="563">
        <v>48075.96</v>
      </c>
      <c r="AB91" s="563"/>
      <c r="AC91" s="563"/>
      <c r="AD91" s="563">
        <v>161037.51999999999</v>
      </c>
      <c r="AE91" s="124"/>
      <c r="AF91" s="541">
        <v>1109</v>
      </c>
      <c r="AG91" s="540" t="s">
        <v>617</v>
      </c>
      <c r="AH91" s="442" t="s">
        <v>13</v>
      </c>
      <c r="AI91" s="552" t="s">
        <v>616</v>
      </c>
      <c r="AJ91" s="563">
        <v>0</v>
      </c>
      <c r="AK91" s="563">
        <v>130925.52</v>
      </c>
      <c r="AL91" s="563">
        <v>53934.94</v>
      </c>
      <c r="AM91" s="563"/>
      <c r="AN91" s="563"/>
      <c r="AO91" s="563">
        <v>184860.46000000002</v>
      </c>
      <c r="AR91" s="124">
        <f>+L91</f>
        <v>25580.43</v>
      </c>
      <c r="AS91" s="124">
        <f>+F91</f>
        <v>18169.690000000002</v>
      </c>
      <c r="AV91" s="372">
        <f t="shared" si="6"/>
        <v>43750.12</v>
      </c>
      <c r="AW91" s="124">
        <f>+AV91+AO91-P91</f>
        <v>0</v>
      </c>
      <c r="AZ91" s="563">
        <v>0</v>
      </c>
      <c r="BA91" s="563">
        <v>3248.63</v>
      </c>
      <c r="BB91" s="563">
        <v>1389.9499999999998</v>
      </c>
      <c r="BC91" s="563"/>
      <c r="BD91" s="563"/>
      <c r="BE91" s="563">
        <v>4638.58</v>
      </c>
      <c r="BF91" s="372"/>
      <c r="BO91" s="563">
        <v>0</v>
      </c>
      <c r="BP91" s="563">
        <v>272716.14</v>
      </c>
      <c r="BQ91" s="563">
        <v>121570.54000000001</v>
      </c>
      <c r="BR91" s="563"/>
      <c r="BS91" s="563"/>
      <c r="BT91" s="563">
        <v>394286.68000000005</v>
      </c>
      <c r="BW91" s="126">
        <v>663</v>
      </c>
      <c r="BX91" s="125">
        <v>14172</v>
      </c>
      <c r="BY91" s="19" t="s">
        <v>13</v>
      </c>
      <c r="BZ91" t="s">
        <v>901</v>
      </c>
    </row>
    <row r="92" spans="1:78" x14ac:dyDescent="0.3">
      <c r="A92" s="436">
        <v>14172</v>
      </c>
      <c r="B92" s="19" t="s">
        <v>13</v>
      </c>
      <c r="C92" t="s">
        <v>372</v>
      </c>
      <c r="D92" s="563"/>
      <c r="E92" s="120"/>
      <c r="F92" s="563">
        <v>52101.74</v>
      </c>
      <c r="G92" s="120">
        <v>9.4492373160053072E-5</v>
      </c>
      <c r="H92" s="563">
        <v>153890.03</v>
      </c>
      <c r="I92" s="120">
        <v>5.6325187427455289E-4</v>
      </c>
      <c r="J92" s="563"/>
      <c r="K92" s="120"/>
      <c r="L92" s="563">
        <v>73624.649999999994</v>
      </c>
      <c r="M92" s="120">
        <v>5.1019428379107923E-4</v>
      </c>
      <c r="N92" s="563">
        <v>378079.75</v>
      </c>
      <c r="O92" s="120">
        <v>5.1189530376628562E-4</v>
      </c>
      <c r="P92" s="124">
        <v>657696.16999999993</v>
      </c>
      <c r="Q92" s="124"/>
      <c r="R92" s="563"/>
      <c r="S92" s="120"/>
      <c r="T92" s="373"/>
      <c r="U92" s="541">
        <v>663</v>
      </c>
      <c r="V92" s="540" t="s">
        <v>373</v>
      </c>
      <c r="W92" s="442" t="s">
        <v>13</v>
      </c>
      <c r="X92" s="552" t="s">
        <v>372</v>
      </c>
      <c r="Y92" s="563"/>
      <c r="Z92" s="563">
        <v>345232.81999999995</v>
      </c>
      <c r="AA92" s="563">
        <v>139889.84</v>
      </c>
      <c r="AB92" s="563"/>
      <c r="AC92" s="563"/>
      <c r="AD92" s="563">
        <v>485122.65999999992</v>
      </c>
      <c r="AE92" s="124"/>
      <c r="AF92" s="541">
        <v>663</v>
      </c>
      <c r="AG92" s="540" t="s">
        <v>373</v>
      </c>
      <c r="AH92" s="442" t="s">
        <v>13</v>
      </c>
      <c r="AI92" s="552" t="s">
        <v>372</v>
      </c>
      <c r="AJ92" s="563"/>
      <c r="AK92" s="563">
        <v>378079.75</v>
      </c>
      <c r="AL92" s="563">
        <v>153890.03</v>
      </c>
      <c r="AM92" s="563"/>
      <c r="AN92" s="563"/>
      <c r="AO92" s="563">
        <v>531969.78</v>
      </c>
      <c r="AR92" s="124">
        <f>+L92</f>
        <v>73624.649999999994</v>
      </c>
      <c r="AS92" s="124">
        <f>+F92</f>
        <v>52101.74</v>
      </c>
      <c r="AV92" s="372">
        <f t="shared" si="6"/>
        <v>125726.38999999998</v>
      </c>
      <c r="AW92" s="124">
        <f>+AV92+AO92-P92</f>
        <v>0</v>
      </c>
      <c r="AZ92" s="563"/>
      <c r="BA92" s="563">
        <v>9381.4699999999993</v>
      </c>
      <c r="BB92" s="563">
        <v>3967.3599999999997</v>
      </c>
      <c r="BC92" s="563"/>
      <c r="BD92" s="563"/>
      <c r="BE92" s="563">
        <v>13348.829999999998</v>
      </c>
      <c r="BF92" s="372"/>
      <c r="BO92" s="563"/>
      <c r="BP92" s="563">
        <v>806318.69</v>
      </c>
      <c r="BQ92" s="563">
        <v>349848.97</v>
      </c>
      <c r="BR92" s="563"/>
      <c r="BS92" s="563"/>
      <c r="BT92" s="563">
        <v>1156167.6599999999</v>
      </c>
      <c r="BW92" s="126">
        <v>660</v>
      </c>
      <c r="BX92" s="125">
        <v>14400</v>
      </c>
      <c r="BY92" s="19" t="s">
        <v>13</v>
      </c>
      <c r="BZ92" t="s">
        <v>899</v>
      </c>
    </row>
    <row r="93" spans="1:78" x14ac:dyDescent="0.3">
      <c r="A93" s="436">
        <v>14400</v>
      </c>
      <c r="B93" s="19" t="s">
        <v>13</v>
      </c>
      <c r="C93" t="s">
        <v>368</v>
      </c>
      <c r="D93" s="563"/>
      <c r="E93" s="120"/>
      <c r="F93" s="563">
        <v>30222.690000000002</v>
      </c>
      <c r="G93" s="120">
        <v>5.4812251978160515E-5</v>
      </c>
      <c r="H93" s="563">
        <v>89217.18</v>
      </c>
      <c r="I93" s="120">
        <v>3.2654320655139355E-4</v>
      </c>
      <c r="J93" s="563"/>
      <c r="K93" s="120"/>
      <c r="L93" s="563">
        <v>40367.29</v>
      </c>
      <c r="M93" s="120">
        <v>2.7973186439781778E-4</v>
      </c>
      <c r="N93" s="563">
        <v>208250.43</v>
      </c>
      <c r="O93" s="120">
        <v>2.8195748945641653E-4</v>
      </c>
      <c r="P93" s="124">
        <v>368057.58999999997</v>
      </c>
      <c r="Q93" s="124"/>
      <c r="R93" s="563"/>
      <c r="S93" s="120"/>
      <c r="T93" s="373"/>
      <c r="U93" s="541">
        <v>660</v>
      </c>
      <c r="V93" s="540" t="s">
        <v>369</v>
      </c>
      <c r="W93" s="442" t="s">
        <v>13</v>
      </c>
      <c r="X93" s="552" t="s">
        <v>368</v>
      </c>
      <c r="Y93" s="563"/>
      <c r="Z93" s="563">
        <v>187554.95</v>
      </c>
      <c r="AA93" s="563">
        <v>85317.83</v>
      </c>
      <c r="AB93" s="563"/>
      <c r="AC93" s="563"/>
      <c r="AD93" s="563">
        <v>272872.78000000003</v>
      </c>
      <c r="AE93" s="124"/>
      <c r="AF93" s="541">
        <v>660</v>
      </c>
      <c r="AG93" s="540" t="s">
        <v>369</v>
      </c>
      <c r="AH93" s="442" t="s">
        <v>13</v>
      </c>
      <c r="AI93" s="552" t="s">
        <v>368</v>
      </c>
      <c r="AJ93" s="563"/>
      <c r="AK93" s="563">
        <v>208250.43</v>
      </c>
      <c r="AL93" s="563">
        <v>89217.18</v>
      </c>
      <c r="AM93" s="563"/>
      <c r="AN93" s="563"/>
      <c r="AO93" s="563">
        <v>297467.61</v>
      </c>
      <c r="AR93" s="124">
        <f>+L93</f>
        <v>40367.29</v>
      </c>
      <c r="AS93" s="124">
        <f>+F93</f>
        <v>30222.690000000002</v>
      </c>
      <c r="AV93" s="372">
        <f t="shared" si="6"/>
        <v>70589.98000000001</v>
      </c>
      <c r="AW93" s="124">
        <f>+AV93+AO93-P93</f>
        <v>0</v>
      </c>
      <c r="AZ93" s="563"/>
      <c r="BA93" s="563">
        <v>5167.3099999999995</v>
      </c>
      <c r="BB93" s="563">
        <v>2299.3000000000002</v>
      </c>
      <c r="BC93" s="563"/>
      <c r="BD93" s="563"/>
      <c r="BE93" s="563">
        <v>7466.61</v>
      </c>
      <c r="BF93" s="372"/>
      <c r="BO93" s="563"/>
      <c r="BP93" s="563">
        <v>441339.98</v>
      </c>
      <c r="BQ93" s="563">
        <v>207057</v>
      </c>
      <c r="BR93" s="563"/>
      <c r="BS93" s="563"/>
      <c r="BT93" s="563">
        <v>648396.98</v>
      </c>
      <c r="BW93" s="126">
        <v>656</v>
      </c>
      <c r="BX93" s="125">
        <v>15201</v>
      </c>
      <c r="BY93" s="19" t="s">
        <v>21</v>
      </c>
      <c r="BZ93" t="s">
        <v>897</v>
      </c>
    </row>
    <row r="94" spans="1:78" x14ac:dyDescent="0.3">
      <c r="A94" s="436">
        <v>15201</v>
      </c>
      <c r="B94" s="19" t="s">
        <v>21</v>
      </c>
      <c r="C94" t="s">
        <v>364</v>
      </c>
      <c r="D94" s="563"/>
      <c r="E94" s="120"/>
      <c r="F94" s="563">
        <v>505483.73</v>
      </c>
      <c r="G94" s="120">
        <v>9.1675167166193521E-4</v>
      </c>
      <c r="H94" s="563">
        <v>1494944.2200000002</v>
      </c>
      <c r="I94" s="120">
        <v>5.471635386976724E-3</v>
      </c>
      <c r="J94" s="563">
        <v>0</v>
      </c>
      <c r="K94" s="120">
        <v>0</v>
      </c>
      <c r="L94" s="563">
        <v>744833.99</v>
      </c>
      <c r="M94" s="120">
        <v>5.161451281212228E-3</v>
      </c>
      <c r="N94" s="563">
        <v>3820411.76</v>
      </c>
      <c r="O94" s="120">
        <v>5.1725881600310246E-3</v>
      </c>
      <c r="P94" s="124">
        <v>6565673.7000000002</v>
      </c>
      <c r="Q94" s="124"/>
      <c r="R94" s="563"/>
      <c r="S94" s="120"/>
      <c r="T94" s="373"/>
      <c r="U94" s="541">
        <v>656</v>
      </c>
      <c r="V94" s="540" t="s">
        <v>365</v>
      </c>
      <c r="W94" s="442" t="s">
        <v>21</v>
      </c>
      <c r="X94" s="552" t="s">
        <v>364</v>
      </c>
      <c r="Y94" s="563">
        <v>0</v>
      </c>
      <c r="Z94" s="563">
        <v>3809058.1900000004</v>
      </c>
      <c r="AA94" s="563">
        <v>1417639.46</v>
      </c>
      <c r="AB94" s="563"/>
      <c r="AC94" s="563"/>
      <c r="AD94" s="563">
        <v>5226697.6500000004</v>
      </c>
      <c r="AE94" s="124"/>
      <c r="AF94" s="541">
        <v>656</v>
      </c>
      <c r="AG94" s="540" t="s">
        <v>365</v>
      </c>
      <c r="AH94" s="442" t="s">
        <v>21</v>
      </c>
      <c r="AI94" s="552" t="s">
        <v>364</v>
      </c>
      <c r="AJ94" s="563">
        <v>0</v>
      </c>
      <c r="AK94" s="563">
        <v>3820411.76</v>
      </c>
      <c r="AL94" s="563">
        <v>1494944.2200000002</v>
      </c>
      <c r="AM94" s="563"/>
      <c r="AN94" s="563"/>
      <c r="AO94" s="563">
        <v>5315355.9800000004</v>
      </c>
      <c r="AR94" s="124">
        <f>+L94</f>
        <v>744833.99</v>
      </c>
      <c r="AS94" s="124">
        <f>+F94</f>
        <v>505483.73</v>
      </c>
      <c r="AV94" s="372">
        <f t="shared" si="6"/>
        <v>1250317.72</v>
      </c>
      <c r="AW94" s="124">
        <f>+AV94+AO94-P94</f>
        <v>0</v>
      </c>
      <c r="AZ94" s="563">
        <v>0</v>
      </c>
      <c r="BA94" s="563">
        <v>94798.78</v>
      </c>
      <c r="BB94" s="563">
        <v>38529.32</v>
      </c>
      <c r="BC94" s="563"/>
      <c r="BD94" s="563"/>
      <c r="BE94" s="563">
        <v>133328.1</v>
      </c>
      <c r="BF94" s="372"/>
      <c r="BO94" s="563">
        <v>0</v>
      </c>
      <c r="BP94" s="563">
        <v>8469102.7199999988</v>
      </c>
      <c r="BQ94" s="563">
        <v>3456596.73</v>
      </c>
      <c r="BR94" s="563"/>
      <c r="BS94" s="563"/>
      <c r="BT94" s="563">
        <v>11925699.449999999</v>
      </c>
      <c r="BW94" s="126">
        <v>199</v>
      </c>
      <c r="BX94" s="125">
        <v>15204</v>
      </c>
      <c r="BY94" s="19" t="s">
        <v>21</v>
      </c>
      <c r="BZ94" t="s">
        <v>779</v>
      </c>
    </row>
    <row r="95" spans="1:78" x14ac:dyDescent="0.3">
      <c r="A95" s="436">
        <v>15204</v>
      </c>
      <c r="B95" s="19" t="s">
        <v>21</v>
      </c>
      <c r="C95" t="s">
        <v>116</v>
      </c>
      <c r="D95" s="563"/>
      <c r="E95" s="120"/>
      <c r="F95" s="563">
        <v>86676.26999999999</v>
      </c>
      <c r="G95" s="120">
        <v>1.5719717708010352E-4</v>
      </c>
      <c r="H95" s="563">
        <v>256881.94</v>
      </c>
      <c r="I95" s="120">
        <v>9.4021187839318278E-4</v>
      </c>
      <c r="J95" s="563">
        <v>0</v>
      </c>
      <c r="K95" s="120">
        <v>0</v>
      </c>
      <c r="L95" s="563">
        <v>123294.94</v>
      </c>
      <c r="M95" s="120">
        <v>8.5439283729517345E-4</v>
      </c>
      <c r="N95" s="563">
        <v>631861.80000000005</v>
      </c>
      <c r="O95" s="120">
        <v>8.5549963479745225E-4</v>
      </c>
      <c r="P95" s="124">
        <v>1098714.95</v>
      </c>
      <c r="Q95" s="124"/>
      <c r="R95" s="563"/>
      <c r="S95" s="120"/>
      <c r="T95" s="373"/>
      <c r="U95" s="541">
        <v>199</v>
      </c>
      <c r="V95" s="540" t="s">
        <v>117</v>
      </c>
      <c r="W95" s="442" t="s">
        <v>21</v>
      </c>
      <c r="X95" s="552" t="s">
        <v>116</v>
      </c>
      <c r="Y95" s="563">
        <v>0</v>
      </c>
      <c r="Z95" s="563">
        <v>621464.71</v>
      </c>
      <c r="AA95" s="563">
        <v>232548.15000000002</v>
      </c>
      <c r="AB95" s="563"/>
      <c r="AC95" s="563"/>
      <c r="AD95" s="563">
        <v>854012.86</v>
      </c>
      <c r="AE95" s="124"/>
      <c r="AF95" s="541">
        <v>199</v>
      </c>
      <c r="AG95" s="540" t="s">
        <v>117</v>
      </c>
      <c r="AH95" s="442" t="s">
        <v>21</v>
      </c>
      <c r="AI95" s="552" t="s">
        <v>116</v>
      </c>
      <c r="AJ95" s="563">
        <v>0</v>
      </c>
      <c r="AK95" s="563">
        <v>631861.80000000005</v>
      </c>
      <c r="AL95" s="563">
        <v>256881.94</v>
      </c>
      <c r="AM95" s="563"/>
      <c r="AN95" s="563"/>
      <c r="AO95" s="563">
        <v>888743.74</v>
      </c>
      <c r="AR95" s="124">
        <f>+L95</f>
        <v>123294.94</v>
      </c>
      <c r="AS95" s="124">
        <f>+F95</f>
        <v>86676.26999999999</v>
      </c>
      <c r="AV95" s="372">
        <f t="shared" si="6"/>
        <v>209971.21</v>
      </c>
      <c r="AW95" s="124">
        <f>+AV95+AO95-P95</f>
        <v>0</v>
      </c>
      <c r="AZ95" s="563">
        <v>0</v>
      </c>
      <c r="BA95" s="563">
        <v>15678.79</v>
      </c>
      <c r="BB95" s="563">
        <v>6620.4699999999993</v>
      </c>
      <c r="BC95" s="563"/>
      <c r="BD95" s="563"/>
      <c r="BE95" s="563">
        <v>22299.260000000002</v>
      </c>
      <c r="BF95" s="372"/>
      <c r="BO95" s="563">
        <v>0</v>
      </c>
      <c r="BP95" s="563">
        <v>1392300.24</v>
      </c>
      <c r="BQ95" s="563">
        <v>582726.83000000007</v>
      </c>
      <c r="BR95" s="563"/>
      <c r="BS95" s="563"/>
      <c r="BT95" s="563">
        <v>1975027.07</v>
      </c>
      <c r="BW95" s="126">
        <v>903</v>
      </c>
      <c r="BX95" s="125">
        <v>15206</v>
      </c>
      <c r="BY95" s="19" t="s">
        <v>21</v>
      </c>
      <c r="BZ95" t="s">
        <v>963</v>
      </c>
    </row>
    <row r="96" spans="1:78" x14ac:dyDescent="0.3">
      <c r="A96" s="436">
        <v>15206</v>
      </c>
      <c r="B96" s="19" t="s">
        <v>21</v>
      </c>
      <c r="C96" t="s">
        <v>508</v>
      </c>
      <c r="D96" s="563"/>
      <c r="E96" s="120"/>
      <c r="F96" s="563">
        <v>91394.38</v>
      </c>
      <c r="G96" s="120">
        <v>1.6575400091612473E-4</v>
      </c>
      <c r="H96" s="563">
        <v>270546.27</v>
      </c>
      <c r="I96" s="120">
        <v>9.9022460165541109E-4</v>
      </c>
      <c r="J96" s="563">
        <v>0</v>
      </c>
      <c r="K96" s="120">
        <v>0</v>
      </c>
      <c r="L96" s="563">
        <v>154918.70000000001</v>
      </c>
      <c r="M96" s="120">
        <v>1.0735349532031062E-3</v>
      </c>
      <c r="N96" s="563">
        <v>791574.94</v>
      </c>
      <c r="O96" s="120">
        <v>1.0717408016829235E-3</v>
      </c>
      <c r="P96" s="124">
        <v>1308434.29</v>
      </c>
      <c r="Q96" s="124"/>
      <c r="R96" s="563"/>
      <c r="S96" s="120"/>
      <c r="T96" s="373"/>
      <c r="U96" s="541">
        <v>903</v>
      </c>
      <c r="V96" s="540" t="s">
        <v>509</v>
      </c>
      <c r="W96" s="442" t="s">
        <v>21</v>
      </c>
      <c r="X96" s="552" t="s">
        <v>508</v>
      </c>
      <c r="Y96" s="563">
        <v>0</v>
      </c>
      <c r="Z96" s="563">
        <v>784163.67</v>
      </c>
      <c r="AA96" s="563">
        <v>257782.61000000002</v>
      </c>
      <c r="AB96" s="563"/>
      <c r="AC96" s="563"/>
      <c r="AD96" s="563">
        <v>1041946.28</v>
      </c>
      <c r="AE96" s="124"/>
      <c r="AF96" s="541">
        <v>903</v>
      </c>
      <c r="AG96" s="540" t="s">
        <v>509</v>
      </c>
      <c r="AH96" s="442" t="s">
        <v>21</v>
      </c>
      <c r="AI96" s="552" t="s">
        <v>508</v>
      </c>
      <c r="AJ96" s="563">
        <v>0</v>
      </c>
      <c r="AK96" s="563">
        <v>791574.94</v>
      </c>
      <c r="AL96" s="563">
        <v>270546.27</v>
      </c>
      <c r="AM96" s="563"/>
      <c r="AN96" s="563"/>
      <c r="AO96" s="563">
        <v>1062121.21</v>
      </c>
      <c r="AR96" s="124">
        <f>+L96</f>
        <v>154918.70000000001</v>
      </c>
      <c r="AS96" s="124">
        <f>+F96</f>
        <v>91394.38</v>
      </c>
      <c r="AV96" s="372">
        <f t="shared" si="6"/>
        <v>246313.08000000002</v>
      </c>
      <c r="AW96" s="124">
        <f>+AV96+AO96-P96</f>
        <v>0</v>
      </c>
      <c r="AZ96" s="563">
        <v>0</v>
      </c>
      <c r="BA96" s="563">
        <v>19639.84</v>
      </c>
      <c r="BB96" s="563">
        <v>6972.7000000000007</v>
      </c>
      <c r="BC96" s="563"/>
      <c r="BD96" s="563"/>
      <c r="BE96" s="563">
        <v>26612.54</v>
      </c>
      <c r="BF96" s="372"/>
      <c r="BO96" s="563">
        <v>0</v>
      </c>
      <c r="BP96" s="563">
        <v>1750297.15</v>
      </c>
      <c r="BQ96" s="563">
        <v>626695.96</v>
      </c>
      <c r="BR96" s="563"/>
      <c r="BS96" s="563"/>
      <c r="BT96" s="563">
        <v>2376993.11</v>
      </c>
      <c r="BW96" s="126">
        <v>785</v>
      </c>
      <c r="BX96" s="125">
        <v>16020</v>
      </c>
      <c r="BY96" s="19" t="s">
        <v>52</v>
      </c>
      <c r="BZ96" t="s">
        <v>930</v>
      </c>
    </row>
    <row r="97" spans="1:78" x14ac:dyDescent="0.3">
      <c r="A97" s="436">
        <v>16020</v>
      </c>
      <c r="B97" s="19" t="s">
        <v>52</v>
      </c>
      <c r="C97" t="s">
        <v>434</v>
      </c>
      <c r="D97" s="563"/>
      <c r="E97" s="120"/>
      <c r="F97" s="563">
        <v>3728.41</v>
      </c>
      <c r="G97" s="120">
        <v>6.7618914265372616E-6</v>
      </c>
      <c r="H97" s="563">
        <v>10999.45</v>
      </c>
      <c r="I97" s="120">
        <v>4.0259013715763336E-5</v>
      </c>
      <c r="J97" s="563"/>
      <c r="K97" s="120"/>
      <c r="L97" s="563">
        <v>4917.07</v>
      </c>
      <c r="M97" s="120">
        <v>3.4073656132838691E-5</v>
      </c>
      <c r="N97" s="563">
        <v>25172.23</v>
      </c>
      <c r="O97" s="120">
        <v>3.4081556397360098E-5</v>
      </c>
      <c r="P97" s="124">
        <v>44817.16</v>
      </c>
      <c r="Q97" s="124"/>
      <c r="R97" s="563"/>
      <c r="S97" s="120"/>
      <c r="T97" s="373"/>
      <c r="U97" s="541">
        <v>785</v>
      </c>
      <c r="V97" s="540" t="s">
        <v>435</v>
      </c>
      <c r="W97" s="442" t="s">
        <v>52</v>
      </c>
      <c r="X97" s="552" t="s">
        <v>434</v>
      </c>
      <c r="Y97" s="563"/>
      <c r="Z97" s="563">
        <v>19412.68</v>
      </c>
      <c r="AA97" s="563">
        <v>10068.91</v>
      </c>
      <c r="AB97" s="563"/>
      <c r="AC97" s="563"/>
      <c r="AD97" s="563">
        <v>29481.59</v>
      </c>
      <c r="AE97" s="124"/>
      <c r="AF97" s="541">
        <v>785</v>
      </c>
      <c r="AG97" s="540" t="s">
        <v>435</v>
      </c>
      <c r="AH97" s="442" t="s">
        <v>52</v>
      </c>
      <c r="AI97" s="552" t="s">
        <v>434</v>
      </c>
      <c r="AJ97" s="563"/>
      <c r="AK97" s="563">
        <v>25172.23</v>
      </c>
      <c r="AL97" s="563">
        <v>10999.45</v>
      </c>
      <c r="AM97" s="563"/>
      <c r="AN97" s="563"/>
      <c r="AO97" s="563">
        <v>36171.68</v>
      </c>
      <c r="AR97" s="124">
        <f>+L97</f>
        <v>4917.07</v>
      </c>
      <c r="AS97" s="124">
        <f>+F97</f>
        <v>3728.41</v>
      </c>
      <c r="AV97" s="372">
        <f t="shared" si="6"/>
        <v>8645.48</v>
      </c>
      <c r="AW97" s="124">
        <f>+AV97+AO97-P97</f>
        <v>0</v>
      </c>
      <c r="AZ97" s="563"/>
      <c r="BA97" s="563">
        <v>624.49</v>
      </c>
      <c r="BB97" s="563">
        <v>283.38</v>
      </c>
      <c r="BC97" s="563"/>
      <c r="BD97" s="563"/>
      <c r="BE97" s="563">
        <v>907.87</v>
      </c>
      <c r="BF97" s="372"/>
      <c r="BO97" s="563"/>
      <c r="BP97" s="563">
        <v>50126.47</v>
      </c>
      <c r="BQ97" s="563">
        <v>25080.15</v>
      </c>
      <c r="BR97" s="563"/>
      <c r="BS97" s="563"/>
      <c r="BT97" s="563">
        <v>75206.62</v>
      </c>
      <c r="BW97" s="126">
        <v>89</v>
      </c>
      <c r="BX97" s="125">
        <v>16046</v>
      </c>
      <c r="BY97" s="19" t="s">
        <v>52</v>
      </c>
      <c r="BZ97" t="s">
        <v>750</v>
      </c>
    </row>
    <row r="98" spans="1:78" x14ac:dyDescent="0.3">
      <c r="A98" s="436">
        <v>16046</v>
      </c>
      <c r="B98" s="19" t="s">
        <v>52</v>
      </c>
      <c r="C98" t="s">
        <v>58</v>
      </c>
      <c r="D98" s="563"/>
      <c r="E98" s="120"/>
      <c r="F98" s="563">
        <v>8163.3899999999994</v>
      </c>
      <c r="G98" s="120">
        <v>1.4805227121609483E-5</v>
      </c>
      <c r="H98" s="563">
        <v>24068.97</v>
      </c>
      <c r="I98" s="120">
        <v>8.8094676856960685E-5</v>
      </c>
      <c r="J98" s="563"/>
      <c r="K98" s="120"/>
      <c r="L98" s="563">
        <v>8241.09</v>
      </c>
      <c r="M98" s="120">
        <v>5.7108006764145236E-5</v>
      </c>
      <c r="N98" s="563">
        <v>42300.42</v>
      </c>
      <c r="O98" s="120">
        <v>5.7272007679177372E-5</v>
      </c>
      <c r="P98" s="124">
        <v>82773.87</v>
      </c>
      <c r="Q98" s="124"/>
      <c r="R98" s="563"/>
      <c r="S98" s="120"/>
      <c r="T98" s="373"/>
      <c r="U98" s="541">
        <v>89</v>
      </c>
      <c r="V98" s="540" t="s">
        <v>59</v>
      </c>
      <c r="W98" s="442" t="s">
        <v>52</v>
      </c>
      <c r="X98" s="552" t="s">
        <v>58</v>
      </c>
      <c r="Y98" s="563"/>
      <c r="Z98" s="563">
        <v>36418.57</v>
      </c>
      <c r="AA98" s="563">
        <v>22334.01</v>
      </c>
      <c r="AB98" s="563"/>
      <c r="AC98" s="563"/>
      <c r="AD98" s="563">
        <v>58752.58</v>
      </c>
      <c r="AE98" s="124"/>
      <c r="AF98" s="541">
        <v>89</v>
      </c>
      <c r="AG98" s="540" t="s">
        <v>59</v>
      </c>
      <c r="AH98" s="442" t="s">
        <v>52</v>
      </c>
      <c r="AI98" s="552" t="s">
        <v>58</v>
      </c>
      <c r="AJ98" s="563"/>
      <c r="AK98" s="563">
        <v>42300.42</v>
      </c>
      <c r="AL98" s="563">
        <v>24068.97</v>
      </c>
      <c r="AM98" s="563"/>
      <c r="AN98" s="563"/>
      <c r="AO98" s="563">
        <v>66369.39</v>
      </c>
      <c r="AR98" s="124">
        <f>+L98</f>
        <v>8241.09</v>
      </c>
      <c r="AS98" s="124">
        <f>+F98</f>
        <v>8163.3899999999994</v>
      </c>
      <c r="AV98" s="372">
        <f t="shared" si="6"/>
        <v>16404.48</v>
      </c>
      <c r="AW98" s="124">
        <f>+AV98+AO98-P98</f>
        <v>0</v>
      </c>
      <c r="AZ98" s="563"/>
      <c r="BA98" s="563">
        <v>1049.49</v>
      </c>
      <c r="BB98" s="563">
        <v>620.23</v>
      </c>
      <c r="BC98" s="563"/>
      <c r="BD98" s="563"/>
      <c r="BE98" s="563">
        <v>1669.72</v>
      </c>
      <c r="BF98" s="372"/>
      <c r="BO98" s="563"/>
      <c r="BP98" s="563">
        <v>88009.57</v>
      </c>
      <c r="BQ98" s="563">
        <v>55186.6</v>
      </c>
      <c r="BR98" s="563"/>
      <c r="BS98" s="563"/>
      <c r="BT98" s="563">
        <v>143196.17000000001</v>
      </c>
      <c r="BW98" s="126">
        <v>786</v>
      </c>
      <c r="BX98" s="125">
        <v>16048</v>
      </c>
      <c r="BY98" s="19" t="s">
        <v>52</v>
      </c>
      <c r="BZ98" t="s">
        <v>931</v>
      </c>
    </row>
    <row r="99" spans="1:78" x14ac:dyDescent="0.3">
      <c r="A99" s="436">
        <v>16048</v>
      </c>
      <c r="B99" s="19" t="s">
        <v>52</v>
      </c>
      <c r="C99" t="s">
        <v>436</v>
      </c>
      <c r="D99" s="563"/>
      <c r="E99" s="120"/>
      <c r="F99" s="563">
        <v>45724.71</v>
      </c>
      <c r="G99" s="120">
        <v>8.2926911077350023E-5</v>
      </c>
      <c r="H99" s="563">
        <v>135223</v>
      </c>
      <c r="I99" s="120">
        <v>4.9492880204798104E-4</v>
      </c>
      <c r="J99" s="563"/>
      <c r="K99" s="120"/>
      <c r="L99" s="563">
        <v>63518.740000000005</v>
      </c>
      <c r="M99" s="120">
        <v>4.4016369601229726E-4</v>
      </c>
      <c r="N99" s="563">
        <v>325950.83999999997</v>
      </c>
      <c r="O99" s="120">
        <v>4.4131616214482776E-4</v>
      </c>
      <c r="P99" s="124">
        <v>570417.29</v>
      </c>
      <c r="Q99" s="124"/>
      <c r="R99" s="563"/>
      <c r="S99" s="120"/>
      <c r="T99" s="373"/>
      <c r="U99" s="541">
        <v>786</v>
      </c>
      <c r="V99" s="540" t="s">
        <v>437</v>
      </c>
      <c r="W99" s="442" t="s">
        <v>52</v>
      </c>
      <c r="X99" s="552" t="s">
        <v>436</v>
      </c>
      <c r="Y99" s="563"/>
      <c r="Z99" s="563">
        <v>350851.04000000004</v>
      </c>
      <c r="AA99" s="563">
        <v>134334.85</v>
      </c>
      <c r="AB99" s="563"/>
      <c r="AC99" s="563"/>
      <c r="AD99" s="563">
        <v>485185.89</v>
      </c>
      <c r="AE99" s="124"/>
      <c r="AF99" s="541">
        <v>786</v>
      </c>
      <c r="AG99" s="540" t="s">
        <v>437</v>
      </c>
      <c r="AH99" s="442" t="s">
        <v>52</v>
      </c>
      <c r="AI99" s="552" t="s">
        <v>436</v>
      </c>
      <c r="AJ99" s="563"/>
      <c r="AK99" s="563">
        <v>325950.83999999997</v>
      </c>
      <c r="AL99" s="563">
        <v>135223</v>
      </c>
      <c r="AM99" s="563"/>
      <c r="AN99" s="563"/>
      <c r="AO99" s="563">
        <v>461173.83999999997</v>
      </c>
      <c r="AR99" s="124">
        <f>+L99</f>
        <v>63518.740000000005</v>
      </c>
      <c r="AS99" s="124">
        <f>+F99</f>
        <v>45724.71</v>
      </c>
      <c r="AV99" s="372">
        <f t="shared" si="6"/>
        <v>109243.45000000001</v>
      </c>
      <c r="AW99" s="124">
        <f>+AV99+AO99-P99</f>
        <v>0</v>
      </c>
      <c r="AZ99" s="563"/>
      <c r="BA99" s="563">
        <v>8086.9400000000005</v>
      </c>
      <c r="BB99" s="563">
        <v>3484.95</v>
      </c>
      <c r="BC99" s="563"/>
      <c r="BD99" s="563"/>
      <c r="BE99" s="563">
        <v>11571.89</v>
      </c>
      <c r="BF99" s="372"/>
      <c r="BO99" s="563"/>
      <c r="BP99" s="563">
        <v>748407.56</v>
      </c>
      <c r="BQ99" s="563">
        <v>318767.51</v>
      </c>
      <c r="BR99" s="563"/>
      <c r="BS99" s="563"/>
      <c r="BT99" s="563">
        <v>1067175.07</v>
      </c>
      <c r="BW99" s="126">
        <v>137</v>
      </c>
      <c r="BX99" s="125">
        <v>16049</v>
      </c>
      <c r="BY99" s="19" t="s">
        <v>52</v>
      </c>
      <c r="BZ99" t="s">
        <v>765</v>
      </c>
    </row>
    <row r="100" spans="1:78" x14ac:dyDescent="0.3">
      <c r="A100" s="436">
        <v>16049</v>
      </c>
      <c r="B100" s="19" t="s">
        <v>52</v>
      </c>
      <c r="C100" t="s">
        <v>88</v>
      </c>
      <c r="D100" s="563">
        <v>7810.65</v>
      </c>
      <c r="E100" s="120">
        <v>1.4165493406219611E-5</v>
      </c>
      <c r="F100" s="563">
        <v>71967.73000000001</v>
      </c>
      <c r="G100" s="120">
        <v>1.3052158332220665E-4</v>
      </c>
      <c r="H100" s="563">
        <v>213237.44</v>
      </c>
      <c r="I100" s="120">
        <v>7.8046893450802184E-4</v>
      </c>
      <c r="J100" s="563">
        <v>0</v>
      </c>
      <c r="K100" s="120">
        <v>0</v>
      </c>
      <c r="L100" s="563">
        <v>91602.06</v>
      </c>
      <c r="M100" s="120">
        <v>6.3477174282645108E-4</v>
      </c>
      <c r="N100" s="563">
        <v>470149.98</v>
      </c>
      <c r="O100" s="120">
        <v>6.3655238564830059E-4</v>
      </c>
      <c r="P100" s="124">
        <v>854767.86</v>
      </c>
      <c r="Q100" s="124"/>
      <c r="R100" s="563"/>
      <c r="S100" s="120"/>
      <c r="T100" s="373"/>
      <c r="U100" s="541">
        <v>137</v>
      </c>
      <c r="V100" s="540" t="s">
        <v>89</v>
      </c>
      <c r="W100" s="442" t="s">
        <v>52</v>
      </c>
      <c r="X100" s="552" t="s">
        <v>88</v>
      </c>
      <c r="Y100" s="563">
        <v>0</v>
      </c>
      <c r="Z100" s="563">
        <v>458454.61</v>
      </c>
      <c r="AA100" s="563">
        <v>200931.45</v>
      </c>
      <c r="AB100" s="563">
        <v>5231.16</v>
      </c>
      <c r="AC100" s="563"/>
      <c r="AD100" s="563">
        <v>664617.22</v>
      </c>
      <c r="AE100" s="124"/>
      <c r="AF100" s="541">
        <v>137</v>
      </c>
      <c r="AG100" s="540" t="s">
        <v>89</v>
      </c>
      <c r="AH100" s="442" t="s">
        <v>52</v>
      </c>
      <c r="AI100" s="552" t="s">
        <v>88</v>
      </c>
      <c r="AJ100" s="563">
        <v>0</v>
      </c>
      <c r="AK100" s="563">
        <v>470149.98</v>
      </c>
      <c r="AL100" s="563">
        <v>213237.44</v>
      </c>
      <c r="AM100" s="563">
        <v>7810.65</v>
      </c>
      <c r="AN100" s="563"/>
      <c r="AO100" s="563">
        <v>691198.07</v>
      </c>
      <c r="AR100" s="124">
        <f>+L100</f>
        <v>91602.06</v>
      </c>
      <c r="AS100" s="124">
        <f>+F100</f>
        <v>71967.73000000001</v>
      </c>
      <c r="AV100" s="372">
        <f t="shared" si="6"/>
        <v>163569.79</v>
      </c>
      <c r="AW100" s="124">
        <f>+AV100+AO100-P100</f>
        <v>0</v>
      </c>
      <c r="AZ100" s="563">
        <v>0</v>
      </c>
      <c r="BA100" s="563">
        <v>11666.060000000001</v>
      </c>
      <c r="BB100" s="563">
        <v>5495.6399999999994</v>
      </c>
      <c r="BC100" s="563">
        <v>174.32</v>
      </c>
      <c r="BD100" s="563"/>
      <c r="BE100" s="563">
        <v>17336.02</v>
      </c>
      <c r="BF100" s="372"/>
      <c r="BO100" s="563">
        <v>0</v>
      </c>
      <c r="BP100" s="563">
        <v>1031872.71</v>
      </c>
      <c r="BQ100" s="563">
        <v>491632.26</v>
      </c>
      <c r="BR100" s="563">
        <v>13216.13</v>
      </c>
      <c r="BS100" s="563"/>
      <c r="BT100" s="563">
        <v>1536721.1</v>
      </c>
      <c r="BW100" s="126">
        <v>757</v>
      </c>
      <c r="BX100" s="125">
        <v>16050</v>
      </c>
      <c r="BY100" s="19" t="s">
        <v>52</v>
      </c>
      <c r="BZ100" t="s">
        <v>925</v>
      </c>
    </row>
    <row r="101" spans="1:78" x14ac:dyDescent="0.3">
      <c r="A101" s="436">
        <v>16050</v>
      </c>
      <c r="B101" s="19" t="s">
        <v>52</v>
      </c>
      <c r="C101" t="s">
        <v>422</v>
      </c>
      <c r="D101" s="563"/>
      <c r="E101" s="120"/>
      <c r="F101" s="563">
        <v>92813.54</v>
      </c>
      <c r="G101" s="120">
        <v>1.6832780740116382E-4</v>
      </c>
      <c r="H101" s="563">
        <v>270962.25</v>
      </c>
      <c r="I101" s="120">
        <v>9.9174712728400914E-4</v>
      </c>
      <c r="J101" s="563">
        <v>0</v>
      </c>
      <c r="K101" s="120">
        <v>0</v>
      </c>
      <c r="L101" s="563">
        <v>153651.64000000001</v>
      </c>
      <c r="M101" s="120">
        <v>1.0647546497419649E-3</v>
      </c>
      <c r="N101" s="563">
        <v>794017.7</v>
      </c>
      <c r="O101" s="120">
        <v>1.0750481392809517E-3</v>
      </c>
      <c r="P101" s="124">
        <v>1311445.1299999999</v>
      </c>
      <c r="Q101" s="124"/>
      <c r="R101" s="563"/>
      <c r="S101" s="120"/>
      <c r="T101" s="373"/>
      <c r="U101" s="541">
        <v>757</v>
      </c>
      <c r="V101" s="540" t="s">
        <v>423</v>
      </c>
      <c r="W101" s="442" t="s">
        <v>52</v>
      </c>
      <c r="X101" s="552" t="s">
        <v>422</v>
      </c>
      <c r="Y101" s="563">
        <v>0</v>
      </c>
      <c r="Z101" s="563">
        <v>835183.01</v>
      </c>
      <c r="AA101" s="563">
        <v>264806.89</v>
      </c>
      <c r="AB101" s="563"/>
      <c r="AC101" s="563"/>
      <c r="AD101" s="563">
        <v>1099989.8999999999</v>
      </c>
      <c r="AE101" s="124"/>
      <c r="AF101" s="541">
        <v>757</v>
      </c>
      <c r="AG101" s="540" t="s">
        <v>423</v>
      </c>
      <c r="AH101" s="442" t="s">
        <v>52</v>
      </c>
      <c r="AI101" s="552" t="s">
        <v>422</v>
      </c>
      <c r="AJ101" s="563">
        <v>0</v>
      </c>
      <c r="AK101" s="563">
        <v>794017.7</v>
      </c>
      <c r="AL101" s="563">
        <v>270962.25</v>
      </c>
      <c r="AM101" s="563"/>
      <c r="AN101" s="563"/>
      <c r="AO101" s="563">
        <v>1064979.95</v>
      </c>
      <c r="AR101" s="124">
        <f>+L101</f>
        <v>153651.64000000001</v>
      </c>
      <c r="AS101" s="124">
        <f>+F101</f>
        <v>92813.54</v>
      </c>
      <c r="AV101" s="372">
        <f t="shared" si="6"/>
        <v>246465.18</v>
      </c>
      <c r="AW101" s="124">
        <f>+AV101+AO101-P101</f>
        <v>0</v>
      </c>
      <c r="AZ101" s="563">
        <v>0</v>
      </c>
      <c r="BA101" s="563">
        <v>19702.59</v>
      </c>
      <c r="BB101" s="563">
        <v>6983.43</v>
      </c>
      <c r="BC101" s="563"/>
      <c r="BD101" s="563"/>
      <c r="BE101" s="563">
        <v>26686.02</v>
      </c>
      <c r="BF101" s="372"/>
      <c r="BO101" s="563">
        <v>0</v>
      </c>
      <c r="BP101" s="563">
        <v>1802554.94</v>
      </c>
      <c r="BQ101" s="563">
        <v>635566.11</v>
      </c>
      <c r="BR101" s="563"/>
      <c r="BS101" s="563"/>
      <c r="BT101" s="563">
        <v>2438121.0499999998</v>
      </c>
      <c r="BW101" s="126">
        <v>844</v>
      </c>
      <c r="BX101" s="125">
        <v>17001</v>
      </c>
      <c r="BY101" s="19" t="s">
        <v>29</v>
      </c>
      <c r="BZ101" t="s">
        <v>951</v>
      </c>
    </row>
    <row r="102" spans="1:78" x14ac:dyDescent="0.3">
      <c r="A102" s="436">
        <v>17001</v>
      </c>
      <c r="B102" s="19" t="s">
        <v>29</v>
      </c>
      <c r="C102" t="s">
        <v>478</v>
      </c>
      <c r="D102" s="563">
        <v>31581.8</v>
      </c>
      <c r="E102" s="120">
        <v>5.727715102540077E-5</v>
      </c>
      <c r="F102" s="563">
        <v>5739471.0500000007</v>
      </c>
      <c r="G102" s="120">
        <v>1.0409177125330588E-2</v>
      </c>
      <c r="H102" s="563">
        <v>16779771.43</v>
      </c>
      <c r="I102" s="120">
        <v>6.1415529699007106E-2</v>
      </c>
      <c r="J102" s="563">
        <v>37192.32</v>
      </c>
      <c r="K102" s="120">
        <v>2.5773038058488063E-4</v>
      </c>
      <c r="L102" s="563">
        <v>7698697.4199999999</v>
      </c>
      <c r="M102" s="120">
        <v>5.3349406976075674E-2</v>
      </c>
      <c r="N102" s="563">
        <v>39749219.5</v>
      </c>
      <c r="O102" s="120">
        <v>5.3817848722194889E-2</v>
      </c>
      <c r="P102" s="124">
        <v>70035933.520000011</v>
      </c>
      <c r="Q102" s="124"/>
      <c r="R102" s="563"/>
      <c r="S102" s="120"/>
      <c r="T102" s="373"/>
      <c r="U102" s="541">
        <v>844</v>
      </c>
      <c r="V102" s="540" t="s">
        <v>479</v>
      </c>
      <c r="W102" s="442" t="s">
        <v>29</v>
      </c>
      <c r="X102" s="552" t="s">
        <v>478</v>
      </c>
      <c r="Y102" s="563">
        <v>23224.44</v>
      </c>
      <c r="Z102" s="563">
        <v>37240533.93</v>
      </c>
      <c r="AA102" s="563">
        <v>15621037.259999998</v>
      </c>
      <c r="AB102" s="563">
        <v>21074.23</v>
      </c>
      <c r="AC102" s="563"/>
      <c r="AD102" s="563">
        <v>52905869.859999999</v>
      </c>
      <c r="AE102" s="124"/>
      <c r="AF102" s="541">
        <v>844</v>
      </c>
      <c r="AG102" s="540" t="s">
        <v>479</v>
      </c>
      <c r="AH102" s="442" t="s">
        <v>29</v>
      </c>
      <c r="AI102" s="552" t="s">
        <v>478</v>
      </c>
      <c r="AJ102" s="563">
        <v>37192.32</v>
      </c>
      <c r="AK102" s="563">
        <v>39749219.5</v>
      </c>
      <c r="AL102" s="563">
        <v>16779771.43</v>
      </c>
      <c r="AM102" s="563">
        <v>31581.8</v>
      </c>
      <c r="AN102" s="563"/>
      <c r="AO102" s="563">
        <v>56597765.049999997</v>
      </c>
      <c r="AR102" s="124">
        <f>+L102</f>
        <v>7698697.4199999999</v>
      </c>
      <c r="AS102" s="124">
        <f>+F102</f>
        <v>5739471.0500000007</v>
      </c>
      <c r="AV102" s="372">
        <f t="shared" si="6"/>
        <v>13438168.470000001</v>
      </c>
      <c r="AW102" s="124">
        <f>+AV102+AO102-P102</f>
        <v>0</v>
      </c>
      <c r="AZ102" s="563">
        <v>774.13</v>
      </c>
      <c r="BA102" s="563">
        <v>986438.42999999993</v>
      </c>
      <c r="BB102" s="563">
        <v>432497.36</v>
      </c>
      <c r="BC102" s="563">
        <v>702.42</v>
      </c>
      <c r="BD102" s="563"/>
      <c r="BE102" s="563">
        <v>1420412.3399999999</v>
      </c>
      <c r="BF102" s="372"/>
      <c r="BO102" s="563">
        <v>61190.89</v>
      </c>
      <c r="BP102" s="563">
        <v>85674889.280000001</v>
      </c>
      <c r="BQ102" s="563">
        <v>38572777.100000001</v>
      </c>
      <c r="BR102" s="563">
        <v>53358.45</v>
      </c>
      <c r="BS102" s="563"/>
      <c r="BT102" s="563">
        <v>124362215.72</v>
      </c>
      <c r="BW102" s="126">
        <v>294</v>
      </c>
      <c r="BX102" s="125">
        <v>17210</v>
      </c>
      <c r="BY102" s="19" t="s">
        <v>29</v>
      </c>
      <c r="BZ102" t="s">
        <v>811</v>
      </c>
    </row>
    <row r="103" spans="1:78" x14ac:dyDescent="0.3">
      <c r="A103" s="436">
        <v>17210</v>
      </c>
      <c r="B103" s="19" t="s">
        <v>29</v>
      </c>
      <c r="C103" t="s">
        <v>180</v>
      </c>
      <c r="D103" s="563">
        <v>3059.27</v>
      </c>
      <c r="E103" s="120">
        <v>5.5483306783488535E-6</v>
      </c>
      <c r="F103" s="563">
        <v>1695496.73</v>
      </c>
      <c r="G103" s="120">
        <v>3.0749742657886236E-3</v>
      </c>
      <c r="H103" s="563">
        <v>5023772.4399999995</v>
      </c>
      <c r="I103" s="120">
        <v>1.8387476061697067E-2</v>
      </c>
      <c r="J103" s="563">
        <v>14831.75</v>
      </c>
      <c r="K103" s="120">
        <v>1.0277908375276949E-4</v>
      </c>
      <c r="L103" s="563">
        <v>2878492.99</v>
      </c>
      <c r="M103" s="120">
        <v>1.994699695592023E-2</v>
      </c>
      <c r="N103" s="563">
        <v>14741907.65</v>
      </c>
      <c r="O103" s="120">
        <v>1.995958073552281E-2</v>
      </c>
      <c r="P103" s="124">
        <v>24357560.829999998</v>
      </c>
      <c r="Q103" s="124"/>
      <c r="R103" s="563"/>
      <c r="S103" s="120"/>
      <c r="T103" s="373"/>
      <c r="U103" s="541">
        <v>294</v>
      </c>
      <c r="V103" s="540" t="s">
        <v>181</v>
      </c>
      <c r="W103" s="442" t="s">
        <v>29</v>
      </c>
      <c r="X103" s="552" t="s">
        <v>180</v>
      </c>
      <c r="Y103" s="563">
        <v>9259.92</v>
      </c>
      <c r="Z103" s="563">
        <v>13849862.890000001</v>
      </c>
      <c r="AA103" s="563">
        <v>4670148.17</v>
      </c>
      <c r="AB103" s="563">
        <v>2045.17</v>
      </c>
      <c r="AC103" s="563"/>
      <c r="AD103" s="563">
        <v>18531316.149999999</v>
      </c>
      <c r="AE103" s="124"/>
      <c r="AF103" s="541">
        <v>294</v>
      </c>
      <c r="AG103" s="540" t="s">
        <v>181</v>
      </c>
      <c r="AH103" s="442" t="s">
        <v>29</v>
      </c>
      <c r="AI103" s="552" t="s">
        <v>180</v>
      </c>
      <c r="AJ103" s="563">
        <v>14831.75</v>
      </c>
      <c r="AK103" s="563">
        <v>14741907.65</v>
      </c>
      <c r="AL103" s="563">
        <v>5023772.4399999995</v>
      </c>
      <c r="AM103" s="563">
        <v>3059.27</v>
      </c>
      <c r="AN103" s="563"/>
      <c r="AO103" s="563">
        <v>19783571.109999999</v>
      </c>
      <c r="AR103" s="124">
        <f>+L103</f>
        <v>2878492.99</v>
      </c>
      <c r="AS103" s="124">
        <f>+F103</f>
        <v>1695496.73</v>
      </c>
      <c r="AV103" s="372">
        <f t="shared" si="6"/>
        <v>4573989.7200000007</v>
      </c>
      <c r="AW103" s="124">
        <f>+AV103+AO103-P103</f>
        <v>0</v>
      </c>
      <c r="AZ103" s="563">
        <v>308.60000000000002</v>
      </c>
      <c r="BA103" s="563">
        <v>365803.66</v>
      </c>
      <c r="BB103" s="563">
        <v>129455.91</v>
      </c>
      <c r="BC103" s="563">
        <v>68.09</v>
      </c>
      <c r="BD103" s="563"/>
      <c r="BE103" s="563">
        <v>495636.26</v>
      </c>
      <c r="BF103" s="372"/>
      <c r="BO103" s="563">
        <v>24400.27</v>
      </c>
      <c r="BP103" s="563">
        <v>31836067.189999998</v>
      </c>
      <c r="BQ103" s="563">
        <v>11518873.25</v>
      </c>
      <c r="BR103" s="563">
        <v>5172.53</v>
      </c>
      <c r="BS103" s="563"/>
      <c r="BT103" s="563">
        <v>43384513.239999995</v>
      </c>
      <c r="BW103" s="126">
        <v>280</v>
      </c>
      <c r="BX103" s="125">
        <v>17216</v>
      </c>
      <c r="BY103" s="19" t="s">
        <v>29</v>
      </c>
      <c r="BZ103" t="s">
        <v>805</v>
      </c>
    </row>
    <row r="104" spans="1:78" x14ac:dyDescent="0.3">
      <c r="A104" s="436">
        <v>17216</v>
      </c>
      <c r="B104" s="19" t="s">
        <v>29</v>
      </c>
      <c r="C104" t="s">
        <v>168</v>
      </c>
      <c r="D104" s="563"/>
      <c r="E104" s="120"/>
      <c r="F104" s="563">
        <v>350355.66000000003</v>
      </c>
      <c r="G104" s="120">
        <v>6.3540944627677863E-4</v>
      </c>
      <c r="H104" s="563">
        <v>1035597.22</v>
      </c>
      <c r="I104" s="120">
        <v>3.7903824903960086E-3</v>
      </c>
      <c r="J104" s="563">
        <v>0</v>
      </c>
      <c r="K104" s="120">
        <v>0</v>
      </c>
      <c r="L104" s="563">
        <v>523550.6</v>
      </c>
      <c r="M104" s="120">
        <v>3.6280311471143132E-3</v>
      </c>
      <c r="N104" s="563">
        <v>2690029.99</v>
      </c>
      <c r="O104" s="120">
        <v>3.6421250248696692E-3</v>
      </c>
      <c r="P104" s="124">
        <v>4599533.4700000007</v>
      </c>
      <c r="Q104" s="124"/>
      <c r="R104" s="563"/>
      <c r="S104" s="120"/>
      <c r="T104" s="373"/>
      <c r="U104" s="541">
        <v>280</v>
      </c>
      <c r="V104" s="540" t="s">
        <v>169</v>
      </c>
      <c r="W104" s="442" t="s">
        <v>29</v>
      </c>
      <c r="X104" s="552" t="s">
        <v>168</v>
      </c>
      <c r="Y104" s="563">
        <v>0</v>
      </c>
      <c r="Z104" s="563">
        <v>2776350.77</v>
      </c>
      <c r="AA104" s="563">
        <v>954832.01</v>
      </c>
      <c r="AB104" s="563"/>
      <c r="AC104" s="563"/>
      <c r="AD104" s="563">
        <v>3731182.7800000003</v>
      </c>
      <c r="AE104" s="124"/>
      <c r="AF104" s="541">
        <v>280</v>
      </c>
      <c r="AG104" s="540" t="s">
        <v>169</v>
      </c>
      <c r="AH104" s="442" t="s">
        <v>29</v>
      </c>
      <c r="AI104" s="552" t="s">
        <v>168</v>
      </c>
      <c r="AJ104" s="563">
        <v>0</v>
      </c>
      <c r="AK104" s="563">
        <v>2690029.99</v>
      </c>
      <c r="AL104" s="563">
        <v>1035597.22</v>
      </c>
      <c r="AM104" s="563"/>
      <c r="AN104" s="563"/>
      <c r="AO104" s="563">
        <v>3725627.21</v>
      </c>
      <c r="AR104" s="124">
        <f>+L104</f>
        <v>523550.6</v>
      </c>
      <c r="AS104" s="124">
        <f>+F104</f>
        <v>350355.66000000003</v>
      </c>
      <c r="AV104" s="372">
        <f t="shared" si="6"/>
        <v>873906.26</v>
      </c>
      <c r="AW104" s="124">
        <f>+AV104+AO104-P104</f>
        <v>0</v>
      </c>
      <c r="AZ104" s="563">
        <v>0</v>
      </c>
      <c r="BA104" s="563">
        <v>66749.350000000006</v>
      </c>
      <c r="BB104" s="563">
        <v>26690.77</v>
      </c>
      <c r="BC104" s="563"/>
      <c r="BD104" s="563"/>
      <c r="BE104" s="563">
        <v>93440.12000000001</v>
      </c>
      <c r="BF104" s="372"/>
      <c r="BO104" s="563">
        <v>0</v>
      </c>
      <c r="BP104" s="563">
        <v>6056680.71</v>
      </c>
      <c r="BQ104" s="563">
        <v>2367475.66</v>
      </c>
      <c r="BR104" s="563"/>
      <c r="BS104" s="563"/>
      <c r="BT104" s="563">
        <v>8424156.370000001</v>
      </c>
      <c r="BW104" s="126">
        <v>585</v>
      </c>
      <c r="BX104" s="125">
        <v>17400</v>
      </c>
      <c r="BY104" s="19" t="s">
        <v>29</v>
      </c>
      <c r="BZ104" t="s">
        <v>869</v>
      </c>
    </row>
    <row r="105" spans="1:78" x14ac:dyDescent="0.3">
      <c r="A105" s="436">
        <v>17400</v>
      </c>
      <c r="B105" s="19" t="s">
        <v>29</v>
      </c>
      <c r="C105" t="s">
        <v>300</v>
      </c>
      <c r="D105" s="563"/>
      <c r="E105" s="120"/>
      <c r="F105" s="563">
        <v>346036.4</v>
      </c>
      <c r="G105" s="120">
        <v>6.2757598183403075E-4</v>
      </c>
      <c r="H105" s="563">
        <v>1022117.18</v>
      </c>
      <c r="I105" s="120">
        <v>3.7410442857358636E-3</v>
      </c>
      <c r="J105" s="563">
        <v>6822.96</v>
      </c>
      <c r="K105" s="120">
        <v>4.7280838557944689E-5</v>
      </c>
      <c r="L105" s="563">
        <v>546058.51</v>
      </c>
      <c r="M105" s="120">
        <v>3.7840034610347744E-3</v>
      </c>
      <c r="N105" s="563">
        <v>2793074.23</v>
      </c>
      <c r="O105" s="120">
        <v>3.7816402000044546E-3</v>
      </c>
      <c r="P105" s="124">
        <v>4714109.28</v>
      </c>
      <c r="Q105" s="124"/>
      <c r="R105" s="563"/>
      <c r="S105" s="120"/>
      <c r="T105" s="373"/>
      <c r="U105" s="541">
        <v>585</v>
      </c>
      <c r="V105" s="540" t="s">
        <v>301</v>
      </c>
      <c r="W105" s="442" t="s">
        <v>29</v>
      </c>
      <c r="X105" s="552" t="s">
        <v>300</v>
      </c>
      <c r="Y105" s="563">
        <v>4247.51</v>
      </c>
      <c r="Z105" s="563">
        <v>2739934.79</v>
      </c>
      <c r="AA105" s="563">
        <v>1008147.8400000001</v>
      </c>
      <c r="AB105" s="563"/>
      <c r="AC105" s="563"/>
      <c r="AD105" s="563">
        <v>3752330.14</v>
      </c>
      <c r="AE105" s="124"/>
      <c r="AF105" s="541">
        <v>585</v>
      </c>
      <c r="AG105" s="540" t="s">
        <v>301</v>
      </c>
      <c r="AH105" s="442" t="s">
        <v>29</v>
      </c>
      <c r="AI105" s="552" t="s">
        <v>300</v>
      </c>
      <c r="AJ105" s="563">
        <v>6822.96</v>
      </c>
      <c r="AK105" s="563">
        <v>2793074.23</v>
      </c>
      <c r="AL105" s="563">
        <v>1022117.18</v>
      </c>
      <c r="AM105" s="563"/>
      <c r="AN105" s="563"/>
      <c r="AO105" s="563">
        <v>3822014.37</v>
      </c>
      <c r="AR105" s="124">
        <f>+L105</f>
        <v>546058.51</v>
      </c>
      <c r="AS105" s="124">
        <f>+F105</f>
        <v>346036.4</v>
      </c>
      <c r="AV105" s="372">
        <f t="shared" si="6"/>
        <v>892094.91</v>
      </c>
      <c r="AW105" s="124">
        <f>+AV105+AO105-P105</f>
        <v>0</v>
      </c>
      <c r="AZ105" s="563">
        <v>141.47999999999999</v>
      </c>
      <c r="BA105" s="563">
        <v>69295.429999999993</v>
      </c>
      <c r="BB105" s="563">
        <v>26328.510000000002</v>
      </c>
      <c r="BC105" s="563"/>
      <c r="BD105" s="563"/>
      <c r="BE105" s="563">
        <v>95765.42</v>
      </c>
      <c r="BF105" s="372"/>
      <c r="BO105" s="563">
        <v>11211.95</v>
      </c>
      <c r="BP105" s="563">
        <v>6148362.96</v>
      </c>
      <c r="BQ105" s="563">
        <v>2402629.9300000002</v>
      </c>
      <c r="BR105" s="563"/>
      <c r="BS105" s="563"/>
      <c r="BT105" s="563">
        <v>8562204.8399999999</v>
      </c>
      <c r="BW105" s="126">
        <v>378</v>
      </c>
      <c r="BX105" s="125">
        <v>17401</v>
      </c>
      <c r="BY105" s="19" t="s">
        <v>29</v>
      </c>
      <c r="BZ105" t="s">
        <v>829</v>
      </c>
    </row>
    <row r="106" spans="1:78" x14ac:dyDescent="0.3">
      <c r="A106" s="436">
        <v>17401</v>
      </c>
      <c r="B106" s="19" t="s">
        <v>29</v>
      </c>
      <c r="C106" t="s">
        <v>218</v>
      </c>
      <c r="D106" s="563">
        <v>5985.12</v>
      </c>
      <c r="E106" s="120">
        <v>1.0854689161008767E-5</v>
      </c>
      <c r="F106" s="563">
        <v>1836568.74</v>
      </c>
      <c r="G106" s="120">
        <v>3.3308242433778318E-3</v>
      </c>
      <c r="H106" s="563">
        <v>5442748.8000000007</v>
      </c>
      <c r="I106" s="120">
        <v>1.9920968647582783E-2</v>
      </c>
      <c r="J106" s="563">
        <v>0</v>
      </c>
      <c r="K106" s="120">
        <v>0</v>
      </c>
      <c r="L106" s="563">
        <v>2697342.3600000003</v>
      </c>
      <c r="M106" s="120">
        <v>1.8691683471494122E-2</v>
      </c>
      <c r="N106" s="563">
        <v>13822044.74</v>
      </c>
      <c r="O106" s="120">
        <v>1.8714146395974633E-2</v>
      </c>
      <c r="P106" s="124">
        <v>23804689.760000002</v>
      </c>
      <c r="Q106" s="124"/>
      <c r="R106" s="563"/>
      <c r="S106" s="120"/>
      <c r="T106" s="373"/>
      <c r="U106" s="541">
        <v>378</v>
      </c>
      <c r="V106" s="540" t="s">
        <v>219</v>
      </c>
      <c r="W106" s="442" t="s">
        <v>29</v>
      </c>
      <c r="X106" s="552" t="s">
        <v>218</v>
      </c>
      <c r="Y106" s="563">
        <v>0</v>
      </c>
      <c r="Z106" s="563">
        <v>12934179.73</v>
      </c>
      <c r="AA106" s="563">
        <v>5035768.68</v>
      </c>
      <c r="AB106" s="563">
        <v>4003.76</v>
      </c>
      <c r="AC106" s="563"/>
      <c r="AD106" s="563">
        <v>17973952.170000002</v>
      </c>
      <c r="AE106" s="124"/>
      <c r="AF106" s="541">
        <v>378</v>
      </c>
      <c r="AG106" s="540" t="s">
        <v>219</v>
      </c>
      <c r="AH106" s="442" t="s">
        <v>29</v>
      </c>
      <c r="AI106" s="552" t="s">
        <v>218</v>
      </c>
      <c r="AJ106" s="563">
        <v>0</v>
      </c>
      <c r="AK106" s="563">
        <v>13822044.74</v>
      </c>
      <c r="AL106" s="563">
        <v>5442748.8000000007</v>
      </c>
      <c r="AM106" s="563">
        <v>5985.12</v>
      </c>
      <c r="AN106" s="563"/>
      <c r="AO106" s="563">
        <v>19270778.66</v>
      </c>
      <c r="AR106" s="124">
        <f>+L106</f>
        <v>2697342.3600000003</v>
      </c>
      <c r="AS106" s="124">
        <f>+F106</f>
        <v>1836568.74</v>
      </c>
      <c r="AV106" s="372">
        <f t="shared" si="6"/>
        <v>4533911.1000000006</v>
      </c>
      <c r="AW106" s="124">
        <f>+AV106+AO106-P106</f>
        <v>0</v>
      </c>
      <c r="AZ106" s="563">
        <v>0</v>
      </c>
      <c r="BA106" s="563">
        <v>342957.80000000005</v>
      </c>
      <c r="BB106" s="563">
        <v>140300.49</v>
      </c>
      <c r="BC106" s="563">
        <v>133.41999999999999</v>
      </c>
      <c r="BD106" s="563"/>
      <c r="BE106" s="563">
        <v>483391.71000000008</v>
      </c>
      <c r="BF106" s="372"/>
      <c r="BO106" s="563">
        <v>0</v>
      </c>
      <c r="BP106" s="563">
        <v>29796524.629999999</v>
      </c>
      <c r="BQ106" s="563">
        <v>12455386.710000001</v>
      </c>
      <c r="BR106" s="563">
        <v>10122.299999999999</v>
      </c>
      <c r="BS106" s="563"/>
      <c r="BT106" s="563">
        <v>42262033.640000001</v>
      </c>
      <c r="BW106" s="126">
        <v>1032</v>
      </c>
      <c r="BX106" s="125">
        <v>17402</v>
      </c>
      <c r="BY106" s="19" t="s">
        <v>29</v>
      </c>
      <c r="BZ106" t="s">
        <v>996</v>
      </c>
    </row>
    <row r="107" spans="1:78" x14ac:dyDescent="0.3">
      <c r="A107" s="436">
        <v>17402</v>
      </c>
      <c r="B107" s="19" t="s">
        <v>29</v>
      </c>
      <c r="C107" t="s">
        <v>574</v>
      </c>
      <c r="D107" s="563"/>
      <c r="E107" s="120"/>
      <c r="F107" s="563">
        <v>119086.94</v>
      </c>
      <c r="G107" s="120">
        <v>2.1597757719739978E-4</v>
      </c>
      <c r="H107" s="563">
        <v>351936.26</v>
      </c>
      <c r="I107" s="120">
        <v>1.2881195621976054E-3</v>
      </c>
      <c r="J107" s="563">
        <v>0</v>
      </c>
      <c r="K107" s="120">
        <v>0</v>
      </c>
      <c r="L107" s="563">
        <v>169091.82</v>
      </c>
      <c r="M107" s="120">
        <v>1.1717499505916849E-3</v>
      </c>
      <c r="N107" s="563">
        <v>867182.38</v>
      </c>
      <c r="O107" s="120">
        <v>1.174108340451639E-3</v>
      </c>
      <c r="P107" s="124">
        <v>1507297.4</v>
      </c>
      <c r="Q107" s="124"/>
      <c r="R107" s="563"/>
      <c r="S107" s="120"/>
      <c r="T107" s="373"/>
      <c r="U107" s="541">
        <v>1032</v>
      </c>
      <c r="V107" s="540" t="s">
        <v>575</v>
      </c>
      <c r="W107" s="442" t="s">
        <v>29</v>
      </c>
      <c r="X107" s="552" t="s">
        <v>574</v>
      </c>
      <c r="Y107" s="563">
        <v>0</v>
      </c>
      <c r="Z107" s="563">
        <v>894026.52</v>
      </c>
      <c r="AA107" s="563">
        <v>326316.82</v>
      </c>
      <c r="AB107" s="563"/>
      <c r="AC107" s="563"/>
      <c r="AD107" s="563">
        <v>1220343.3400000001</v>
      </c>
      <c r="AE107" s="124"/>
      <c r="AF107" s="541">
        <v>1032</v>
      </c>
      <c r="AG107" s="540" t="s">
        <v>575</v>
      </c>
      <c r="AH107" s="442" t="s">
        <v>29</v>
      </c>
      <c r="AI107" s="552" t="s">
        <v>574</v>
      </c>
      <c r="AJ107" s="563">
        <v>0</v>
      </c>
      <c r="AK107" s="563">
        <v>867182.38</v>
      </c>
      <c r="AL107" s="563">
        <v>351936.26</v>
      </c>
      <c r="AM107" s="563"/>
      <c r="AN107" s="563"/>
      <c r="AO107" s="563">
        <v>1219118.6400000001</v>
      </c>
      <c r="AR107" s="124">
        <f>+L107</f>
        <v>169091.82</v>
      </c>
      <c r="AS107" s="124">
        <f>+F107</f>
        <v>119086.94</v>
      </c>
      <c r="AV107" s="372">
        <f t="shared" si="6"/>
        <v>288178.76</v>
      </c>
      <c r="AW107" s="124">
        <f>+AV107+AO107-P107</f>
        <v>0</v>
      </c>
      <c r="AZ107" s="563">
        <v>0</v>
      </c>
      <c r="BA107" s="563">
        <v>21517.69</v>
      </c>
      <c r="BB107" s="563">
        <v>9070.369999999999</v>
      </c>
      <c r="BC107" s="563"/>
      <c r="BD107" s="563"/>
      <c r="BE107" s="563">
        <v>30588.059999999998</v>
      </c>
      <c r="BF107" s="372"/>
      <c r="BO107" s="563">
        <v>0</v>
      </c>
      <c r="BP107" s="563">
        <v>1951818.4100000001</v>
      </c>
      <c r="BQ107" s="563">
        <v>806410.39</v>
      </c>
      <c r="BR107" s="563"/>
      <c r="BS107" s="563"/>
      <c r="BT107" s="563">
        <v>2758228.8000000003</v>
      </c>
      <c r="BW107" s="126">
        <v>804</v>
      </c>
      <c r="BX107" s="125">
        <v>17403</v>
      </c>
      <c r="BY107" s="19" t="s">
        <v>29</v>
      </c>
      <c r="BZ107" t="s">
        <v>938</v>
      </c>
    </row>
    <row r="108" spans="1:78" x14ac:dyDescent="0.3">
      <c r="A108" s="436">
        <v>17403</v>
      </c>
      <c r="B108" s="19" t="s">
        <v>29</v>
      </c>
      <c r="C108" t="s">
        <v>450</v>
      </c>
      <c r="D108" s="563">
        <v>2938.78</v>
      </c>
      <c r="E108" s="120">
        <v>5.3298084938295879E-6</v>
      </c>
      <c r="F108" s="563">
        <v>1546646.75</v>
      </c>
      <c r="G108" s="120">
        <v>2.8050180636536E-3</v>
      </c>
      <c r="H108" s="563">
        <v>4565689.1399999997</v>
      </c>
      <c r="I108" s="120">
        <v>1.6710848425073227E-2</v>
      </c>
      <c r="J108" s="563">
        <v>0</v>
      </c>
      <c r="K108" s="120">
        <v>0</v>
      </c>
      <c r="L108" s="563">
        <v>2144529.3000000003</v>
      </c>
      <c r="M108" s="120">
        <v>1.4860873230398849E-2</v>
      </c>
      <c r="N108" s="563">
        <v>10922749.949999999</v>
      </c>
      <c r="O108" s="120">
        <v>1.4788690490877733E-2</v>
      </c>
      <c r="P108" s="124">
        <v>19182553.920000002</v>
      </c>
      <c r="Q108" s="124"/>
      <c r="R108" s="563"/>
      <c r="S108" s="120"/>
      <c r="T108" s="373"/>
      <c r="U108" s="541">
        <v>804</v>
      </c>
      <c r="V108" s="540" t="s">
        <v>451</v>
      </c>
      <c r="W108" s="442" t="s">
        <v>29</v>
      </c>
      <c r="X108" s="552" t="s">
        <v>450</v>
      </c>
      <c r="Y108" s="563">
        <v>0</v>
      </c>
      <c r="Z108" s="563">
        <v>10410425.120000001</v>
      </c>
      <c r="AA108" s="563">
        <v>4116816.83</v>
      </c>
      <c r="AB108" s="563">
        <v>1997.93</v>
      </c>
      <c r="AC108" s="563"/>
      <c r="AD108" s="563">
        <v>14529239.880000001</v>
      </c>
      <c r="AE108" s="124"/>
      <c r="AF108" s="541">
        <v>804</v>
      </c>
      <c r="AG108" s="540" t="s">
        <v>451</v>
      </c>
      <c r="AH108" s="442" t="s">
        <v>29</v>
      </c>
      <c r="AI108" s="552" t="s">
        <v>450</v>
      </c>
      <c r="AJ108" s="563">
        <v>0</v>
      </c>
      <c r="AK108" s="563">
        <v>10922749.949999999</v>
      </c>
      <c r="AL108" s="563">
        <v>4565689.1399999997</v>
      </c>
      <c r="AM108" s="563">
        <v>2938.78</v>
      </c>
      <c r="AN108" s="563"/>
      <c r="AO108" s="563">
        <v>15491377.869999999</v>
      </c>
      <c r="AR108" s="124">
        <f>+L108</f>
        <v>2144529.3000000003</v>
      </c>
      <c r="AS108" s="124">
        <f>+F108</f>
        <v>1546646.75</v>
      </c>
      <c r="AV108" s="372">
        <f t="shared" si="6"/>
        <v>3691176.0500000003</v>
      </c>
      <c r="AW108" s="124">
        <f>+AV108+AO108-P108</f>
        <v>0</v>
      </c>
      <c r="AZ108" s="563">
        <v>0</v>
      </c>
      <c r="BA108" s="563">
        <v>270953.19999999995</v>
      </c>
      <c r="BB108" s="563">
        <v>117673.13</v>
      </c>
      <c r="BC108" s="563">
        <v>66.58</v>
      </c>
      <c r="BD108" s="563"/>
      <c r="BE108" s="563">
        <v>388692.91</v>
      </c>
      <c r="BF108" s="372"/>
      <c r="BO108" s="563">
        <v>0</v>
      </c>
      <c r="BP108" s="563">
        <v>23748657.57</v>
      </c>
      <c r="BQ108" s="563">
        <v>10346825.850000001</v>
      </c>
      <c r="BR108" s="563">
        <v>5003.29</v>
      </c>
      <c r="BS108" s="563"/>
      <c r="BT108" s="563">
        <v>34100486.710000001</v>
      </c>
      <c r="BW108" s="126">
        <v>878</v>
      </c>
      <c r="BX108" s="125">
        <v>17404</v>
      </c>
      <c r="BY108" s="19" t="s">
        <v>29</v>
      </c>
      <c r="BZ108" t="s">
        <v>960</v>
      </c>
    </row>
    <row r="109" spans="1:78" x14ac:dyDescent="0.3">
      <c r="A109" s="436">
        <v>17404</v>
      </c>
      <c r="B109" s="19" t="s">
        <v>29</v>
      </c>
      <c r="C109" t="s">
        <v>496</v>
      </c>
      <c r="D109" s="563"/>
      <c r="E109" s="120"/>
      <c r="F109" s="563">
        <v>21450.76</v>
      </c>
      <c r="G109" s="120">
        <v>3.8903369033102155E-5</v>
      </c>
      <c r="H109" s="563">
        <v>54503.19</v>
      </c>
      <c r="I109" s="120">
        <v>1.9948676286203902E-4</v>
      </c>
      <c r="J109" s="563"/>
      <c r="K109" s="120"/>
      <c r="L109" s="563">
        <v>19441.580000000002</v>
      </c>
      <c r="M109" s="120">
        <v>1.3472366909543165E-4</v>
      </c>
      <c r="N109" s="563">
        <v>100534.32</v>
      </c>
      <c r="O109" s="120">
        <v>1.3611690728037397E-4</v>
      </c>
      <c r="P109" s="124">
        <v>195929.85</v>
      </c>
      <c r="Q109" s="124"/>
      <c r="R109" s="563"/>
      <c r="S109" s="120"/>
      <c r="T109" s="373"/>
      <c r="U109" s="541">
        <v>878</v>
      </c>
      <c r="V109" s="540" t="s">
        <v>497</v>
      </c>
      <c r="W109" s="442" t="s">
        <v>29</v>
      </c>
      <c r="X109" s="552" t="s">
        <v>496</v>
      </c>
      <c r="Y109" s="563"/>
      <c r="Z109" s="563">
        <v>92689.41</v>
      </c>
      <c r="AA109" s="563">
        <v>52843</v>
      </c>
      <c r="AB109" s="563"/>
      <c r="AC109" s="563"/>
      <c r="AD109" s="563">
        <v>145532.41</v>
      </c>
      <c r="AE109" s="124"/>
      <c r="AF109" s="541">
        <v>878</v>
      </c>
      <c r="AG109" s="540" t="s">
        <v>497</v>
      </c>
      <c r="AH109" s="442" t="s">
        <v>29</v>
      </c>
      <c r="AI109" s="552" t="s">
        <v>496</v>
      </c>
      <c r="AJ109" s="563"/>
      <c r="AK109" s="563">
        <v>100534.32</v>
      </c>
      <c r="AL109" s="563">
        <v>54503.19</v>
      </c>
      <c r="AM109" s="563"/>
      <c r="AN109" s="563"/>
      <c r="AO109" s="563">
        <v>155037.51</v>
      </c>
      <c r="AR109" s="124">
        <f>+L109</f>
        <v>19441.580000000002</v>
      </c>
      <c r="AS109" s="124">
        <f>+F109</f>
        <v>21450.76</v>
      </c>
      <c r="AV109" s="372">
        <f t="shared" si="6"/>
        <v>40892.339999999997</v>
      </c>
      <c r="AW109" s="124">
        <f>+AV109+AO109-P109</f>
        <v>0</v>
      </c>
      <c r="AZ109" s="563"/>
      <c r="BA109" s="563">
        <v>2494.5500000000002</v>
      </c>
      <c r="BB109" s="563">
        <v>1362.0900000000001</v>
      </c>
      <c r="BC109" s="563"/>
      <c r="BD109" s="563"/>
      <c r="BE109" s="563">
        <v>3856.6400000000003</v>
      </c>
      <c r="BF109" s="372"/>
      <c r="BO109" s="563"/>
      <c r="BP109" s="563">
        <v>215159.86</v>
      </c>
      <c r="BQ109" s="563">
        <v>130159.03999999999</v>
      </c>
      <c r="BR109" s="563"/>
      <c r="BS109" s="563"/>
      <c r="BT109" s="563">
        <v>345318.89999999997</v>
      </c>
      <c r="BW109" s="126">
        <v>50</v>
      </c>
      <c r="BX109" s="125">
        <v>17405</v>
      </c>
      <c r="BY109" s="19" t="s">
        <v>29</v>
      </c>
      <c r="BZ109" t="s">
        <v>740</v>
      </c>
    </row>
    <row r="110" spans="1:78" x14ac:dyDescent="0.3">
      <c r="A110" s="436">
        <v>17405</v>
      </c>
      <c r="B110" s="19" t="s">
        <v>29</v>
      </c>
      <c r="C110" t="s">
        <v>35</v>
      </c>
      <c r="D110" s="563">
        <v>4700.2299999999996</v>
      </c>
      <c r="E110" s="120">
        <v>8.524396442385154E-6</v>
      </c>
      <c r="F110" s="563">
        <v>1835970.96</v>
      </c>
      <c r="G110" s="120">
        <v>3.3297401020261682E-3</v>
      </c>
      <c r="H110" s="563">
        <v>5366430.1500000004</v>
      </c>
      <c r="I110" s="120">
        <v>1.9641635264811958E-2</v>
      </c>
      <c r="J110" s="563">
        <v>21250.639999999999</v>
      </c>
      <c r="K110" s="120">
        <v>1.4725985189609811E-4</v>
      </c>
      <c r="L110" s="563">
        <v>2976119.9299999997</v>
      </c>
      <c r="M110" s="120">
        <v>2.0623519108922173E-2</v>
      </c>
      <c r="N110" s="563">
        <v>15363916.439999999</v>
      </c>
      <c r="O110" s="120">
        <v>2.080174003789843E-2</v>
      </c>
      <c r="P110" s="124">
        <v>25568388.350000001</v>
      </c>
      <c r="Q110" s="124"/>
      <c r="R110" s="563"/>
      <c r="S110" s="120"/>
      <c r="T110" s="373"/>
      <c r="U110" s="541">
        <v>50</v>
      </c>
      <c r="V110" s="540" t="s">
        <v>36</v>
      </c>
      <c r="W110" s="442" t="s">
        <v>29</v>
      </c>
      <c r="X110" s="552" t="s">
        <v>35</v>
      </c>
      <c r="Y110" s="563">
        <v>13262.96</v>
      </c>
      <c r="Z110" s="563">
        <v>14377871.289999999</v>
      </c>
      <c r="AA110" s="563">
        <v>5033611.1399999997</v>
      </c>
      <c r="AB110" s="563">
        <v>3136.37</v>
      </c>
      <c r="AC110" s="563"/>
      <c r="AD110" s="563">
        <v>19427881.759999998</v>
      </c>
      <c r="AE110" s="124"/>
      <c r="AF110" s="541">
        <v>50</v>
      </c>
      <c r="AG110" s="540" t="s">
        <v>36</v>
      </c>
      <c r="AH110" s="442" t="s">
        <v>29</v>
      </c>
      <c r="AI110" s="552" t="s">
        <v>35</v>
      </c>
      <c r="AJ110" s="563">
        <v>21250.639999999999</v>
      </c>
      <c r="AK110" s="563">
        <v>15363916.439999999</v>
      </c>
      <c r="AL110" s="563">
        <v>5366430.1500000004</v>
      </c>
      <c r="AM110" s="563">
        <v>4700.2299999999996</v>
      </c>
      <c r="AN110" s="563"/>
      <c r="AO110" s="563">
        <v>20756297.460000001</v>
      </c>
      <c r="AR110" s="124">
        <f>+L110</f>
        <v>2976119.9299999997</v>
      </c>
      <c r="AS110" s="124">
        <f>+F110</f>
        <v>1835970.96</v>
      </c>
      <c r="AV110" s="372">
        <f t="shared" si="6"/>
        <v>4812090.8899999997</v>
      </c>
      <c r="AW110" s="124">
        <f>+AV110+AO110-P110</f>
        <v>0</v>
      </c>
      <c r="AZ110" s="563">
        <v>442.05</v>
      </c>
      <c r="BA110" s="563">
        <v>381181.43</v>
      </c>
      <c r="BB110" s="563">
        <v>138307.15</v>
      </c>
      <c r="BC110" s="563">
        <v>104.48</v>
      </c>
      <c r="BD110" s="563"/>
      <c r="BE110" s="563">
        <v>520035.11</v>
      </c>
      <c r="BF110" s="372"/>
      <c r="BO110" s="563">
        <v>34955.65</v>
      </c>
      <c r="BP110" s="563">
        <v>33099089.09</v>
      </c>
      <c r="BQ110" s="563">
        <v>12374319.399999999</v>
      </c>
      <c r="BR110" s="563">
        <v>7941.08</v>
      </c>
      <c r="BS110" s="563"/>
      <c r="BT110" s="563">
        <v>45516305.219999999</v>
      </c>
      <c r="BW110" s="126">
        <v>909</v>
      </c>
      <c r="BX110" s="125">
        <v>17406</v>
      </c>
      <c r="BY110" s="19" t="s">
        <v>29</v>
      </c>
      <c r="BZ110" t="s">
        <v>966</v>
      </c>
    </row>
    <row r="111" spans="1:78" x14ac:dyDescent="0.3">
      <c r="A111" s="436">
        <v>17406</v>
      </c>
      <c r="B111" s="19" t="s">
        <v>29</v>
      </c>
      <c r="C111" t="s">
        <v>562</v>
      </c>
      <c r="D111" s="563"/>
      <c r="E111" s="120"/>
      <c r="F111" s="563">
        <v>267779.21000000002</v>
      </c>
      <c r="G111" s="120">
        <v>4.8564775448620753E-4</v>
      </c>
      <c r="H111" s="563">
        <v>790189.62</v>
      </c>
      <c r="I111" s="120">
        <v>2.8921677674459919E-3</v>
      </c>
      <c r="J111" s="563">
        <v>29132.79</v>
      </c>
      <c r="K111" s="120">
        <v>2.0188052410280953E-4</v>
      </c>
      <c r="L111" s="563">
        <v>361225.33</v>
      </c>
      <c r="M111" s="120">
        <v>2.5031711325832619E-3</v>
      </c>
      <c r="N111" s="563">
        <v>1855638.78</v>
      </c>
      <c r="O111" s="120">
        <v>2.5124137882777367E-3</v>
      </c>
      <c r="P111" s="124">
        <v>3303965.7300000004</v>
      </c>
      <c r="Q111" s="124"/>
      <c r="R111" s="563"/>
      <c r="S111" s="120"/>
      <c r="T111" s="373"/>
      <c r="U111" s="541">
        <v>909</v>
      </c>
      <c r="V111" s="540" t="s">
        <v>563</v>
      </c>
      <c r="W111" s="442" t="s">
        <v>29</v>
      </c>
      <c r="X111" s="552" t="s">
        <v>562</v>
      </c>
      <c r="Y111" s="563">
        <v>18171.490000000002</v>
      </c>
      <c r="Z111" s="563">
        <v>1827048.56</v>
      </c>
      <c r="AA111" s="563">
        <v>730536.62</v>
      </c>
      <c r="AB111" s="563"/>
      <c r="AC111" s="563"/>
      <c r="AD111" s="563">
        <v>2575756.67</v>
      </c>
      <c r="AE111" s="124"/>
      <c r="AF111" s="541">
        <v>909</v>
      </c>
      <c r="AG111" s="540" t="s">
        <v>563</v>
      </c>
      <c r="AH111" s="442" t="s">
        <v>29</v>
      </c>
      <c r="AI111" s="552" t="s">
        <v>562</v>
      </c>
      <c r="AJ111" s="563">
        <v>29132.79</v>
      </c>
      <c r="AK111" s="563">
        <v>1855638.78</v>
      </c>
      <c r="AL111" s="563">
        <v>790189.62</v>
      </c>
      <c r="AM111" s="563"/>
      <c r="AN111" s="563"/>
      <c r="AO111" s="563">
        <v>2674961.19</v>
      </c>
      <c r="AR111" s="124">
        <f>+L111</f>
        <v>361225.33</v>
      </c>
      <c r="AS111" s="124">
        <f>+F111</f>
        <v>267779.21000000002</v>
      </c>
      <c r="AV111" s="372">
        <f t="shared" si="6"/>
        <v>629004.54</v>
      </c>
      <c r="AW111" s="124">
        <f>+AV111+AO111-P111</f>
        <v>0</v>
      </c>
      <c r="AZ111" s="563">
        <v>605.70000000000005</v>
      </c>
      <c r="BA111" s="563">
        <v>46045.47</v>
      </c>
      <c r="BB111" s="563">
        <v>20365.580000000002</v>
      </c>
      <c r="BC111" s="563"/>
      <c r="BD111" s="563"/>
      <c r="BE111" s="563">
        <v>67016.75</v>
      </c>
      <c r="BF111" s="372"/>
      <c r="BO111" s="563">
        <v>47909.98</v>
      </c>
      <c r="BP111" s="563">
        <v>4089958.1399999997</v>
      </c>
      <c r="BQ111" s="563">
        <v>1808871.0299999998</v>
      </c>
      <c r="BR111" s="563"/>
      <c r="BS111" s="563"/>
      <c r="BT111" s="563">
        <v>5946739.1499999994</v>
      </c>
      <c r="BW111" s="126">
        <v>816</v>
      </c>
      <c r="BX111" s="125">
        <v>17407</v>
      </c>
      <c r="BY111" s="19" t="s">
        <v>29</v>
      </c>
      <c r="BZ111" t="s">
        <v>944</v>
      </c>
    </row>
    <row r="112" spans="1:78" x14ac:dyDescent="0.3">
      <c r="A112" s="436">
        <v>17407</v>
      </c>
      <c r="B112" s="19" t="s">
        <v>29</v>
      </c>
      <c r="C112" t="s">
        <v>462</v>
      </c>
      <c r="D112" s="563"/>
      <c r="E112" s="120"/>
      <c r="F112" s="563">
        <v>226545.02</v>
      </c>
      <c r="G112" s="120">
        <v>4.1086490714881477E-4</v>
      </c>
      <c r="H112" s="563">
        <v>669042.18000000005</v>
      </c>
      <c r="I112" s="120">
        <v>2.4487568288454609E-3</v>
      </c>
      <c r="J112" s="563">
        <v>0</v>
      </c>
      <c r="K112" s="120">
        <v>0</v>
      </c>
      <c r="L112" s="563">
        <v>369245.43</v>
      </c>
      <c r="M112" s="120">
        <v>2.5587477523082158E-3</v>
      </c>
      <c r="N112" s="563">
        <v>1895063.08</v>
      </c>
      <c r="O112" s="120">
        <v>2.5657917172048302E-3</v>
      </c>
      <c r="P112" s="124">
        <v>3159895.71</v>
      </c>
      <c r="Q112" s="124"/>
      <c r="R112" s="563"/>
      <c r="S112" s="120"/>
      <c r="T112" s="373"/>
      <c r="U112" s="541">
        <v>816</v>
      </c>
      <c r="V112" s="540" t="s">
        <v>463</v>
      </c>
      <c r="W112" s="442" t="s">
        <v>29</v>
      </c>
      <c r="X112" s="552" t="s">
        <v>462</v>
      </c>
      <c r="Y112" s="563">
        <v>0</v>
      </c>
      <c r="Z112" s="563">
        <v>1911356.16</v>
      </c>
      <c r="AA112" s="563">
        <v>641843.90999999992</v>
      </c>
      <c r="AB112" s="563"/>
      <c r="AC112" s="563"/>
      <c r="AD112" s="563">
        <v>2553200.0699999998</v>
      </c>
      <c r="AE112" s="124"/>
      <c r="AF112" s="541">
        <v>816</v>
      </c>
      <c r="AG112" s="540" t="s">
        <v>463</v>
      </c>
      <c r="AH112" s="442" t="s">
        <v>29</v>
      </c>
      <c r="AI112" s="552" t="s">
        <v>462</v>
      </c>
      <c r="AJ112" s="563">
        <v>0</v>
      </c>
      <c r="AK112" s="563">
        <v>1895063.08</v>
      </c>
      <c r="AL112" s="563">
        <v>669042.18000000005</v>
      </c>
      <c r="AM112" s="563"/>
      <c r="AN112" s="563"/>
      <c r="AO112" s="563">
        <v>2564105.2600000002</v>
      </c>
      <c r="AR112" s="124">
        <f>+L112</f>
        <v>369245.43</v>
      </c>
      <c r="AS112" s="124">
        <f>+F112</f>
        <v>226545.02</v>
      </c>
      <c r="AV112" s="372">
        <f t="shared" si="6"/>
        <v>595790.44999999995</v>
      </c>
      <c r="AW112" s="124">
        <f>+AV112+AO112-P112</f>
        <v>0</v>
      </c>
      <c r="AZ112" s="563">
        <v>0</v>
      </c>
      <c r="BA112" s="563">
        <v>47023.73</v>
      </c>
      <c r="BB112" s="563">
        <v>17243.449999999997</v>
      </c>
      <c r="BC112" s="563"/>
      <c r="BD112" s="563"/>
      <c r="BE112" s="563">
        <v>64267.18</v>
      </c>
      <c r="BF112" s="372"/>
      <c r="BO112" s="563">
        <v>0</v>
      </c>
      <c r="BP112" s="563">
        <v>4222688.4000000004</v>
      </c>
      <c r="BQ112" s="563">
        <v>1554674.56</v>
      </c>
      <c r="BR112" s="563"/>
      <c r="BS112" s="563"/>
      <c r="BT112" s="563">
        <v>5777362.9600000009</v>
      </c>
      <c r="BW112" s="126">
        <v>39</v>
      </c>
      <c r="BX112" s="125">
        <v>17408</v>
      </c>
      <c r="BY112" s="19" t="s">
        <v>29</v>
      </c>
      <c r="BZ112" t="s">
        <v>737</v>
      </c>
    </row>
    <row r="113" spans="1:78" x14ac:dyDescent="0.3">
      <c r="A113" s="436">
        <v>17408</v>
      </c>
      <c r="B113" s="19" t="s">
        <v>29</v>
      </c>
      <c r="C113" t="s">
        <v>27</v>
      </c>
      <c r="D113" s="563"/>
      <c r="E113" s="120"/>
      <c r="F113" s="563">
        <v>1577160.59</v>
      </c>
      <c r="G113" s="120">
        <v>2.8603583489459181E-3</v>
      </c>
      <c r="H113" s="563">
        <v>4676103.74</v>
      </c>
      <c r="I113" s="120">
        <v>1.7114976167444031E-2</v>
      </c>
      <c r="J113" s="563">
        <v>11614.76</v>
      </c>
      <c r="K113" s="120">
        <v>8.0486415346018973E-5</v>
      </c>
      <c r="L113" s="563">
        <v>2541565.69</v>
      </c>
      <c r="M113" s="120">
        <v>1.761220307217121E-2</v>
      </c>
      <c r="N113" s="563">
        <v>13023265.169999998</v>
      </c>
      <c r="O113" s="120">
        <v>1.7632650995526834E-2</v>
      </c>
      <c r="P113" s="124">
        <v>21829709.949999996</v>
      </c>
      <c r="Q113" s="124"/>
      <c r="R113" s="563"/>
      <c r="S113" s="120"/>
      <c r="T113" s="373"/>
      <c r="U113" s="541">
        <v>39</v>
      </c>
      <c r="V113" s="540" t="s">
        <v>28</v>
      </c>
      <c r="W113" s="442" t="s">
        <v>29</v>
      </c>
      <c r="X113" s="552" t="s">
        <v>27</v>
      </c>
      <c r="Y113" s="563">
        <v>7230.6</v>
      </c>
      <c r="Z113" s="563">
        <v>12442920.879999999</v>
      </c>
      <c r="AA113" s="563">
        <v>4286290.4800000004</v>
      </c>
      <c r="AB113" s="563"/>
      <c r="AC113" s="563"/>
      <c r="AD113" s="563">
        <v>16736441.959999999</v>
      </c>
      <c r="AE113" s="124"/>
      <c r="AF113" s="541">
        <v>39</v>
      </c>
      <c r="AG113" s="540" t="s">
        <v>28</v>
      </c>
      <c r="AH113" s="442" t="s">
        <v>29</v>
      </c>
      <c r="AI113" s="552" t="s">
        <v>27</v>
      </c>
      <c r="AJ113" s="563">
        <v>11614.76</v>
      </c>
      <c r="AK113" s="563">
        <v>13023265.169999998</v>
      </c>
      <c r="AL113" s="563">
        <v>4676103.74</v>
      </c>
      <c r="AM113" s="563"/>
      <c r="AN113" s="563"/>
      <c r="AO113" s="563">
        <v>17710983.669999998</v>
      </c>
      <c r="AR113" s="124">
        <f>+L113</f>
        <v>2541565.69</v>
      </c>
      <c r="AS113" s="124">
        <f>+F113</f>
        <v>1577160.59</v>
      </c>
      <c r="AV113" s="372">
        <f t="shared" si="6"/>
        <v>4118726.2800000003</v>
      </c>
      <c r="AW113" s="124">
        <f>+AV113+AO113-P113</f>
        <v>0</v>
      </c>
      <c r="AZ113" s="563">
        <v>240.99</v>
      </c>
      <c r="BA113" s="563">
        <v>323164.94</v>
      </c>
      <c r="BB113" s="563">
        <v>120518.73</v>
      </c>
      <c r="BC113" s="563"/>
      <c r="BD113" s="563"/>
      <c r="BE113" s="563">
        <v>443924.66000000003</v>
      </c>
      <c r="BF113" s="372"/>
      <c r="BO113" s="563">
        <v>19086.349999999999</v>
      </c>
      <c r="BP113" s="563">
        <v>28330916.68</v>
      </c>
      <c r="BQ113" s="563">
        <v>10660073.539999999</v>
      </c>
      <c r="BR113" s="563"/>
      <c r="BS113" s="563"/>
      <c r="BT113" s="563">
        <v>39010076.57</v>
      </c>
      <c r="BW113" s="126">
        <v>968</v>
      </c>
      <c r="BX113" s="125">
        <v>17409</v>
      </c>
      <c r="BY113" s="19" t="s">
        <v>29</v>
      </c>
      <c r="BZ113" t="s">
        <v>981</v>
      </c>
    </row>
    <row r="114" spans="1:78" x14ac:dyDescent="0.3">
      <c r="A114" s="436">
        <v>17409</v>
      </c>
      <c r="B114" s="19" t="s">
        <v>29</v>
      </c>
      <c r="C114" t="s">
        <v>542</v>
      </c>
      <c r="D114" s="563">
        <v>6628.13</v>
      </c>
      <c r="E114" s="120">
        <v>1.202086021145057E-5</v>
      </c>
      <c r="F114" s="563">
        <v>672883.97</v>
      </c>
      <c r="G114" s="120">
        <v>1.2203508594273043E-3</v>
      </c>
      <c r="H114" s="563">
        <v>1964296.0699999998</v>
      </c>
      <c r="I114" s="120">
        <v>7.1895069684347864E-3</v>
      </c>
      <c r="J114" s="563">
        <v>0</v>
      </c>
      <c r="K114" s="120">
        <v>0</v>
      </c>
      <c r="L114" s="563">
        <v>1141242.1599999999</v>
      </c>
      <c r="M114" s="120">
        <v>7.9084277677840802E-3</v>
      </c>
      <c r="N114" s="563">
        <v>5926588.8300000001</v>
      </c>
      <c r="O114" s="120">
        <v>8.0242144400241629E-3</v>
      </c>
      <c r="P114" s="124">
        <v>9711639.1600000001</v>
      </c>
      <c r="Q114" s="124"/>
      <c r="R114" s="563"/>
      <c r="S114" s="120"/>
      <c r="T114" s="373"/>
      <c r="U114" s="541">
        <v>968</v>
      </c>
      <c r="V114" s="540" t="s">
        <v>543</v>
      </c>
      <c r="W114" s="442" t="s">
        <v>29</v>
      </c>
      <c r="X114" s="552" t="s">
        <v>542</v>
      </c>
      <c r="Y114" s="563">
        <v>0</v>
      </c>
      <c r="Z114" s="563">
        <v>5800074.2599999998</v>
      </c>
      <c r="AA114" s="563">
        <v>1910927.53</v>
      </c>
      <c r="AB114" s="563">
        <v>4430.03</v>
      </c>
      <c r="AC114" s="563"/>
      <c r="AD114" s="563">
        <v>7715431.8200000003</v>
      </c>
      <c r="AE114" s="124"/>
      <c r="AF114" s="541">
        <v>968</v>
      </c>
      <c r="AG114" s="540" t="s">
        <v>543</v>
      </c>
      <c r="AH114" s="442" t="s">
        <v>29</v>
      </c>
      <c r="AI114" s="552" t="s">
        <v>542</v>
      </c>
      <c r="AJ114" s="563">
        <v>0</v>
      </c>
      <c r="AK114" s="563">
        <v>5926588.8300000001</v>
      </c>
      <c r="AL114" s="563">
        <v>1964296.0699999998</v>
      </c>
      <c r="AM114" s="563">
        <v>6628.13</v>
      </c>
      <c r="AN114" s="563"/>
      <c r="AO114" s="563">
        <v>7897513.0299999993</v>
      </c>
      <c r="AR114" s="124">
        <f>+L114</f>
        <v>1141242.1599999999</v>
      </c>
      <c r="AS114" s="124">
        <f>+F114</f>
        <v>672883.97</v>
      </c>
      <c r="AV114" s="372">
        <f t="shared" si="6"/>
        <v>1814126.13</v>
      </c>
      <c r="AW114" s="124">
        <f>+AV114+AO114-P114</f>
        <v>0</v>
      </c>
      <c r="AZ114" s="563">
        <v>0</v>
      </c>
      <c r="BA114" s="563">
        <v>147060.49</v>
      </c>
      <c r="BB114" s="563">
        <v>50618.01</v>
      </c>
      <c r="BC114" s="563">
        <v>147.30000000000001</v>
      </c>
      <c r="BD114" s="563"/>
      <c r="BE114" s="563">
        <v>197825.8</v>
      </c>
      <c r="BF114" s="372"/>
      <c r="BO114" s="563">
        <v>0</v>
      </c>
      <c r="BP114" s="563">
        <v>13014965.739999998</v>
      </c>
      <c r="BQ114" s="563">
        <v>4598725.58</v>
      </c>
      <c r="BR114" s="563">
        <v>11205.46</v>
      </c>
      <c r="BS114" s="563"/>
      <c r="BT114" s="563">
        <v>17624896.779999997</v>
      </c>
      <c r="BW114" s="126">
        <v>902</v>
      </c>
      <c r="BX114" s="125">
        <v>17410</v>
      </c>
      <c r="BY114" s="19" t="s">
        <v>29</v>
      </c>
      <c r="BZ114" t="s">
        <v>962</v>
      </c>
    </row>
    <row r="115" spans="1:78" x14ac:dyDescent="0.3">
      <c r="A115" s="436">
        <v>17410</v>
      </c>
      <c r="B115" s="19" t="s">
        <v>29</v>
      </c>
      <c r="C115" t="s">
        <v>500</v>
      </c>
      <c r="D115" s="563">
        <v>2924.08</v>
      </c>
      <c r="E115" s="120">
        <v>5.3031483883234614E-6</v>
      </c>
      <c r="F115" s="563">
        <v>450118.87</v>
      </c>
      <c r="G115" s="120">
        <v>8.1634126289105544E-4</v>
      </c>
      <c r="H115" s="563">
        <v>1329214.8700000001</v>
      </c>
      <c r="I115" s="120">
        <v>4.8650504963908721E-3</v>
      </c>
      <c r="J115" s="563"/>
      <c r="K115" s="120"/>
      <c r="L115" s="563">
        <v>954782.83</v>
      </c>
      <c r="M115" s="120">
        <v>6.6163267618639925E-3</v>
      </c>
      <c r="N115" s="563">
        <v>4861135.78</v>
      </c>
      <c r="O115" s="120">
        <v>6.581660553764807E-3</v>
      </c>
      <c r="P115" s="124">
        <v>7598176.4299999997</v>
      </c>
      <c r="Q115" s="124"/>
      <c r="R115" s="563"/>
      <c r="S115" s="120"/>
      <c r="T115" s="373"/>
      <c r="U115" s="541">
        <v>902</v>
      </c>
      <c r="V115" s="540" t="s">
        <v>501</v>
      </c>
      <c r="W115" s="442" t="s">
        <v>29</v>
      </c>
      <c r="X115" s="552" t="s">
        <v>500</v>
      </c>
      <c r="Y115" s="563"/>
      <c r="Z115" s="563">
        <v>4695505.9399999995</v>
      </c>
      <c r="AA115" s="563">
        <v>1253917.24</v>
      </c>
      <c r="AB115" s="563">
        <v>1948.76</v>
      </c>
      <c r="AC115" s="563"/>
      <c r="AD115" s="563">
        <v>5951371.9399999995</v>
      </c>
      <c r="AE115" s="124"/>
      <c r="AF115" s="541">
        <v>902</v>
      </c>
      <c r="AG115" s="540" t="s">
        <v>501</v>
      </c>
      <c r="AH115" s="442" t="s">
        <v>29</v>
      </c>
      <c r="AI115" s="552" t="s">
        <v>500</v>
      </c>
      <c r="AJ115" s="563"/>
      <c r="AK115" s="563">
        <v>4861135.78</v>
      </c>
      <c r="AL115" s="563">
        <v>1329214.8700000001</v>
      </c>
      <c r="AM115" s="563">
        <v>2924.08</v>
      </c>
      <c r="AN115" s="563"/>
      <c r="AO115" s="563">
        <v>6193274.7300000004</v>
      </c>
      <c r="AR115" s="124">
        <f>+L115</f>
        <v>954782.83</v>
      </c>
      <c r="AS115" s="124">
        <f>+F115</f>
        <v>450118.87</v>
      </c>
      <c r="AV115" s="372">
        <f t="shared" si="6"/>
        <v>1404901.7</v>
      </c>
      <c r="AW115" s="124">
        <f>+AV115+AO115-P115</f>
        <v>0</v>
      </c>
      <c r="AZ115" s="563"/>
      <c r="BA115" s="563">
        <v>120584.57</v>
      </c>
      <c r="BB115" s="563">
        <v>34247.57</v>
      </c>
      <c r="BC115" s="563">
        <v>64.86</v>
      </c>
      <c r="BD115" s="563"/>
      <c r="BE115" s="563">
        <v>154897</v>
      </c>
      <c r="BF115" s="372"/>
      <c r="BO115" s="563"/>
      <c r="BP115" s="563">
        <v>10632009.119999999</v>
      </c>
      <c r="BQ115" s="563">
        <v>3067498.55</v>
      </c>
      <c r="BR115" s="563">
        <v>4937.7</v>
      </c>
      <c r="BS115" s="563"/>
      <c r="BT115" s="563">
        <v>13704445.369999999</v>
      </c>
      <c r="BW115" s="126">
        <v>415</v>
      </c>
      <c r="BX115" s="125">
        <v>17411</v>
      </c>
      <c r="BY115" s="19" t="s">
        <v>29</v>
      </c>
      <c r="BZ115" t="s">
        <v>835</v>
      </c>
    </row>
    <row r="116" spans="1:78" x14ac:dyDescent="0.3">
      <c r="A116" s="436">
        <v>17411</v>
      </c>
      <c r="B116" s="19" t="s">
        <v>29</v>
      </c>
      <c r="C116" t="s">
        <v>230</v>
      </c>
      <c r="D116" s="563"/>
      <c r="E116" s="120"/>
      <c r="F116" s="563">
        <v>1668809.79</v>
      </c>
      <c r="G116" s="120">
        <v>3.0265744946297345E-3</v>
      </c>
      <c r="H116" s="563">
        <v>4947475.3800000008</v>
      </c>
      <c r="I116" s="120">
        <v>1.8108221700341511E-2</v>
      </c>
      <c r="J116" s="563">
        <v>0</v>
      </c>
      <c r="K116" s="120">
        <v>0</v>
      </c>
      <c r="L116" s="563">
        <v>2636517.69</v>
      </c>
      <c r="M116" s="120">
        <v>1.8270188782589264E-2</v>
      </c>
      <c r="N116" s="563">
        <v>13533115.08</v>
      </c>
      <c r="O116" s="120">
        <v>1.8322954495131518E-2</v>
      </c>
      <c r="P116" s="124">
        <v>22785917.940000001</v>
      </c>
      <c r="Q116" s="124"/>
      <c r="R116" s="563"/>
      <c r="S116" s="120"/>
      <c r="T116" s="373"/>
      <c r="U116" s="541">
        <v>415</v>
      </c>
      <c r="V116" s="540" t="s">
        <v>231</v>
      </c>
      <c r="W116" s="442" t="s">
        <v>29</v>
      </c>
      <c r="X116" s="552" t="s">
        <v>230</v>
      </c>
      <c r="Y116" s="563">
        <v>0</v>
      </c>
      <c r="Z116" s="563">
        <v>13352714.380000001</v>
      </c>
      <c r="AA116" s="563">
        <v>4745982.66</v>
      </c>
      <c r="AB116" s="563"/>
      <c r="AC116" s="563"/>
      <c r="AD116" s="563">
        <v>18098697.039999999</v>
      </c>
      <c r="AE116" s="124"/>
      <c r="AF116" s="541">
        <v>415</v>
      </c>
      <c r="AG116" s="540" t="s">
        <v>231</v>
      </c>
      <c r="AH116" s="442" t="s">
        <v>29</v>
      </c>
      <c r="AI116" s="552" t="s">
        <v>230</v>
      </c>
      <c r="AJ116" s="563">
        <v>0</v>
      </c>
      <c r="AK116" s="563">
        <v>13533115.08</v>
      </c>
      <c r="AL116" s="563">
        <v>4947475.3800000008</v>
      </c>
      <c r="AM116" s="563"/>
      <c r="AN116" s="563"/>
      <c r="AO116" s="563">
        <v>18480590.460000001</v>
      </c>
      <c r="AR116" s="124">
        <f>+L116</f>
        <v>2636517.69</v>
      </c>
      <c r="AS116" s="124">
        <f>+F116</f>
        <v>1668809.79</v>
      </c>
      <c r="AV116" s="372">
        <f t="shared" si="6"/>
        <v>4305327.4800000004</v>
      </c>
      <c r="AW116" s="124">
        <f>+AV116+AO116-P116</f>
        <v>0</v>
      </c>
      <c r="AZ116" s="563">
        <v>0</v>
      </c>
      <c r="BA116" s="563">
        <v>335803.29000000004</v>
      </c>
      <c r="BB116" s="563">
        <v>127507.2</v>
      </c>
      <c r="BC116" s="563"/>
      <c r="BD116" s="563"/>
      <c r="BE116" s="563">
        <v>463310.49000000005</v>
      </c>
      <c r="BF116" s="372"/>
      <c r="BO116" s="563">
        <v>0</v>
      </c>
      <c r="BP116" s="563">
        <v>29858150.440000001</v>
      </c>
      <c r="BQ116" s="563">
        <v>11489775.029999999</v>
      </c>
      <c r="BR116" s="563"/>
      <c r="BS116" s="563"/>
      <c r="BT116" s="563">
        <v>41347925.469999999</v>
      </c>
      <c r="BW116" s="126">
        <v>865</v>
      </c>
      <c r="BX116" s="125">
        <v>17412</v>
      </c>
      <c r="BY116" s="19" t="s">
        <v>29</v>
      </c>
      <c r="BZ116" t="s">
        <v>958</v>
      </c>
    </row>
    <row r="117" spans="1:78" x14ac:dyDescent="0.3">
      <c r="A117" s="436">
        <v>17412</v>
      </c>
      <c r="B117" s="19" t="s">
        <v>29</v>
      </c>
      <c r="C117" t="s">
        <v>492</v>
      </c>
      <c r="D117" s="563">
        <v>23824.28</v>
      </c>
      <c r="E117" s="120">
        <v>4.3208014857653299E-5</v>
      </c>
      <c r="F117" s="563">
        <v>680642.57000000007</v>
      </c>
      <c r="G117" s="120">
        <v>1.234421954296681E-3</v>
      </c>
      <c r="H117" s="563">
        <v>2006576.46</v>
      </c>
      <c r="I117" s="120">
        <v>7.3442571423905593E-3</v>
      </c>
      <c r="J117" s="563">
        <v>12655.58</v>
      </c>
      <c r="K117" s="120">
        <v>8.7698951017909171E-5</v>
      </c>
      <c r="L117" s="563">
        <v>1191243.6099999999</v>
      </c>
      <c r="M117" s="120">
        <v>8.2549211497052917E-3</v>
      </c>
      <c r="N117" s="563">
        <v>6138011.8200000003</v>
      </c>
      <c r="O117" s="120">
        <v>8.3104673686436575E-3</v>
      </c>
      <c r="P117" s="124">
        <v>10052954.32</v>
      </c>
      <c r="Q117" s="124"/>
      <c r="R117" s="563"/>
      <c r="S117" s="120"/>
      <c r="T117" s="373"/>
      <c r="U117" s="541">
        <v>865</v>
      </c>
      <c r="V117" s="540" t="s">
        <v>493</v>
      </c>
      <c r="W117" s="442" t="s">
        <v>29</v>
      </c>
      <c r="X117" s="552" t="s">
        <v>492</v>
      </c>
      <c r="Y117" s="563">
        <v>7889.23</v>
      </c>
      <c r="Z117" s="563">
        <v>6094784.2899999991</v>
      </c>
      <c r="AA117" s="563">
        <v>1898050.7000000002</v>
      </c>
      <c r="AB117" s="563">
        <v>16058.95</v>
      </c>
      <c r="AC117" s="563"/>
      <c r="AD117" s="563">
        <v>8016783.169999999</v>
      </c>
      <c r="AE117" s="124"/>
      <c r="AF117" s="541">
        <v>865</v>
      </c>
      <c r="AG117" s="540" t="s">
        <v>493</v>
      </c>
      <c r="AH117" s="442" t="s">
        <v>29</v>
      </c>
      <c r="AI117" s="552" t="s">
        <v>492</v>
      </c>
      <c r="AJ117" s="563">
        <v>12655.58</v>
      </c>
      <c r="AK117" s="563">
        <v>6138011.8200000003</v>
      </c>
      <c r="AL117" s="563">
        <v>2006576.46</v>
      </c>
      <c r="AM117" s="563">
        <v>23824.28</v>
      </c>
      <c r="AN117" s="563"/>
      <c r="AO117" s="563">
        <v>8181068.1400000006</v>
      </c>
      <c r="AR117" s="124">
        <f>+L117</f>
        <v>1191243.6099999999</v>
      </c>
      <c r="AS117" s="124">
        <f>+F117</f>
        <v>680642.57000000007</v>
      </c>
      <c r="AV117" s="372">
        <f t="shared" si="6"/>
        <v>1871886.18</v>
      </c>
      <c r="AW117" s="124">
        <f>+AV117+AO117-P117</f>
        <v>0</v>
      </c>
      <c r="AZ117" s="563">
        <v>262.92</v>
      </c>
      <c r="BA117" s="563">
        <v>152306.39000000001</v>
      </c>
      <c r="BB117" s="563">
        <v>51715.72</v>
      </c>
      <c r="BC117" s="563">
        <v>535.25</v>
      </c>
      <c r="BD117" s="563"/>
      <c r="BE117" s="563">
        <v>204820.28000000003</v>
      </c>
      <c r="BF117" s="372"/>
      <c r="BO117" s="563">
        <v>20807.73</v>
      </c>
      <c r="BP117" s="563">
        <v>13576346.109999999</v>
      </c>
      <c r="BQ117" s="563">
        <v>4636985.45</v>
      </c>
      <c r="BR117" s="563">
        <v>40418.480000000003</v>
      </c>
      <c r="BS117" s="563"/>
      <c r="BT117" s="563">
        <v>18274557.77</v>
      </c>
      <c r="BW117" s="126">
        <v>518</v>
      </c>
      <c r="BX117" s="125">
        <v>17414</v>
      </c>
      <c r="BY117" s="19" t="s">
        <v>29</v>
      </c>
      <c r="BZ117" t="s">
        <v>850</v>
      </c>
    </row>
    <row r="118" spans="1:78" x14ac:dyDescent="0.3">
      <c r="A118" s="436">
        <v>17414</v>
      </c>
      <c r="B118" s="19" t="s">
        <v>29</v>
      </c>
      <c r="C118" t="s">
        <v>262</v>
      </c>
      <c r="D118" s="563">
        <v>4632.55</v>
      </c>
      <c r="E118" s="120">
        <v>8.4016511402998037E-6</v>
      </c>
      <c r="F118" s="563">
        <v>2209531.71</v>
      </c>
      <c r="G118" s="120">
        <v>4.0072345923627536E-3</v>
      </c>
      <c r="H118" s="563">
        <v>6452295.9900000002</v>
      </c>
      <c r="I118" s="120">
        <v>2.361600559660481E-2</v>
      </c>
      <c r="J118" s="563">
        <v>0</v>
      </c>
      <c r="K118" s="120">
        <v>0</v>
      </c>
      <c r="L118" s="563">
        <v>4161001.63</v>
      </c>
      <c r="M118" s="120">
        <v>2.8834354342891454E-2</v>
      </c>
      <c r="N118" s="563">
        <v>21508231.23</v>
      </c>
      <c r="O118" s="120">
        <v>2.9120741216519426E-2</v>
      </c>
      <c r="P118" s="124">
        <v>34335693.109999999</v>
      </c>
      <c r="Q118" s="124"/>
      <c r="R118" s="563"/>
      <c r="S118" s="120"/>
      <c r="T118" s="373"/>
      <c r="U118" s="541">
        <v>518</v>
      </c>
      <c r="V118" s="540" t="s">
        <v>263</v>
      </c>
      <c r="W118" s="442" t="s">
        <v>29</v>
      </c>
      <c r="X118" s="552" t="s">
        <v>262</v>
      </c>
      <c r="Y118" s="563">
        <v>0</v>
      </c>
      <c r="Z118" s="563">
        <v>20672347.010000002</v>
      </c>
      <c r="AA118" s="563">
        <v>6135181.0499999998</v>
      </c>
      <c r="AB118" s="563">
        <v>3085.86</v>
      </c>
      <c r="AC118" s="563"/>
      <c r="AD118" s="563">
        <v>26810613.920000002</v>
      </c>
      <c r="AE118" s="124"/>
      <c r="AF118" s="541">
        <v>518</v>
      </c>
      <c r="AG118" s="540" t="s">
        <v>263</v>
      </c>
      <c r="AH118" s="442" t="s">
        <v>29</v>
      </c>
      <c r="AI118" s="552" t="s">
        <v>262</v>
      </c>
      <c r="AJ118" s="563">
        <v>0</v>
      </c>
      <c r="AK118" s="563">
        <v>21508231.23</v>
      </c>
      <c r="AL118" s="563">
        <v>6452295.9900000002</v>
      </c>
      <c r="AM118" s="563">
        <v>4632.55</v>
      </c>
      <c r="AN118" s="563"/>
      <c r="AO118" s="563">
        <v>27965159.77</v>
      </c>
      <c r="AR118" s="124">
        <f>+L118</f>
        <v>4161001.63</v>
      </c>
      <c r="AS118" s="124">
        <f>+F118</f>
        <v>2209531.71</v>
      </c>
      <c r="AV118" s="372">
        <f t="shared" si="6"/>
        <v>6370533.3399999999</v>
      </c>
      <c r="AW118" s="124">
        <f>+AV118+AO118-P118</f>
        <v>0</v>
      </c>
      <c r="AZ118" s="563">
        <v>0</v>
      </c>
      <c r="BA118" s="563">
        <v>533805.53</v>
      </c>
      <c r="BB118" s="563">
        <v>166297.76</v>
      </c>
      <c r="BC118" s="563">
        <v>102.81</v>
      </c>
      <c r="BD118" s="563"/>
      <c r="BE118" s="563">
        <v>700206.10000000009</v>
      </c>
      <c r="BF118" s="372"/>
      <c r="BO118" s="563">
        <v>0</v>
      </c>
      <c r="BP118" s="563">
        <v>46875385.400000006</v>
      </c>
      <c r="BQ118" s="563">
        <v>14963306.510000002</v>
      </c>
      <c r="BR118" s="563">
        <v>7821.22</v>
      </c>
      <c r="BS118" s="563"/>
      <c r="BT118" s="563">
        <v>61846513.13000001</v>
      </c>
      <c r="BW118" s="126">
        <v>435</v>
      </c>
      <c r="BX118" s="125">
        <v>17415</v>
      </c>
      <c r="BY118" s="19" t="s">
        <v>29</v>
      </c>
      <c r="BZ118" t="s">
        <v>841</v>
      </c>
    </row>
    <row r="119" spans="1:78" x14ac:dyDescent="0.3">
      <c r="A119" s="436">
        <v>17415</v>
      </c>
      <c r="B119" s="19" t="s">
        <v>29</v>
      </c>
      <c r="C119" t="s">
        <v>242</v>
      </c>
      <c r="D119" s="563">
        <v>10689.21</v>
      </c>
      <c r="E119" s="120">
        <v>1.9386086148105051E-5</v>
      </c>
      <c r="F119" s="563">
        <v>2156501.1</v>
      </c>
      <c r="G119" s="120">
        <v>3.9110576088488593E-3</v>
      </c>
      <c r="H119" s="563">
        <v>6304492.8900000006</v>
      </c>
      <c r="I119" s="120">
        <v>2.3075032454299302E-2</v>
      </c>
      <c r="J119" s="563">
        <v>0</v>
      </c>
      <c r="K119" s="120">
        <v>0</v>
      </c>
      <c r="L119" s="563">
        <v>3579593.84</v>
      </c>
      <c r="M119" s="120">
        <v>2.4805392154146188E-2</v>
      </c>
      <c r="N119" s="563">
        <v>18529869.07</v>
      </c>
      <c r="O119" s="120">
        <v>2.5088233253267731E-2</v>
      </c>
      <c r="P119" s="124">
        <v>30581146.109999999</v>
      </c>
      <c r="Q119" s="124"/>
      <c r="R119" s="563"/>
      <c r="S119" s="120"/>
      <c r="T119" s="373"/>
      <c r="U119" s="541">
        <v>435</v>
      </c>
      <c r="V119" s="540" t="s">
        <v>243</v>
      </c>
      <c r="W119" s="442" t="s">
        <v>29</v>
      </c>
      <c r="X119" s="552" t="s">
        <v>242</v>
      </c>
      <c r="Y119" s="563">
        <v>0</v>
      </c>
      <c r="Z119" s="563">
        <v>17566445.149999999</v>
      </c>
      <c r="AA119" s="563">
        <v>5736273.9299999997</v>
      </c>
      <c r="AB119" s="563">
        <v>7158.98</v>
      </c>
      <c r="AC119" s="563"/>
      <c r="AD119" s="563">
        <v>23309878.059999999</v>
      </c>
      <c r="AE119" s="124"/>
      <c r="AF119" s="541">
        <v>435</v>
      </c>
      <c r="AG119" s="540" t="s">
        <v>243</v>
      </c>
      <c r="AH119" s="442" t="s">
        <v>29</v>
      </c>
      <c r="AI119" s="552" t="s">
        <v>242</v>
      </c>
      <c r="AJ119" s="563">
        <v>0</v>
      </c>
      <c r="AK119" s="563">
        <v>18529869.07</v>
      </c>
      <c r="AL119" s="563">
        <v>6304492.8900000006</v>
      </c>
      <c r="AM119" s="563">
        <v>10689.21</v>
      </c>
      <c r="AN119" s="563"/>
      <c r="AO119" s="563">
        <v>24845051.170000002</v>
      </c>
      <c r="AR119" s="124">
        <f>+L119</f>
        <v>3579593.84</v>
      </c>
      <c r="AS119" s="124">
        <f>+F119</f>
        <v>2156501.1</v>
      </c>
      <c r="AV119" s="372">
        <f t="shared" si="6"/>
        <v>5736094.9399999995</v>
      </c>
      <c r="AW119" s="124">
        <f>+AV119+AO119-P119</f>
        <v>0</v>
      </c>
      <c r="AZ119" s="563">
        <v>0</v>
      </c>
      <c r="BA119" s="563">
        <v>459803.81999999995</v>
      </c>
      <c r="BB119" s="563">
        <v>162471.71</v>
      </c>
      <c r="BC119" s="563">
        <v>238.55</v>
      </c>
      <c r="BD119" s="563"/>
      <c r="BE119" s="563">
        <v>622514.07999999996</v>
      </c>
      <c r="BF119" s="372"/>
      <c r="BO119" s="563">
        <v>0</v>
      </c>
      <c r="BP119" s="563">
        <v>40135711.880000003</v>
      </c>
      <c r="BQ119" s="563">
        <v>14359739.629999999</v>
      </c>
      <c r="BR119" s="563">
        <v>18086.740000000002</v>
      </c>
      <c r="BS119" s="563"/>
      <c r="BT119" s="563">
        <v>54513538.25</v>
      </c>
      <c r="BW119" s="126">
        <v>653</v>
      </c>
      <c r="BX119" s="125">
        <v>17417</v>
      </c>
      <c r="BY119" s="19" t="s">
        <v>29</v>
      </c>
      <c r="BZ119" t="s">
        <v>896</v>
      </c>
    </row>
    <row r="120" spans="1:78" x14ac:dyDescent="0.3">
      <c r="A120" s="436">
        <v>17417</v>
      </c>
      <c r="B120" s="19" t="s">
        <v>29</v>
      </c>
      <c r="C120" t="s">
        <v>360</v>
      </c>
      <c r="D120" s="563">
        <v>6625.73</v>
      </c>
      <c r="E120" s="120">
        <v>1.2016507541163854E-5</v>
      </c>
      <c r="F120" s="563">
        <v>2240220.71</v>
      </c>
      <c r="G120" s="120">
        <v>4.062892550041497E-3</v>
      </c>
      <c r="H120" s="563">
        <v>6561091.6500000004</v>
      </c>
      <c r="I120" s="120">
        <v>2.4014207867459763E-2</v>
      </c>
      <c r="J120" s="563">
        <v>0</v>
      </c>
      <c r="K120" s="120">
        <v>0</v>
      </c>
      <c r="L120" s="563">
        <v>3038448.59</v>
      </c>
      <c r="M120" s="120">
        <v>2.1055435947214207E-2</v>
      </c>
      <c r="N120" s="563">
        <v>15595512.84</v>
      </c>
      <c r="O120" s="120">
        <v>2.1115306446914461E-2</v>
      </c>
      <c r="P120" s="124">
        <v>27441899.52</v>
      </c>
      <c r="Q120" s="124"/>
      <c r="R120" s="563"/>
      <c r="S120" s="120"/>
      <c r="T120" s="373"/>
      <c r="U120" s="541">
        <v>653</v>
      </c>
      <c r="V120" s="540" t="s">
        <v>361</v>
      </c>
      <c r="W120" s="442" t="s">
        <v>29</v>
      </c>
      <c r="X120" s="552" t="s">
        <v>360</v>
      </c>
      <c r="Y120" s="563">
        <v>0</v>
      </c>
      <c r="Z120" s="563">
        <v>15007377.59</v>
      </c>
      <c r="AA120" s="563">
        <v>6273566.1799999997</v>
      </c>
      <c r="AB120" s="563">
        <v>4438.28</v>
      </c>
      <c r="AC120" s="563"/>
      <c r="AD120" s="563">
        <v>21285382.050000001</v>
      </c>
      <c r="AE120" s="124"/>
      <c r="AF120" s="541">
        <v>653</v>
      </c>
      <c r="AG120" s="540" t="s">
        <v>361</v>
      </c>
      <c r="AH120" s="442" t="s">
        <v>29</v>
      </c>
      <c r="AI120" s="552" t="s">
        <v>360</v>
      </c>
      <c r="AJ120" s="563">
        <v>0</v>
      </c>
      <c r="AK120" s="563">
        <v>15595512.84</v>
      </c>
      <c r="AL120" s="563">
        <v>6561091.6500000004</v>
      </c>
      <c r="AM120" s="563">
        <v>6625.73</v>
      </c>
      <c r="AN120" s="563"/>
      <c r="AO120" s="563">
        <v>22163230.219999999</v>
      </c>
      <c r="AR120" s="124">
        <f>+L120</f>
        <v>3038448.59</v>
      </c>
      <c r="AS120" s="124">
        <f>+F120</f>
        <v>2240220.71</v>
      </c>
      <c r="AV120" s="372">
        <f t="shared" si="6"/>
        <v>5278669.3</v>
      </c>
      <c r="AW120" s="124">
        <f>+AV120+AO120-P120</f>
        <v>0</v>
      </c>
      <c r="AZ120" s="563">
        <v>0</v>
      </c>
      <c r="BA120" s="563">
        <v>386981.83</v>
      </c>
      <c r="BB120" s="563">
        <v>170795.8</v>
      </c>
      <c r="BC120" s="563">
        <v>147.88999999999999</v>
      </c>
      <c r="BD120" s="563"/>
      <c r="BE120" s="563">
        <v>557925.52</v>
      </c>
      <c r="BF120" s="372"/>
      <c r="BO120" s="563">
        <v>0</v>
      </c>
      <c r="BP120" s="563">
        <v>34028320.849999994</v>
      </c>
      <c r="BQ120" s="563">
        <v>15245674.34</v>
      </c>
      <c r="BR120" s="563">
        <v>11211.9</v>
      </c>
      <c r="BS120" s="563"/>
      <c r="BT120" s="563">
        <v>49285207.089999996</v>
      </c>
      <c r="BW120" s="126">
        <v>264</v>
      </c>
      <c r="BX120" s="125">
        <v>17801</v>
      </c>
      <c r="BY120" s="19">
        <v>121</v>
      </c>
      <c r="BZ120" t="s">
        <v>1119</v>
      </c>
    </row>
    <row r="121" spans="1:78" x14ac:dyDescent="0.3">
      <c r="A121" s="436">
        <v>17801</v>
      </c>
      <c r="B121" s="19">
        <v>121</v>
      </c>
      <c r="C121" t="s">
        <v>428</v>
      </c>
      <c r="D121" s="563"/>
      <c r="E121" s="120"/>
      <c r="F121" s="563">
        <v>835359.36</v>
      </c>
      <c r="G121" s="120">
        <v>1.5150182770837042E-3</v>
      </c>
      <c r="H121" s="563">
        <v>2476371.42</v>
      </c>
      <c r="I121" s="120">
        <v>9.0637505478096021E-3</v>
      </c>
      <c r="J121" s="563"/>
      <c r="K121" s="120"/>
      <c r="L121" s="563">
        <v>12600.03</v>
      </c>
      <c r="M121" s="120">
        <v>8.7314008033941254E-5</v>
      </c>
      <c r="N121" s="563">
        <v>64493.7</v>
      </c>
      <c r="O121" s="120">
        <v>8.7320260216294825E-5</v>
      </c>
      <c r="P121" s="124">
        <v>3388824.51</v>
      </c>
      <c r="Q121" s="124"/>
      <c r="R121" s="563"/>
      <c r="S121" s="120"/>
      <c r="T121" s="373"/>
      <c r="U121" s="541">
        <v>264</v>
      </c>
      <c r="V121" s="540" t="s">
        <v>429</v>
      </c>
      <c r="W121" s="442">
        <v>121</v>
      </c>
      <c r="X121" s="552" t="s">
        <v>428</v>
      </c>
      <c r="Y121" s="563"/>
      <c r="Z121" s="563">
        <v>53206.95</v>
      </c>
      <c r="AA121" s="563">
        <v>2307845.83</v>
      </c>
      <c r="AB121" s="563"/>
      <c r="AC121" s="563"/>
      <c r="AD121" s="563">
        <v>2361052.7800000003</v>
      </c>
      <c r="AE121" s="124"/>
      <c r="AF121" s="541">
        <v>264</v>
      </c>
      <c r="AG121" s="540" t="s">
        <v>429</v>
      </c>
      <c r="AH121" s="442">
        <v>121</v>
      </c>
      <c r="AI121" s="552" t="s">
        <v>428</v>
      </c>
      <c r="AJ121" s="563"/>
      <c r="AK121" s="563">
        <v>64493.7</v>
      </c>
      <c r="AL121" s="563">
        <v>2476371.42</v>
      </c>
      <c r="AM121" s="563"/>
      <c r="AN121" s="563"/>
      <c r="AO121" s="563">
        <v>2540865.12</v>
      </c>
      <c r="AR121" s="124">
        <f>+L121</f>
        <v>12600.03</v>
      </c>
      <c r="AS121" s="124">
        <f>+F121</f>
        <v>835359.36</v>
      </c>
      <c r="AV121" s="372">
        <f t="shared" si="6"/>
        <v>847959.39</v>
      </c>
      <c r="AW121" s="124">
        <f>+AV121+AO121-P121</f>
        <v>0</v>
      </c>
      <c r="AZ121" s="563"/>
      <c r="BA121" s="563">
        <v>1600.25</v>
      </c>
      <c r="BB121" s="563">
        <v>63824.02</v>
      </c>
      <c r="BC121" s="563"/>
      <c r="BD121" s="563"/>
      <c r="BE121" s="563">
        <v>65424.27</v>
      </c>
      <c r="BF121" s="372"/>
      <c r="BO121" s="563"/>
      <c r="BP121" s="563">
        <v>131900.93</v>
      </c>
      <c r="BQ121" s="563">
        <v>5683400.6299999999</v>
      </c>
      <c r="BR121" s="563"/>
      <c r="BS121" s="563"/>
      <c r="BT121" s="563">
        <v>5815301.5599999996</v>
      </c>
      <c r="BW121" s="126">
        <v>2633</v>
      </c>
      <c r="BX121" s="125">
        <v>17902</v>
      </c>
      <c r="BY121" s="19" t="s">
        <v>1039</v>
      </c>
      <c r="BZ121" t="s">
        <v>1026</v>
      </c>
    </row>
    <row r="122" spans="1:78" x14ac:dyDescent="0.3">
      <c r="A122" s="436">
        <v>17902</v>
      </c>
      <c r="B122" s="19" t="s">
        <v>1039</v>
      </c>
      <c r="C122" t="s">
        <v>1083</v>
      </c>
      <c r="D122" s="563"/>
      <c r="E122" s="120"/>
      <c r="F122" s="563">
        <v>31797.89</v>
      </c>
      <c r="G122" s="120">
        <v>5.7669054576340835E-5</v>
      </c>
      <c r="H122" s="563">
        <v>93078.06</v>
      </c>
      <c r="I122" s="120">
        <v>3.4067438773544516E-4</v>
      </c>
      <c r="J122" s="563"/>
      <c r="K122" s="120"/>
      <c r="L122" s="563">
        <v>116054.11</v>
      </c>
      <c r="M122" s="120">
        <v>8.04216298922455E-4</v>
      </c>
      <c r="N122" s="563">
        <v>598913.02</v>
      </c>
      <c r="O122" s="120">
        <v>8.1088913728514557E-4</v>
      </c>
      <c r="P122" s="124">
        <v>839843.08000000007</v>
      </c>
      <c r="Q122" s="124"/>
      <c r="R122" s="563"/>
      <c r="S122" s="120"/>
      <c r="T122" s="373"/>
      <c r="U122" s="541">
        <v>2633</v>
      </c>
      <c r="V122" s="540" t="s">
        <v>1062</v>
      </c>
      <c r="W122" s="442" t="s">
        <v>1039</v>
      </c>
      <c r="X122" s="552" t="s">
        <v>1083</v>
      </c>
      <c r="Y122" s="563"/>
      <c r="Z122" s="563">
        <v>555187.87</v>
      </c>
      <c r="AA122" s="563">
        <v>87692.5</v>
      </c>
      <c r="AB122" s="563"/>
      <c r="AC122" s="563"/>
      <c r="AD122" s="563">
        <v>642880.37</v>
      </c>
      <c r="AE122" s="124"/>
      <c r="AF122" s="541">
        <v>2633</v>
      </c>
      <c r="AG122" s="540" t="s">
        <v>1062</v>
      </c>
      <c r="AH122" s="442" t="s">
        <v>1039</v>
      </c>
      <c r="AI122" s="552" t="s">
        <v>1083</v>
      </c>
      <c r="AJ122" s="563"/>
      <c r="AK122" s="563">
        <v>598913.02</v>
      </c>
      <c r="AL122" s="563">
        <v>93078.06</v>
      </c>
      <c r="AM122" s="563"/>
      <c r="AN122" s="563"/>
      <c r="AO122" s="563">
        <v>691991.08000000007</v>
      </c>
      <c r="AR122" s="124">
        <f>+L122</f>
        <v>116054.11</v>
      </c>
      <c r="AS122" s="124">
        <f>+F122</f>
        <v>31797.89</v>
      </c>
      <c r="AV122" s="372">
        <f t="shared" si="6"/>
        <v>147852</v>
      </c>
      <c r="AW122" s="124">
        <f>+AV122+AO122-P122</f>
        <v>0</v>
      </c>
      <c r="AZ122" s="563"/>
      <c r="BA122" s="563">
        <v>14861.22</v>
      </c>
      <c r="BB122" s="563">
        <v>2398.79</v>
      </c>
      <c r="BC122" s="563"/>
      <c r="BD122" s="563"/>
      <c r="BE122" s="563">
        <v>17260.009999999998</v>
      </c>
      <c r="BF122" s="372"/>
      <c r="BO122" s="563"/>
      <c r="BP122" s="563">
        <v>1285016.22</v>
      </c>
      <c r="BQ122" s="563">
        <v>214967.24</v>
      </c>
      <c r="BR122" s="563"/>
      <c r="BS122" s="563"/>
      <c r="BT122" s="563">
        <v>1499983.46</v>
      </c>
      <c r="BW122" s="126">
        <v>2630</v>
      </c>
      <c r="BX122" s="125">
        <v>17908</v>
      </c>
      <c r="BY122" s="19" t="s">
        <v>1039</v>
      </c>
      <c r="BZ122" t="s">
        <v>1023</v>
      </c>
    </row>
    <row r="123" spans="1:78" x14ac:dyDescent="0.3">
      <c r="A123" s="436">
        <v>17908</v>
      </c>
      <c r="B123" s="19" t="s">
        <v>1039</v>
      </c>
      <c r="C123" t="s">
        <v>1032</v>
      </c>
      <c r="D123" s="563"/>
      <c r="E123" s="120"/>
      <c r="F123" s="563">
        <v>19121.09</v>
      </c>
      <c r="G123" s="120">
        <v>3.4678250121914536E-5</v>
      </c>
      <c r="H123" s="563">
        <v>55845.88</v>
      </c>
      <c r="I123" s="120">
        <v>2.0440113359203172E-4</v>
      </c>
      <c r="J123" s="563"/>
      <c r="K123" s="120"/>
      <c r="L123" s="563">
        <v>39964.120000000003</v>
      </c>
      <c r="M123" s="120">
        <v>2.7693803068321206E-4</v>
      </c>
      <c r="N123" s="563">
        <v>205540.36</v>
      </c>
      <c r="O123" s="120">
        <v>2.782882315660431E-4</v>
      </c>
      <c r="P123" s="124">
        <v>320471.44999999995</v>
      </c>
      <c r="Q123" s="124"/>
      <c r="R123" s="563"/>
      <c r="S123" s="120"/>
      <c r="T123" s="373"/>
      <c r="U123" s="541">
        <v>2630</v>
      </c>
      <c r="V123" s="540" t="s">
        <v>1059</v>
      </c>
      <c r="W123" s="442" t="s">
        <v>1039</v>
      </c>
      <c r="X123" s="552" t="s">
        <v>1032</v>
      </c>
      <c r="Y123" s="563"/>
      <c r="Z123" s="563">
        <v>174216.36</v>
      </c>
      <c r="AA123" s="563">
        <v>40617.53</v>
      </c>
      <c r="AB123" s="563"/>
      <c r="AC123" s="563"/>
      <c r="AD123" s="563">
        <v>214833.88999999998</v>
      </c>
      <c r="AE123" s="124"/>
      <c r="AF123" s="541">
        <v>2630</v>
      </c>
      <c r="AG123" s="540" t="s">
        <v>1059</v>
      </c>
      <c r="AH123" s="442" t="s">
        <v>1039</v>
      </c>
      <c r="AI123" s="552" t="s">
        <v>1032</v>
      </c>
      <c r="AJ123" s="563"/>
      <c r="AK123" s="563">
        <v>205540.36</v>
      </c>
      <c r="AL123" s="563">
        <v>55845.88</v>
      </c>
      <c r="AM123" s="563"/>
      <c r="AN123" s="563"/>
      <c r="AO123" s="563">
        <v>261386.23999999999</v>
      </c>
      <c r="AR123" s="124">
        <f>+L123</f>
        <v>39964.120000000003</v>
      </c>
      <c r="AS123" s="124">
        <f>+F123</f>
        <v>19121.09</v>
      </c>
      <c r="AV123" s="372">
        <f t="shared" si="6"/>
        <v>59085.210000000006</v>
      </c>
      <c r="AW123" s="124">
        <f>+AV123+AO123-P123</f>
        <v>0</v>
      </c>
      <c r="AZ123" s="563"/>
      <c r="BA123" s="563">
        <v>5100.13</v>
      </c>
      <c r="BB123" s="563">
        <v>1439.24</v>
      </c>
      <c r="BC123" s="563"/>
      <c r="BD123" s="563"/>
      <c r="BE123" s="563">
        <v>6539.37</v>
      </c>
      <c r="BF123" s="372"/>
      <c r="BO123" s="563"/>
      <c r="BP123" s="563">
        <v>424820.97</v>
      </c>
      <c r="BQ123" s="563">
        <v>117023.74</v>
      </c>
      <c r="BR123" s="563"/>
      <c r="BS123" s="563"/>
      <c r="BT123" s="563">
        <v>541844.71</v>
      </c>
      <c r="BW123" s="126">
        <v>3063</v>
      </c>
      <c r="BX123" s="125">
        <v>17911</v>
      </c>
      <c r="BY123" s="19" t="s">
        <v>1039</v>
      </c>
      <c r="BZ123" t="s">
        <v>1120</v>
      </c>
    </row>
    <row r="124" spans="1:78" x14ac:dyDescent="0.3">
      <c r="A124" s="436">
        <v>17911</v>
      </c>
      <c r="B124" s="19" t="s">
        <v>1039</v>
      </c>
      <c r="C124" t="s">
        <v>1116</v>
      </c>
      <c r="D124" s="563"/>
      <c r="E124" s="120"/>
      <c r="F124" s="563">
        <v>88267.18</v>
      </c>
      <c r="G124" s="120">
        <v>1.6008247153253565E-4</v>
      </c>
      <c r="H124" s="563">
        <v>261490.8</v>
      </c>
      <c r="I124" s="120">
        <v>9.5708073619553034E-4</v>
      </c>
      <c r="J124" s="563"/>
      <c r="K124" s="120"/>
      <c r="L124" s="563">
        <v>103039.58</v>
      </c>
      <c r="M124" s="120">
        <v>7.1402994405044527E-4</v>
      </c>
      <c r="N124" s="563">
        <v>528630.16999999993</v>
      </c>
      <c r="O124" s="120">
        <v>7.1573074583384372E-4</v>
      </c>
      <c r="P124" s="124">
        <v>981427.73</v>
      </c>
      <c r="Q124" s="124"/>
      <c r="R124" s="563"/>
      <c r="S124" s="120"/>
      <c r="T124" s="373"/>
      <c r="U124" s="545">
        <v>3063</v>
      </c>
      <c r="V124" s="540" t="s">
        <v>1115</v>
      </c>
      <c r="W124" s="442" t="s">
        <v>1039</v>
      </c>
      <c r="X124" s="552" t="s">
        <v>1116</v>
      </c>
      <c r="Y124" s="563"/>
      <c r="Z124" s="563">
        <v>490375.88</v>
      </c>
      <c r="AA124" s="563">
        <v>243736.24</v>
      </c>
      <c r="AB124" s="563"/>
      <c r="AC124" s="563"/>
      <c r="AD124" s="563">
        <v>734112.12</v>
      </c>
      <c r="AE124" s="124"/>
      <c r="AF124" s="545">
        <v>3063</v>
      </c>
      <c r="AG124" s="540" t="s">
        <v>1115</v>
      </c>
      <c r="AH124" s="442" t="s">
        <v>1039</v>
      </c>
      <c r="AI124" s="552" t="s">
        <v>1116</v>
      </c>
      <c r="AJ124" s="563"/>
      <c r="AK124" s="563">
        <v>528630.16999999993</v>
      </c>
      <c r="AL124" s="563">
        <v>261490.8</v>
      </c>
      <c r="AM124" s="563"/>
      <c r="AN124" s="563"/>
      <c r="AO124" s="563">
        <v>790120.97</v>
      </c>
      <c r="AR124" s="124">
        <f>+L124</f>
        <v>103039.58</v>
      </c>
      <c r="AS124" s="124">
        <f>+F124</f>
        <v>88267.18</v>
      </c>
      <c r="AV124" s="372">
        <f t="shared" si="6"/>
        <v>191306.76</v>
      </c>
      <c r="AW124" s="124">
        <f>+AV124+AO124-P124</f>
        <v>0</v>
      </c>
      <c r="AZ124" s="563"/>
      <c r="BA124" s="563">
        <v>13117.27</v>
      </c>
      <c r="BB124" s="563">
        <v>6739.34</v>
      </c>
      <c r="BC124" s="563"/>
      <c r="BD124" s="563"/>
      <c r="BE124" s="563">
        <v>19856.61</v>
      </c>
      <c r="BF124" s="372"/>
      <c r="BO124" s="563"/>
      <c r="BP124" s="563">
        <v>1135162.8999999999</v>
      </c>
      <c r="BQ124" s="563">
        <v>600233.56000000006</v>
      </c>
      <c r="BR124" s="563"/>
      <c r="BS124" s="563"/>
      <c r="BT124" s="563">
        <v>1735396.46</v>
      </c>
      <c r="BW124" s="126">
        <v>82</v>
      </c>
      <c r="BX124" s="125">
        <v>18100</v>
      </c>
      <c r="BY124" s="19" t="s">
        <v>52</v>
      </c>
      <c r="BZ124" t="s">
        <v>747</v>
      </c>
    </row>
    <row r="125" spans="1:78" x14ac:dyDescent="0.3">
      <c r="A125" s="440">
        <v>17917</v>
      </c>
      <c r="B125" s="19" t="s">
        <v>1039</v>
      </c>
      <c r="C125" t="s">
        <v>1180</v>
      </c>
      <c r="D125" s="563"/>
      <c r="E125" s="120"/>
      <c r="F125" s="563">
        <v>8224.34</v>
      </c>
      <c r="G125" s="120">
        <v>1.491576681076584E-5</v>
      </c>
      <c r="H125" s="563">
        <v>23948.25</v>
      </c>
      <c r="I125" s="120">
        <v>8.7652830388658463E-5</v>
      </c>
      <c r="J125" s="563"/>
      <c r="K125" s="120"/>
      <c r="L125" s="563">
        <v>14417.04</v>
      </c>
      <c r="M125" s="120">
        <v>9.9905281684698556E-5</v>
      </c>
      <c r="N125" s="563">
        <v>74558.22</v>
      </c>
      <c r="O125" s="120">
        <v>1.0094696337260473E-4</v>
      </c>
      <c r="P125" s="124">
        <v>121147.85</v>
      </c>
      <c r="Q125" s="124"/>
      <c r="R125" s="563"/>
      <c r="S125" s="120"/>
      <c r="T125" s="373"/>
      <c r="U125" s="548">
        <v>4263</v>
      </c>
      <c r="V125" s="542" t="s">
        <v>1179</v>
      </c>
      <c r="W125" s="442" t="s">
        <v>1039</v>
      </c>
      <c r="X125" s="552" t="s">
        <v>1180</v>
      </c>
      <c r="Y125" s="563"/>
      <c r="Z125" s="563">
        <v>61441.700000000004</v>
      </c>
      <c r="AA125" s="563">
        <v>21825.56</v>
      </c>
      <c r="AB125" s="563"/>
      <c r="AC125" s="563"/>
      <c r="AD125" s="563">
        <v>83267.260000000009</v>
      </c>
      <c r="AE125" s="124"/>
      <c r="AF125" s="548">
        <v>4263</v>
      </c>
      <c r="AG125" s="542" t="s">
        <v>1179</v>
      </c>
      <c r="AH125" s="442" t="s">
        <v>1039</v>
      </c>
      <c r="AI125" s="552" t="s">
        <v>1180</v>
      </c>
      <c r="AJ125" s="563"/>
      <c r="AK125" s="563">
        <v>74558.22</v>
      </c>
      <c r="AL125" s="563">
        <v>23948.25</v>
      </c>
      <c r="AM125" s="563"/>
      <c r="AN125" s="563"/>
      <c r="AO125" s="563">
        <v>98506.47</v>
      </c>
      <c r="AR125" s="124">
        <f>+L125</f>
        <v>14417.04</v>
      </c>
      <c r="AS125" s="124">
        <f>+F125</f>
        <v>8224.34</v>
      </c>
      <c r="AV125" s="372">
        <f t="shared" si="6"/>
        <v>22641.38</v>
      </c>
      <c r="AW125" s="124">
        <f>+AV125+AO125-P125</f>
        <v>0</v>
      </c>
      <c r="AZ125" s="563"/>
      <c r="BA125" s="563">
        <v>1849.92</v>
      </c>
      <c r="BB125" s="563">
        <v>617.16</v>
      </c>
      <c r="BC125" s="563"/>
      <c r="BD125" s="563"/>
      <c r="BE125" s="563">
        <v>2467.08</v>
      </c>
      <c r="BF125" s="372"/>
      <c r="BO125" s="563"/>
      <c r="BP125" s="563">
        <v>152266.88</v>
      </c>
      <c r="BQ125" s="563">
        <v>54615.31</v>
      </c>
      <c r="BR125" s="563"/>
      <c r="BS125" s="563"/>
      <c r="BT125" s="563">
        <v>206882.19</v>
      </c>
      <c r="BW125" s="126">
        <v>42</v>
      </c>
      <c r="BX125" s="125">
        <v>18303</v>
      </c>
      <c r="BY125" s="19" t="s">
        <v>29</v>
      </c>
      <c r="BZ125" t="s">
        <v>738</v>
      </c>
    </row>
    <row r="126" spans="1:78" x14ac:dyDescent="0.3">
      <c r="A126" s="436">
        <v>18100</v>
      </c>
      <c r="B126" s="19" t="s">
        <v>52</v>
      </c>
      <c r="C126" t="s">
        <v>50</v>
      </c>
      <c r="D126" s="563">
        <v>11260.67</v>
      </c>
      <c r="E126" s="120">
        <v>2.042249321562418E-5</v>
      </c>
      <c r="F126" s="563">
        <v>419571.67</v>
      </c>
      <c r="G126" s="120">
        <v>7.6094047548175259E-4</v>
      </c>
      <c r="H126" s="563">
        <v>1226201.94</v>
      </c>
      <c r="I126" s="120">
        <v>4.4880135571101834E-3</v>
      </c>
      <c r="J126" s="563">
        <v>0</v>
      </c>
      <c r="K126" s="120">
        <v>0</v>
      </c>
      <c r="L126" s="563">
        <v>651650.91</v>
      </c>
      <c r="M126" s="120">
        <v>4.5157235967743826E-3</v>
      </c>
      <c r="N126" s="563">
        <v>3369561.89</v>
      </c>
      <c r="O126" s="120">
        <v>4.5621668635806318E-3</v>
      </c>
      <c r="P126" s="124">
        <v>5678247.0800000001</v>
      </c>
      <c r="Q126" s="124"/>
      <c r="R126" s="563"/>
      <c r="S126" s="120"/>
      <c r="T126" s="373"/>
      <c r="U126" s="541">
        <v>82</v>
      </c>
      <c r="V126" s="540" t="s">
        <v>51</v>
      </c>
      <c r="W126" s="442" t="s">
        <v>52</v>
      </c>
      <c r="X126" s="552" t="s">
        <v>50</v>
      </c>
      <c r="Y126" s="563">
        <v>0</v>
      </c>
      <c r="Z126" s="563">
        <v>3359267.4</v>
      </c>
      <c r="AA126" s="563">
        <v>1147503.43</v>
      </c>
      <c r="AB126" s="563">
        <v>7514.77</v>
      </c>
      <c r="AC126" s="563"/>
      <c r="AD126" s="563">
        <v>4514285.5999999996</v>
      </c>
      <c r="AE126" s="124"/>
      <c r="AF126" s="541">
        <v>82</v>
      </c>
      <c r="AG126" s="540" t="s">
        <v>51</v>
      </c>
      <c r="AH126" s="442" t="s">
        <v>52</v>
      </c>
      <c r="AI126" s="552" t="s">
        <v>50</v>
      </c>
      <c r="AJ126" s="563">
        <v>0</v>
      </c>
      <c r="AK126" s="563">
        <v>3369561.89</v>
      </c>
      <c r="AL126" s="563">
        <v>1226201.94</v>
      </c>
      <c r="AM126" s="563">
        <v>11260.67</v>
      </c>
      <c r="AN126" s="563"/>
      <c r="AO126" s="563">
        <v>4607024.5</v>
      </c>
      <c r="AR126" s="124">
        <f>+L126</f>
        <v>651650.91</v>
      </c>
      <c r="AS126" s="124">
        <f>+F126</f>
        <v>419571.67</v>
      </c>
      <c r="AV126" s="372">
        <f t="shared" si="6"/>
        <v>1071222.58</v>
      </c>
      <c r="AW126" s="124">
        <f>+AV126+AO126-P126</f>
        <v>0</v>
      </c>
      <c r="AZ126" s="563">
        <v>0</v>
      </c>
      <c r="BA126" s="563">
        <v>83608.12</v>
      </c>
      <c r="BB126" s="563">
        <v>31602.39</v>
      </c>
      <c r="BC126" s="563">
        <v>250.42</v>
      </c>
      <c r="BD126" s="563"/>
      <c r="BE126" s="563">
        <v>115460.93</v>
      </c>
      <c r="BF126" s="372"/>
      <c r="BO126" s="563">
        <v>0</v>
      </c>
      <c r="BP126" s="563">
        <v>7464088.3199999994</v>
      </c>
      <c r="BQ126" s="563">
        <v>2824879.4299999997</v>
      </c>
      <c r="BR126" s="563">
        <v>19025.86</v>
      </c>
      <c r="BS126" s="563"/>
      <c r="BT126" s="563">
        <v>10307993.609999999</v>
      </c>
      <c r="BW126" s="126">
        <v>649</v>
      </c>
      <c r="BX126" s="125">
        <v>18400</v>
      </c>
      <c r="BY126" s="19" t="s">
        <v>52</v>
      </c>
      <c r="BZ126" t="s">
        <v>893</v>
      </c>
    </row>
    <row r="127" spans="1:78" x14ac:dyDescent="0.3">
      <c r="A127" s="436">
        <v>18303</v>
      </c>
      <c r="B127" s="19" t="s">
        <v>29</v>
      </c>
      <c r="C127" t="s">
        <v>30</v>
      </c>
      <c r="D127" s="563"/>
      <c r="E127" s="120"/>
      <c r="F127" s="563">
        <v>312118.64</v>
      </c>
      <c r="G127" s="120">
        <v>5.6606230427406589E-4</v>
      </c>
      <c r="H127" s="563">
        <v>922600.13</v>
      </c>
      <c r="I127" s="120">
        <v>3.3768025935692271E-3</v>
      </c>
      <c r="J127" s="563">
        <v>0</v>
      </c>
      <c r="K127" s="120">
        <v>0</v>
      </c>
      <c r="L127" s="563">
        <v>473583.48</v>
      </c>
      <c r="M127" s="120">
        <v>3.2817756606501615E-3</v>
      </c>
      <c r="N127" s="563">
        <v>2430857.81</v>
      </c>
      <c r="O127" s="120">
        <v>3.291222809638966E-3</v>
      </c>
      <c r="P127" s="124">
        <v>4139160.06</v>
      </c>
      <c r="Q127" s="124"/>
      <c r="R127" s="563"/>
      <c r="S127" s="120"/>
      <c r="T127" s="373"/>
      <c r="U127" s="541">
        <v>42</v>
      </c>
      <c r="V127" s="540" t="s">
        <v>31</v>
      </c>
      <c r="W127" s="442" t="s">
        <v>29</v>
      </c>
      <c r="X127" s="552" t="s">
        <v>30</v>
      </c>
      <c r="Y127" s="563">
        <v>0</v>
      </c>
      <c r="Z127" s="563">
        <v>2270518.9299999997</v>
      </c>
      <c r="AA127" s="563">
        <v>890273.19</v>
      </c>
      <c r="AB127" s="563"/>
      <c r="AC127" s="563"/>
      <c r="AD127" s="563">
        <v>3160792.1199999996</v>
      </c>
      <c r="AE127" s="124"/>
      <c r="AF127" s="541">
        <v>42</v>
      </c>
      <c r="AG127" s="540" t="s">
        <v>31</v>
      </c>
      <c r="AH127" s="442" t="s">
        <v>29</v>
      </c>
      <c r="AI127" s="552" t="s">
        <v>30</v>
      </c>
      <c r="AJ127" s="563">
        <v>0</v>
      </c>
      <c r="AK127" s="563">
        <v>2430857.81</v>
      </c>
      <c r="AL127" s="563">
        <v>922600.13</v>
      </c>
      <c r="AM127" s="563"/>
      <c r="AN127" s="563"/>
      <c r="AO127" s="563">
        <v>3353457.94</v>
      </c>
      <c r="AR127" s="124">
        <f>+L127</f>
        <v>473583.48</v>
      </c>
      <c r="AS127" s="124">
        <f>+F127</f>
        <v>312118.64</v>
      </c>
      <c r="AV127" s="372">
        <f t="shared" si="6"/>
        <v>785702.12</v>
      </c>
      <c r="AW127" s="124">
        <f>+AV127+AO127-P127</f>
        <v>0</v>
      </c>
      <c r="AZ127" s="563">
        <v>0</v>
      </c>
      <c r="BA127" s="563">
        <v>60317.72</v>
      </c>
      <c r="BB127" s="563">
        <v>23768.76</v>
      </c>
      <c r="BC127" s="563"/>
      <c r="BD127" s="563"/>
      <c r="BE127" s="563">
        <v>84086.48</v>
      </c>
      <c r="BF127" s="372"/>
      <c r="BO127" s="563">
        <v>0</v>
      </c>
      <c r="BP127" s="563">
        <v>5235277.9399999995</v>
      </c>
      <c r="BQ127" s="563">
        <v>2148760.7200000002</v>
      </c>
      <c r="BR127" s="563"/>
      <c r="BS127" s="563"/>
      <c r="BT127" s="563">
        <v>7384038.6600000001</v>
      </c>
      <c r="BW127" s="126">
        <v>114</v>
      </c>
      <c r="BX127" s="125">
        <v>18401</v>
      </c>
      <c r="BY127" s="19" t="s">
        <v>52</v>
      </c>
      <c r="BZ127" t="s">
        <v>759</v>
      </c>
    </row>
    <row r="128" spans="1:78" x14ac:dyDescent="0.3">
      <c r="A128" s="436">
        <v>18400</v>
      </c>
      <c r="B128" s="19" t="s">
        <v>52</v>
      </c>
      <c r="C128" t="s">
        <v>348</v>
      </c>
      <c r="D128" s="563">
        <v>5209.53</v>
      </c>
      <c r="E128" s="120">
        <v>9.4480693494783728E-6</v>
      </c>
      <c r="F128" s="563">
        <v>564829.61</v>
      </c>
      <c r="G128" s="120">
        <v>1.024382108543155E-3</v>
      </c>
      <c r="H128" s="563">
        <v>1653200.24</v>
      </c>
      <c r="I128" s="120">
        <v>6.0508671921835396E-3</v>
      </c>
      <c r="J128" s="563">
        <v>0</v>
      </c>
      <c r="K128" s="120">
        <v>0</v>
      </c>
      <c r="L128" s="563">
        <v>661797.38</v>
      </c>
      <c r="M128" s="120">
        <v>4.5860352518336282E-3</v>
      </c>
      <c r="N128" s="563">
        <v>3391527.35</v>
      </c>
      <c r="O128" s="120">
        <v>4.5919066627078432E-3</v>
      </c>
      <c r="P128" s="124">
        <v>6276564.1099999994</v>
      </c>
      <c r="Q128" s="124"/>
      <c r="R128" s="563"/>
      <c r="S128" s="120"/>
      <c r="T128" s="373"/>
      <c r="U128" s="541">
        <v>649</v>
      </c>
      <c r="V128" s="540" t="s">
        <v>349</v>
      </c>
      <c r="W128" s="442" t="s">
        <v>52</v>
      </c>
      <c r="X128" s="552" t="s">
        <v>348</v>
      </c>
      <c r="Y128" s="563">
        <v>0</v>
      </c>
      <c r="Z128" s="563">
        <v>3428432</v>
      </c>
      <c r="AA128" s="563">
        <v>1545672.08</v>
      </c>
      <c r="AB128" s="563">
        <v>3474.63</v>
      </c>
      <c r="AC128" s="563"/>
      <c r="AD128" s="563">
        <v>4977578.71</v>
      </c>
      <c r="AE128" s="124"/>
      <c r="AF128" s="541">
        <v>649</v>
      </c>
      <c r="AG128" s="540" t="s">
        <v>349</v>
      </c>
      <c r="AH128" s="442" t="s">
        <v>52</v>
      </c>
      <c r="AI128" s="552" t="s">
        <v>348</v>
      </c>
      <c r="AJ128" s="563">
        <v>0</v>
      </c>
      <c r="AK128" s="563">
        <v>3391527.35</v>
      </c>
      <c r="AL128" s="563">
        <v>1653200.24</v>
      </c>
      <c r="AM128" s="563">
        <v>5209.53</v>
      </c>
      <c r="AN128" s="563"/>
      <c r="AO128" s="563">
        <v>5049937.12</v>
      </c>
      <c r="AR128" s="124">
        <f>+L128</f>
        <v>661797.38</v>
      </c>
      <c r="AS128" s="124">
        <f>+F128</f>
        <v>564829.61</v>
      </c>
      <c r="AV128" s="372">
        <f t="shared" si="6"/>
        <v>1226626.99</v>
      </c>
      <c r="AW128" s="124">
        <f>+AV128+AO128-P128</f>
        <v>0</v>
      </c>
      <c r="AZ128" s="563">
        <v>0</v>
      </c>
      <c r="BA128" s="563">
        <v>84131.97</v>
      </c>
      <c r="BB128" s="563">
        <v>42608.92</v>
      </c>
      <c r="BC128" s="563">
        <v>115.77</v>
      </c>
      <c r="BD128" s="563"/>
      <c r="BE128" s="563">
        <v>126856.66</v>
      </c>
      <c r="BF128" s="372"/>
      <c r="BO128" s="563">
        <v>0</v>
      </c>
      <c r="BP128" s="563">
        <v>7565888.6999999993</v>
      </c>
      <c r="BQ128" s="563">
        <v>3806310.85</v>
      </c>
      <c r="BR128" s="563">
        <v>8799.93</v>
      </c>
      <c r="BS128" s="563"/>
      <c r="BT128" s="563">
        <v>11380999.48</v>
      </c>
      <c r="BW128" s="126">
        <v>910</v>
      </c>
      <c r="BX128" s="125">
        <v>18402</v>
      </c>
      <c r="BY128" s="19" t="s">
        <v>52</v>
      </c>
      <c r="BZ128" t="s">
        <v>967</v>
      </c>
    </row>
    <row r="129" spans="1:78" x14ac:dyDescent="0.3">
      <c r="A129" s="436">
        <v>18401</v>
      </c>
      <c r="B129" s="19" t="s">
        <v>52</v>
      </c>
      <c r="C129" t="s">
        <v>76</v>
      </c>
      <c r="D129" s="563">
        <v>3131.55</v>
      </c>
      <c r="E129" s="120">
        <v>5.6794185984837406E-6</v>
      </c>
      <c r="F129" s="563">
        <v>878342.59</v>
      </c>
      <c r="G129" s="120">
        <v>1.5929732054370449E-3</v>
      </c>
      <c r="H129" s="563">
        <v>2602691.35</v>
      </c>
      <c r="I129" s="120">
        <v>9.5260932826230944E-3</v>
      </c>
      <c r="J129" s="563">
        <v>12491.76</v>
      </c>
      <c r="K129" s="120">
        <v>8.6563733022704389E-5</v>
      </c>
      <c r="L129" s="563">
        <v>1358418.12</v>
      </c>
      <c r="M129" s="120">
        <v>9.4133847810784089E-3</v>
      </c>
      <c r="N129" s="563">
        <v>6971919.4399999995</v>
      </c>
      <c r="O129" s="120">
        <v>9.439523855940107E-3</v>
      </c>
      <c r="P129" s="124">
        <v>11826994.809999999</v>
      </c>
      <c r="Q129" s="124"/>
      <c r="R129" s="563"/>
      <c r="S129" s="120"/>
      <c r="T129" s="373"/>
      <c r="U129" s="541">
        <v>114</v>
      </c>
      <c r="V129" s="540" t="s">
        <v>77</v>
      </c>
      <c r="W129" s="442" t="s">
        <v>52</v>
      </c>
      <c r="X129" s="552" t="s">
        <v>76</v>
      </c>
      <c r="Y129" s="563">
        <v>7782.45</v>
      </c>
      <c r="Z129" s="563">
        <v>7200450.3199999994</v>
      </c>
      <c r="AA129" s="563">
        <v>2520633.4500000002</v>
      </c>
      <c r="AB129" s="563">
        <v>2095.02</v>
      </c>
      <c r="AC129" s="563"/>
      <c r="AD129" s="563">
        <v>9730961.2400000002</v>
      </c>
      <c r="AE129" s="124"/>
      <c r="AF129" s="541">
        <v>114</v>
      </c>
      <c r="AG129" s="540" t="s">
        <v>77</v>
      </c>
      <c r="AH129" s="442" t="s">
        <v>52</v>
      </c>
      <c r="AI129" s="552" t="s">
        <v>76</v>
      </c>
      <c r="AJ129" s="563">
        <v>12491.76</v>
      </c>
      <c r="AK129" s="563">
        <v>6971919.4399999995</v>
      </c>
      <c r="AL129" s="563">
        <v>2602691.35</v>
      </c>
      <c r="AM129" s="563">
        <v>3131.55</v>
      </c>
      <c r="AN129" s="563"/>
      <c r="AO129" s="563">
        <v>9590234.0999999996</v>
      </c>
      <c r="AR129" s="124">
        <f>+L129</f>
        <v>1358418.12</v>
      </c>
      <c r="AS129" s="124">
        <f>+F129</f>
        <v>878342.59</v>
      </c>
      <c r="AV129" s="372">
        <f t="shared" si="6"/>
        <v>2236760.71</v>
      </c>
      <c r="AW129" s="124">
        <f>+AV129+AO129-P129</f>
        <v>0</v>
      </c>
      <c r="AZ129" s="563">
        <v>259.38</v>
      </c>
      <c r="BA129" s="563">
        <v>172999.98</v>
      </c>
      <c r="BB129" s="563">
        <v>67094.149999999994</v>
      </c>
      <c r="BC129" s="563">
        <v>69.77</v>
      </c>
      <c r="BD129" s="563"/>
      <c r="BE129" s="563">
        <v>240423.28000000003</v>
      </c>
      <c r="BF129" s="372"/>
      <c r="BO129" s="563">
        <v>20533.59</v>
      </c>
      <c r="BP129" s="563">
        <v>15703787.859999999</v>
      </c>
      <c r="BQ129" s="563">
        <v>6068761.54</v>
      </c>
      <c r="BR129" s="563">
        <v>5296.34</v>
      </c>
      <c r="BS129" s="563"/>
      <c r="BT129" s="563">
        <v>21798379.329999998</v>
      </c>
      <c r="BW129" s="126">
        <v>263</v>
      </c>
      <c r="BX129" s="125">
        <v>18801</v>
      </c>
      <c r="BY129" s="19">
        <v>114</v>
      </c>
      <c r="BZ129" t="s">
        <v>1121</v>
      </c>
    </row>
    <row r="130" spans="1:78" x14ac:dyDescent="0.3">
      <c r="A130" s="436">
        <v>18402</v>
      </c>
      <c r="B130" s="19" t="s">
        <v>52</v>
      </c>
      <c r="C130" t="s">
        <v>506</v>
      </c>
      <c r="D130" s="563">
        <v>7607.94</v>
      </c>
      <c r="E130" s="120">
        <v>1.3797855992127983E-5</v>
      </c>
      <c r="F130" s="563">
        <v>908969.72</v>
      </c>
      <c r="G130" s="120">
        <v>1.6485189549030217E-3</v>
      </c>
      <c r="H130" s="563">
        <v>2659215.29</v>
      </c>
      <c r="I130" s="120">
        <v>9.7329761791069159E-3</v>
      </c>
      <c r="J130" s="563">
        <v>0</v>
      </c>
      <c r="K130" s="120">
        <v>0</v>
      </c>
      <c r="L130" s="563">
        <v>1322556.53</v>
      </c>
      <c r="M130" s="120">
        <v>9.1648759158320624E-3</v>
      </c>
      <c r="N130" s="563">
        <v>6850312.3100000005</v>
      </c>
      <c r="O130" s="120">
        <v>9.2748757393681519E-3</v>
      </c>
      <c r="P130" s="124">
        <v>11748661.790000001</v>
      </c>
      <c r="Q130" s="124"/>
      <c r="R130" s="563"/>
      <c r="S130" s="120"/>
      <c r="T130" s="373"/>
      <c r="U130" s="541">
        <v>910</v>
      </c>
      <c r="V130" s="540" t="s">
        <v>507</v>
      </c>
      <c r="W130" s="442" t="s">
        <v>52</v>
      </c>
      <c r="X130" s="552" t="s">
        <v>506</v>
      </c>
      <c r="Y130" s="563">
        <v>0</v>
      </c>
      <c r="Z130" s="563">
        <v>6736724.7800000003</v>
      </c>
      <c r="AA130" s="563">
        <v>2532565</v>
      </c>
      <c r="AB130" s="563">
        <v>5073.95</v>
      </c>
      <c r="AC130" s="563"/>
      <c r="AD130" s="563">
        <v>9274363.7300000004</v>
      </c>
      <c r="AE130" s="124"/>
      <c r="AF130" s="541">
        <v>910</v>
      </c>
      <c r="AG130" s="540" t="s">
        <v>507</v>
      </c>
      <c r="AH130" s="442" t="s">
        <v>52</v>
      </c>
      <c r="AI130" s="552" t="s">
        <v>506</v>
      </c>
      <c r="AJ130" s="563">
        <v>0</v>
      </c>
      <c r="AK130" s="563">
        <v>6850312.3100000005</v>
      </c>
      <c r="AL130" s="563">
        <v>2659215.29</v>
      </c>
      <c r="AM130" s="563">
        <v>7607.94</v>
      </c>
      <c r="AN130" s="563"/>
      <c r="AO130" s="563">
        <v>9517135.540000001</v>
      </c>
      <c r="AR130" s="124">
        <f>+L130</f>
        <v>1322556.53</v>
      </c>
      <c r="AS130" s="124">
        <f>+F130</f>
        <v>908969.72</v>
      </c>
      <c r="AV130" s="372">
        <f t="shared" si="6"/>
        <v>2231526.25</v>
      </c>
      <c r="AW130" s="124">
        <f>+AV130+AO130-P130</f>
        <v>0</v>
      </c>
      <c r="AZ130" s="563">
        <v>0</v>
      </c>
      <c r="BA130" s="563">
        <v>169993.40000000002</v>
      </c>
      <c r="BB130" s="563">
        <v>68496.61</v>
      </c>
      <c r="BC130" s="563">
        <v>168.93</v>
      </c>
      <c r="BD130" s="563"/>
      <c r="BE130" s="563">
        <v>238658.94</v>
      </c>
      <c r="BF130" s="372"/>
      <c r="BO130" s="563">
        <v>0</v>
      </c>
      <c r="BP130" s="563">
        <v>15079587.02</v>
      </c>
      <c r="BQ130" s="563">
        <v>6169246.6200000001</v>
      </c>
      <c r="BR130" s="563">
        <v>12850.82</v>
      </c>
      <c r="BS130" s="563"/>
      <c r="BT130" s="563">
        <v>21261684.460000001</v>
      </c>
      <c r="BW130" s="373">
        <v>4260</v>
      </c>
      <c r="BX130" s="19">
        <v>18901</v>
      </c>
      <c r="BY130" s="19" t="s">
        <v>1039</v>
      </c>
      <c r="BZ130" s="348" t="s">
        <v>1168</v>
      </c>
    </row>
    <row r="131" spans="1:78" x14ac:dyDescent="0.3">
      <c r="A131" s="436">
        <v>18801</v>
      </c>
      <c r="B131" s="19">
        <v>114</v>
      </c>
      <c r="C131" t="s">
        <v>380</v>
      </c>
      <c r="D131" s="563"/>
      <c r="E131" s="120"/>
      <c r="F131" s="563">
        <v>261438.56</v>
      </c>
      <c r="G131" s="120">
        <v>4.7414827163060058E-4</v>
      </c>
      <c r="H131" s="563">
        <v>773324.45</v>
      </c>
      <c r="I131" s="120">
        <v>2.8304396710094721E-3</v>
      </c>
      <c r="J131" s="563"/>
      <c r="K131" s="120"/>
      <c r="L131" s="563">
        <v>94795.839999999997</v>
      </c>
      <c r="M131" s="120">
        <v>6.5690357366960305E-4</v>
      </c>
      <c r="N131" s="563">
        <v>485639.89</v>
      </c>
      <c r="O131" s="120">
        <v>6.5752471274268338E-4</v>
      </c>
      <c r="P131" s="124">
        <v>1615198.7400000002</v>
      </c>
      <c r="Q131" s="124"/>
      <c r="R131" s="563"/>
      <c r="S131" s="120"/>
      <c r="T131" s="373"/>
      <c r="U131" s="541">
        <v>263</v>
      </c>
      <c r="V131" s="540" t="s">
        <v>381</v>
      </c>
      <c r="W131" s="442">
        <v>114</v>
      </c>
      <c r="X131" s="552" t="s">
        <v>380</v>
      </c>
      <c r="Y131" s="563"/>
      <c r="Z131" s="563">
        <v>477814.23</v>
      </c>
      <c r="AA131" s="563">
        <v>694873.84000000008</v>
      </c>
      <c r="AB131" s="563"/>
      <c r="AC131" s="563"/>
      <c r="AD131" s="563">
        <v>1172688.07</v>
      </c>
      <c r="AE131" s="124"/>
      <c r="AF131" s="541">
        <v>263</v>
      </c>
      <c r="AG131" s="540" t="s">
        <v>381</v>
      </c>
      <c r="AH131" s="442">
        <v>114</v>
      </c>
      <c r="AI131" s="552" t="s">
        <v>380</v>
      </c>
      <c r="AJ131" s="563"/>
      <c r="AK131" s="563">
        <v>485639.89</v>
      </c>
      <c r="AL131" s="563">
        <v>773324.45</v>
      </c>
      <c r="AM131" s="563"/>
      <c r="AN131" s="563"/>
      <c r="AO131" s="563">
        <v>1258964.3399999999</v>
      </c>
      <c r="AR131" s="124">
        <f>+L131</f>
        <v>94795.839999999997</v>
      </c>
      <c r="AS131" s="124">
        <f>+F131</f>
        <v>261438.56</v>
      </c>
      <c r="AV131" s="372">
        <f t="shared" si="6"/>
        <v>356234.4</v>
      </c>
      <c r="AW131" s="124">
        <f>+AV131+AO131-P131</f>
        <v>0</v>
      </c>
      <c r="AZ131" s="563"/>
      <c r="BA131" s="563">
        <v>12050.46</v>
      </c>
      <c r="BB131" s="563">
        <v>19930.919999999998</v>
      </c>
      <c r="BC131" s="563"/>
      <c r="BD131" s="563"/>
      <c r="BE131" s="563">
        <v>31981.379999999997</v>
      </c>
      <c r="BF131" s="372"/>
      <c r="BO131" s="563"/>
      <c r="BP131" s="563">
        <v>1070300.42</v>
      </c>
      <c r="BQ131" s="563">
        <v>1749567.77</v>
      </c>
      <c r="BR131" s="563"/>
      <c r="BS131" s="563"/>
      <c r="BT131" s="563">
        <v>2819868.19</v>
      </c>
      <c r="BW131" s="126">
        <v>218</v>
      </c>
      <c r="BX131" s="125">
        <v>19007</v>
      </c>
      <c r="BY131" s="19" t="s">
        <v>45</v>
      </c>
      <c r="BZ131" t="s">
        <v>784</v>
      </c>
    </row>
    <row r="132" spans="1:78" x14ac:dyDescent="0.3">
      <c r="A132" s="436">
        <v>18901</v>
      </c>
      <c r="B132" s="19" t="s">
        <v>1039</v>
      </c>
      <c r="C132" t="s">
        <v>1175</v>
      </c>
      <c r="D132" s="563"/>
      <c r="E132" s="120"/>
      <c r="F132" s="563">
        <v>46717.850000000006</v>
      </c>
      <c r="G132" s="120">
        <v>8.4728082314244904E-5</v>
      </c>
      <c r="H132" s="563">
        <v>137570.01</v>
      </c>
      <c r="I132" s="120">
        <v>5.0351907772367701E-4</v>
      </c>
      <c r="J132" s="563"/>
      <c r="K132" s="120"/>
      <c r="L132" s="563">
        <v>46454.259999999995</v>
      </c>
      <c r="M132" s="120">
        <v>3.2191253757735458E-4</v>
      </c>
      <c r="N132" s="563">
        <v>239142.39999999999</v>
      </c>
      <c r="O132" s="120">
        <v>3.2378320047926021E-4</v>
      </c>
      <c r="P132" s="124">
        <v>469884.52</v>
      </c>
      <c r="Q132" s="124"/>
      <c r="R132" s="563"/>
      <c r="S132" s="120"/>
      <c r="T132" s="373"/>
      <c r="U132" s="541">
        <v>4260</v>
      </c>
      <c r="V132" s="540" t="s">
        <v>1167</v>
      </c>
      <c r="W132" s="442" t="s">
        <v>1039</v>
      </c>
      <c r="X132" s="552" t="s">
        <v>1175</v>
      </c>
      <c r="Y132" s="563"/>
      <c r="Z132" s="563">
        <v>266046.18</v>
      </c>
      <c r="AA132" s="563">
        <v>136618.59</v>
      </c>
      <c r="AB132" s="563"/>
      <c r="AC132" s="563"/>
      <c r="AD132" s="563">
        <v>402664.77</v>
      </c>
      <c r="AE132" s="124"/>
      <c r="AF132" s="541">
        <v>4260</v>
      </c>
      <c r="AG132" s="540" t="s">
        <v>1167</v>
      </c>
      <c r="AH132" s="442" t="s">
        <v>1039</v>
      </c>
      <c r="AI132" s="552" t="s">
        <v>1175</v>
      </c>
      <c r="AJ132" s="563"/>
      <c r="AK132" s="563">
        <v>239142.39999999999</v>
      </c>
      <c r="AL132" s="563">
        <v>137570.01</v>
      </c>
      <c r="AM132" s="563"/>
      <c r="AN132" s="563"/>
      <c r="AO132" s="563">
        <v>376712.41000000003</v>
      </c>
      <c r="AR132" s="124">
        <f>+L132</f>
        <v>46454.259999999995</v>
      </c>
      <c r="AS132" s="124">
        <f>+F132</f>
        <v>46717.850000000006</v>
      </c>
      <c r="AV132" s="372">
        <f t="shared" si="6"/>
        <v>93172.11</v>
      </c>
      <c r="AW132" s="124">
        <f>+AV132+AO132-P132</f>
        <v>0</v>
      </c>
      <c r="AZ132" s="563"/>
      <c r="BA132" s="563">
        <v>5933.93</v>
      </c>
      <c r="BB132" s="563">
        <v>3545.46</v>
      </c>
      <c r="BC132" s="563"/>
      <c r="BD132" s="563"/>
      <c r="BE132" s="563">
        <v>9479.39</v>
      </c>
      <c r="BF132" s="372"/>
      <c r="BO132" s="563"/>
      <c r="BP132" s="563">
        <v>557576.77</v>
      </c>
      <c r="BQ132" s="563">
        <v>324451.91000000003</v>
      </c>
      <c r="BR132" s="563"/>
      <c r="BS132" s="563"/>
      <c r="BT132" s="563">
        <v>882028.68</v>
      </c>
      <c r="BW132" s="126">
        <v>250</v>
      </c>
      <c r="BX132" s="125">
        <v>19028</v>
      </c>
      <c r="BY132" s="19" t="s">
        <v>45</v>
      </c>
      <c r="BZ132" t="s">
        <v>793</v>
      </c>
    </row>
    <row r="133" spans="1:78" x14ac:dyDescent="0.3">
      <c r="A133" s="436">
        <v>19007</v>
      </c>
      <c r="B133" s="19" t="s">
        <v>45</v>
      </c>
      <c r="C133" t="s">
        <v>126</v>
      </c>
      <c r="D133" s="563"/>
      <c r="E133" s="120"/>
      <c r="F133" s="563">
        <v>2290.1</v>
      </c>
      <c r="G133" s="120">
        <v>4.1533542598354211E-6</v>
      </c>
      <c r="H133" s="563">
        <v>6765.6</v>
      </c>
      <c r="I133" s="120">
        <v>2.4762727517773019E-5</v>
      </c>
      <c r="J133" s="563"/>
      <c r="K133" s="120"/>
      <c r="L133" s="563">
        <v>4666.76</v>
      </c>
      <c r="M133" s="120">
        <v>3.2339091266645849E-5</v>
      </c>
      <c r="N133" s="563">
        <v>24051.08</v>
      </c>
      <c r="O133" s="120">
        <v>3.2563592476209681E-5</v>
      </c>
      <c r="P133" s="124">
        <v>37773.54</v>
      </c>
      <c r="Q133" s="124"/>
      <c r="R133" s="563"/>
      <c r="S133" s="120"/>
      <c r="T133" s="373"/>
      <c r="U133" s="541">
        <v>218</v>
      </c>
      <c r="V133" s="540" t="s">
        <v>127</v>
      </c>
      <c r="W133" s="442" t="s">
        <v>45</v>
      </c>
      <c r="X133" s="552" t="s">
        <v>126</v>
      </c>
      <c r="Y133" s="563"/>
      <c r="Z133" s="563">
        <v>20419.66</v>
      </c>
      <c r="AA133" s="563">
        <v>10090.85</v>
      </c>
      <c r="AB133" s="563"/>
      <c r="AC133" s="563"/>
      <c r="AD133" s="563">
        <v>30510.510000000002</v>
      </c>
      <c r="AE133" s="124"/>
      <c r="AF133" s="541">
        <v>218</v>
      </c>
      <c r="AG133" s="540" t="s">
        <v>127</v>
      </c>
      <c r="AH133" s="442" t="s">
        <v>45</v>
      </c>
      <c r="AI133" s="552" t="s">
        <v>126</v>
      </c>
      <c r="AJ133" s="563"/>
      <c r="AK133" s="563">
        <v>24051.08</v>
      </c>
      <c r="AL133" s="563">
        <v>6765.6</v>
      </c>
      <c r="AM133" s="563"/>
      <c r="AN133" s="563"/>
      <c r="AO133" s="563">
        <v>30816.68</v>
      </c>
      <c r="AR133" s="124">
        <f>+L133</f>
        <v>4666.76</v>
      </c>
      <c r="AS133" s="124">
        <f>+F133</f>
        <v>2290.1</v>
      </c>
      <c r="AV133" s="372">
        <f t="shared" si="6"/>
        <v>6956.8600000000006</v>
      </c>
      <c r="AW133" s="124">
        <f>+AV133+AO133-P133</f>
        <v>0</v>
      </c>
      <c r="AZ133" s="563"/>
      <c r="BA133" s="563">
        <v>596.66</v>
      </c>
      <c r="BB133" s="563">
        <v>174.3</v>
      </c>
      <c r="BC133" s="563"/>
      <c r="BD133" s="563"/>
      <c r="BE133" s="563">
        <v>770.96</v>
      </c>
      <c r="BF133" s="372"/>
      <c r="BO133" s="563"/>
      <c r="BP133" s="563">
        <v>49734.16</v>
      </c>
      <c r="BQ133" s="563">
        <v>19320.849999999999</v>
      </c>
      <c r="BR133" s="563"/>
      <c r="BS133" s="563"/>
      <c r="BT133" s="563">
        <v>69055.010000000009</v>
      </c>
      <c r="BW133" s="126">
        <v>975</v>
      </c>
      <c r="BX133" s="125">
        <v>19400</v>
      </c>
      <c r="BY133" s="19" t="s">
        <v>45</v>
      </c>
      <c r="BZ133" t="s">
        <v>984</v>
      </c>
    </row>
    <row r="134" spans="1:78" x14ac:dyDescent="0.3">
      <c r="A134" s="436">
        <v>19028</v>
      </c>
      <c r="B134" s="19" t="s">
        <v>45</v>
      </c>
      <c r="C134" t="s">
        <v>146</v>
      </c>
      <c r="D134" s="563"/>
      <c r="E134" s="120"/>
      <c r="F134" s="563">
        <v>12974.32</v>
      </c>
      <c r="G134" s="120">
        <v>2.3530390480969346E-5</v>
      </c>
      <c r="H134" s="563">
        <v>38472.69</v>
      </c>
      <c r="I134" s="120">
        <v>1.4081363653567323E-4</v>
      </c>
      <c r="J134" s="563"/>
      <c r="K134" s="120"/>
      <c r="L134" s="563">
        <v>15927.539999999999</v>
      </c>
      <c r="M134" s="120">
        <v>1.1037254320195432E-4</v>
      </c>
      <c r="N134" s="563">
        <v>81716.53</v>
      </c>
      <c r="O134" s="120">
        <v>1.1063884788084204E-4</v>
      </c>
      <c r="P134" s="124">
        <v>149091.08000000002</v>
      </c>
      <c r="Q134" s="124"/>
      <c r="R134" s="563"/>
      <c r="S134" s="120"/>
      <c r="T134" s="373"/>
      <c r="U134" s="541">
        <v>250</v>
      </c>
      <c r="V134" s="540" t="s">
        <v>147</v>
      </c>
      <c r="W134" s="442" t="s">
        <v>45</v>
      </c>
      <c r="X134" s="552" t="s">
        <v>146</v>
      </c>
      <c r="Y134" s="563"/>
      <c r="Z134" s="563">
        <v>72356.25</v>
      </c>
      <c r="AA134" s="563">
        <v>34251.18</v>
      </c>
      <c r="AB134" s="563"/>
      <c r="AC134" s="563"/>
      <c r="AD134" s="563">
        <v>106607.43</v>
      </c>
      <c r="AE134" s="124"/>
      <c r="AF134" s="541">
        <v>250</v>
      </c>
      <c r="AG134" s="540" t="s">
        <v>147</v>
      </c>
      <c r="AH134" s="442" t="s">
        <v>45</v>
      </c>
      <c r="AI134" s="552" t="s">
        <v>146</v>
      </c>
      <c r="AJ134" s="563"/>
      <c r="AK134" s="563">
        <v>81716.53</v>
      </c>
      <c r="AL134" s="563">
        <v>38472.69</v>
      </c>
      <c r="AM134" s="563"/>
      <c r="AN134" s="563"/>
      <c r="AO134" s="563">
        <v>120189.22</v>
      </c>
      <c r="AR134" s="124">
        <f>+L134</f>
        <v>15927.539999999999</v>
      </c>
      <c r="AS134" s="124">
        <f>+F134</f>
        <v>12974.32</v>
      </c>
      <c r="AV134" s="372">
        <f t="shared" si="6"/>
        <v>28901.86</v>
      </c>
      <c r="AW134" s="124">
        <f>+AV134+AO134-P134</f>
        <v>0</v>
      </c>
      <c r="AZ134" s="563"/>
      <c r="BA134" s="563">
        <v>2027.58</v>
      </c>
      <c r="BB134" s="563">
        <v>991.42000000000007</v>
      </c>
      <c r="BC134" s="563"/>
      <c r="BD134" s="563"/>
      <c r="BE134" s="563">
        <v>3019</v>
      </c>
      <c r="BF134" s="372"/>
      <c r="BO134" s="563"/>
      <c r="BP134" s="563">
        <v>172027.9</v>
      </c>
      <c r="BQ134" s="563">
        <v>86689.61</v>
      </c>
      <c r="BR134" s="563"/>
      <c r="BS134" s="563"/>
      <c r="BT134" s="563">
        <v>258717.51</v>
      </c>
      <c r="BW134" s="126">
        <v>270</v>
      </c>
      <c r="BX134" s="125">
        <v>19401</v>
      </c>
      <c r="BY134" s="19" t="s">
        <v>45</v>
      </c>
      <c r="BZ134" t="s">
        <v>801</v>
      </c>
    </row>
    <row r="135" spans="1:78" x14ac:dyDescent="0.3">
      <c r="A135" s="436">
        <v>19400</v>
      </c>
      <c r="B135" s="19" t="s">
        <v>45</v>
      </c>
      <c r="C135" t="s">
        <v>548</v>
      </c>
      <c r="D135" s="563"/>
      <c r="E135" s="120"/>
      <c r="F135" s="563">
        <v>33254.6</v>
      </c>
      <c r="G135" s="120">
        <v>6.0310962215240818E-5</v>
      </c>
      <c r="H135" s="563">
        <v>97308.13</v>
      </c>
      <c r="I135" s="120">
        <v>3.5615683878060102E-4</v>
      </c>
      <c r="J135" s="563"/>
      <c r="K135" s="120"/>
      <c r="L135" s="563">
        <v>37734.490000000005</v>
      </c>
      <c r="M135" s="120">
        <v>2.6148743796774104E-4</v>
      </c>
      <c r="N135" s="563">
        <v>193104.79</v>
      </c>
      <c r="O135" s="120">
        <v>2.6145128147110445E-4</v>
      </c>
      <c r="P135" s="124">
        <v>361402.01</v>
      </c>
      <c r="Q135" s="124"/>
      <c r="R135" s="563"/>
      <c r="S135" s="120"/>
      <c r="T135" s="373"/>
      <c r="U135" s="541">
        <v>975</v>
      </c>
      <c r="V135" s="540" t="s">
        <v>549</v>
      </c>
      <c r="W135" s="442" t="s">
        <v>45</v>
      </c>
      <c r="X135" s="552" t="s">
        <v>548</v>
      </c>
      <c r="Y135" s="563"/>
      <c r="Z135" s="563">
        <v>188160.28</v>
      </c>
      <c r="AA135" s="563">
        <v>95889.49</v>
      </c>
      <c r="AB135" s="563"/>
      <c r="AC135" s="563"/>
      <c r="AD135" s="563">
        <v>284049.77</v>
      </c>
      <c r="AE135" s="124"/>
      <c r="AF135" s="541">
        <v>975</v>
      </c>
      <c r="AG135" s="540" t="s">
        <v>549</v>
      </c>
      <c r="AH135" s="442" t="s">
        <v>45</v>
      </c>
      <c r="AI135" s="552" t="s">
        <v>548</v>
      </c>
      <c r="AJ135" s="563"/>
      <c r="AK135" s="563">
        <v>193104.79</v>
      </c>
      <c r="AL135" s="563">
        <v>97308.13</v>
      </c>
      <c r="AM135" s="563"/>
      <c r="AN135" s="563"/>
      <c r="AO135" s="563">
        <v>290412.92000000004</v>
      </c>
      <c r="AR135" s="124">
        <f>+L135</f>
        <v>37734.490000000005</v>
      </c>
      <c r="AS135" s="124">
        <f>+F135</f>
        <v>33254.6</v>
      </c>
      <c r="AV135" s="372">
        <f t="shared" si="6"/>
        <v>70989.09</v>
      </c>
      <c r="AW135" s="124">
        <f>+AV135+AO135-P135</f>
        <v>0</v>
      </c>
      <c r="AZ135" s="563"/>
      <c r="BA135" s="563">
        <v>4791.51</v>
      </c>
      <c r="BB135" s="563">
        <v>2501.4699999999998</v>
      </c>
      <c r="BC135" s="563"/>
      <c r="BD135" s="563"/>
      <c r="BE135" s="563">
        <v>7292.98</v>
      </c>
      <c r="BF135" s="372"/>
      <c r="BO135" s="563"/>
      <c r="BP135" s="563">
        <v>423791.06999999995</v>
      </c>
      <c r="BQ135" s="563">
        <v>228953.69</v>
      </c>
      <c r="BR135" s="563"/>
      <c r="BS135" s="563"/>
      <c r="BT135" s="563">
        <v>652744.76</v>
      </c>
      <c r="BW135" s="126">
        <v>501</v>
      </c>
      <c r="BX135" s="125">
        <v>19403</v>
      </c>
      <c r="BY135" s="19" t="s">
        <v>45</v>
      </c>
      <c r="BZ135" t="s">
        <v>844</v>
      </c>
    </row>
    <row r="136" spans="1:78" x14ac:dyDescent="0.3">
      <c r="A136" s="436">
        <v>19401</v>
      </c>
      <c r="B136" s="19" t="s">
        <v>45</v>
      </c>
      <c r="C136" t="s">
        <v>160</v>
      </c>
      <c r="D136" s="563">
        <v>3311.25</v>
      </c>
      <c r="E136" s="120">
        <v>6.0053247862014929E-6</v>
      </c>
      <c r="F136" s="563">
        <v>195674.33000000002</v>
      </c>
      <c r="G136" s="120">
        <v>3.5487743419324134E-4</v>
      </c>
      <c r="H136" s="563">
        <v>581328.96</v>
      </c>
      <c r="I136" s="120">
        <v>2.1277182562773988E-3</v>
      </c>
      <c r="J136" s="563">
        <v>0</v>
      </c>
      <c r="K136" s="120">
        <v>0</v>
      </c>
      <c r="L136" s="563">
        <v>376781.85000000003</v>
      </c>
      <c r="M136" s="120">
        <v>2.6109726308543115E-3</v>
      </c>
      <c r="N136" s="563">
        <v>1935723.38</v>
      </c>
      <c r="O136" s="120">
        <v>2.6208431094566715E-3</v>
      </c>
      <c r="P136" s="124">
        <v>3092819.77</v>
      </c>
      <c r="Q136" s="124"/>
      <c r="R136" s="563"/>
      <c r="S136" s="120"/>
      <c r="T136" s="373"/>
      <c r="U136" s="541">
        <v>270</v>
      </c>
      <c r="V136" s="540" t="s">
        <v>161</v>
      </c>
      <c r="W136" s="442" t="s">
        <v>45</v>
      </c>
      <c r="X136" s="552" t="s">
        <v>160</v>
      </c>
      <c r="Y136" s="563">
        <v>0</v>
      </c>
      <c r="Z136" s="563">
        <v>1842315.73</v>
      </c>
      <c r="AA136" s="563">
        <v>543039.06000000006</v>
      </c>
      <c r="AB136" s="563">
        <v>2217.0500000000002</v>
      </c>
      <c r="AC136" s="563"/>
      <c r="AD136" s="563">
        <v>2387571.84</v>
      </c>
      <c r="AE136" s="124"/>
      <c r="AF136" s="541">
        <v>270</v>
      </c>
      <c r="AG136" s="540" t="s">
        <v>161</v>
      </c>
      <c r="AH136" s="442" t="s">
        <v>45</v>
      </c>
      <c r="AI136" s="552" t="s">
        <v>160</v>
      </c>
      <c r="AJ136" s="563">
        <v>0</v>
      </c>
      <c r="AK136" s="563">
        <v>1935723.38</v>
      </c>
      <c r="AL136" s="563">
        <v>581328.96</v>
      </c>
      <c r="AM136" s="563">
        <v>3311.25</v>
      </c>
      <c r="AN136" s="563"/>
      <c r="AO136" s="563">
        <v>2520363.59</v>
      </c>
      <c r="AR136" s="124">
        <f>+L136</f>
        <v>376781.85000000003</v>
      </c>
      <c r="AS136" s="124">
        <f>+F136</f>
        <v>195674.33000000002</v>
      </c>
      <c r="AV136" s="372">
        <f t="shared" ref="AV136:AV199" si="7">SUM(AQ136:AU136)</f>
        <v>572456.18000000005</v>
      </c>
      <c r="AW136" s="124">
        <f>+AV136+AO136-P136</f>
        <v>0</v>
      </c>
      <c r="AZ136" s="563">
        <v>0</v>
      </c>
      <c r="BA136" s="563">
        <v>48037.450000000004</v>
      </c>
      <c r="BB136" s="563">
        <v>14985.279999999999</v>
      </c>
      <c r="BC136" s="563">
        <v>73.849999999999994</v>
      </c>
      <c r="BD136" s="563"/>
      <c r="BE136" s="563">
        <v>63096.58</v>
      </c>
      <c r="BF136" s="372"/>
      <c r="BO136" s="563">
        <v>0</v>
      </c>
      <c r="BP136" s="563">
        <v>4202858.41</v>
      </c>
      <c r="BQ136" s="563">
        <v>1335027.6299999999</v>
      </c>
      <c r="BR136" s="563">
        <v>5602.15</v>
      </c>
      <c r="BS136" s="563"/>
      <c r="BT136" s="563">
        <v>5543488.1899999995</v>
      </c>
      <c r="BW136" s="126">
        <v>158</v>
      </c>
      <c r="BX136" s="125">
        <v>19404</v>
      </c>
      <c r="BY136" s="19" t="s">
        <v>45</v>
      </c>
      <c r="BZ136" t="s">
        <v>767</v>
      </c>
    </row>
    <row r="137" spans="1:78" x14ac:dyDescent="0.3">
      <c r="A137" s="436">
        <v>19403</v>
      </c>
      <c r="B137" s="19" t="s">
        <v>45</v>
      </c>
      <c r="C137" t="s">
        <v>248</v>
      </c>
      <c r="D137" s="563"/>
      <c r="E137" s="120"/>
      <c r="F137" s="563">
        <v>39236.479999999996</v>
      </c>
      <c r="G137" s="120">
        <v>7.1159775271362516E-5</v>
      </c>
      <c r="H137" s="563">
        <v>115829.26000000001</v>
      </c>
      <c r="I137" s="120">
        <v>4.239459033885074E-4</v>
      </c>
      <c r="J137" s="563">
        <v>0</v>
      </c>
      <c r="K137" s="120">
        <v>0</v>
      </c>
      <c r="L137" s="563">
        <v>53932.759999999995</v>
      </c>
      <c r="M137" s="120">
        <v>3.7373604982945475E-4</v>
      </c>
      <c r="N137" s="563">
        <v>269788.71000000002</v>
      </c>
      <c r="O137" s="120">
        <v>3.6527630389663647E-4</v>
      </c>
      <c r="P137" s="124">
        <v>478787.21</v>
      </c>
      <c r="Q137" s="124"/>
      <c r="R137" s="563"/>
      <c r="S137" s="120"/>
      <c r="T137" s="373"/>
      <c r="U137" s="541">
        <v>501</v>
      </c>
      <c r="V137" s="540" t="s">
        <v>249</v>
      </c>
      <c r="W137" s="442" t="s">
        <v>45</v>
      </c>
      <c r="X137" s="552" t="s">
        <v>248</v>
      </c>
      <c r="Y137" s="563">
        <v>0</v>
      </c>
      <c r="Z137" s="563">
        <v>265011.61</v>
      </c>
      <c r="AA137" s="563">
        <v>108791.87</v>
      </c>
      <c r="AB137" s="563"/>
      <c r="AC137" s="563"/>
      <c r="AD137" s="563">
        <v>373803.48</v>
      </c>
      <c r="AE137" s="124"/>
      <c r="AF137" s="541">
        <v>501</v>
      </c>
      <c r="AG137" s="540" t="s">
        <v>249</v>
      </c>
      <c r="AH137" s="442" t="s">
        <v>45</v>
      </c>
      <c r="AI137" s="552" t="s">
        <v>248</v>
      </c>
      <c r="AJ137" s="563">
        <v>0</v>
      </c>
      <c r="AK137" s="563">
        <v>269788.71000000002</v>
      </c>
      <c r="AL137" s="563">
        <v>115829.26000000001</v>
      </c>
      <c r="AM137" s="563"/>
      <c r="AN137" s="563"/>
      <c r="AO137" s="563">
        <v>385617.97000000003</v>
      </c>
      <c r="AR137" s="124">
        <f>+L137</f>
        <v>53932.759999999995</v>
      </c>
      <c r="AS137" s="124">
        <f>+F137</f>
        <v>39236.479999999996</v>
      </c>
      <c r="AV137" s="372">
        <f t="shared" si="7"/>
        <v>93169.239999999991</v>
      </c>
      <c r="AW137" s="124">
        <f>+AV137+AO137-P137</f>
        <v>0</v>
      </c>
      <c r="AZ137" s="563">
        <v>0</v>
      </c>
      <c r="BA137" s="563">
        <v>6689.07</v>
      </c>
      <c r="BB137" s="563">
        <v>2985.54</v>
      </c>
      <c r="BC137" s="563"/>
      <c r="BD137" s="563"/>
      <c r="BE137" s="563">
        <v>9674.61</v>
      </c>
      <c r="BF137" s="372"/>
      <c r="BO137" s="563">
        <v>0</v>
      </c>
      <c r="BP137" s="563">
        <v>595422.14999999991</v>
      </c>
      <c r="BQ137" s="563">
        <v>266843.15000000002</v>
      </c>
      <c r="BR137" s="563"/>
      <c r="BS137" s="563"/>
      <c r="BT137" s="563">
        <v>862265.29999999993</v>
      </c>
      <c r="BW137" s="126">
        <v>1110</v>
      </c>
      <c r="BX137" s="125">
        <v>20094</v>
      </c>
      <c r="BY137" s="19" t="s">
        <v>34</v>
      </c>
      <c r="BZ137" t="s">
        <v>1018</v>
      </c>
    </row>
    <row r="138" spans="1:78" x14ac:dyDescent="0.3">
      <c r="A138" s="436">
        <v>19404</v>
      </c>
      <c r="B138" s="19" t="s">
        <v>45</v>
      </c>
      <c r="C138" t="s">
        <v>92</v>
      </c>
      <c r="D138" s="563"/>
      <c r="E138" s="120"/>
      <c r="F138" s="563">
        <v>82782.13</v>
      </c>
      <c r="G138" s="120">
        <v>1.5013471563414245E-4</v>
      </c>
      <c r="H138" s="563">
        <v>245782.5</v>
      </c>
      <c r="I138" s="120">
        <v>8.9958689194410643E-4</v>
      </c>
      <c r="J138" s="563">
        <v>0</v>
      </c>
      <c r="K138" s="120">
        <v>0</v>
      </c>
      <c r="L138" s="563">
        <v>110759.57</v>
      </c>
      <c r="M138" s="120">
        <v>7.6752690150863753E-4</v>
      </c>
      <c r="N138" s="563">
        <v>567115.61</v>
      </c>
      <c r="O138" s="120">
        <v>7.6783751960149242E-4</v>
      </c>
      <c r="P138" s="124">
        <v>1006439.81</v>
      </c>
      <c r="Q138" s="124"/>
      <c r="R138" s="563"/>
      <c r="S138" s="120"/>
      <c r="T138" s="373"/>
      <c r="U138" s="541">
        <v>158</v>
      </c>
      <c r="V138" s="540" t="s">
        <v>93</v>
      </c>
      <c r="W138" s="442" t="s">
        <v>45</v>
      </c>
      <c r="X138" s="552" t="s">
        <v>92</v>
      </c>
      <c r="Y138" s="563">
        <v>0</v>
      </c>
      <c r="Z138" s="563">
        <v>529959.99</v>
      </c>
      <c r="AA138" s="563">
        <v>232744.97999999998</v>
      </c>
      <c r="AB138" s="563"/>
      <c r="AC138" s="563"/>
      <c r="AD138" s="563">
        <v>762704.97</v>
      </c>
      <c r="AE138" s="124"/>
      <c r="AF138" s="541">
        <v>158</v>
      </c>
      <c r="AG138" s="540" t="s">
        <v>93</v>
      </c>
      <c r="AH138" s="442" t="s">
        <v>45</v>
      </c>
      <c r="AI138" s="552" t="s">
        <v>92</v>
      </c>
      <c r="AJ138" s="563">
        <v>0</v>
      </c>
      <c r="AK138" s="563">
        <v>567115.61</v>
      </c>
      <c r="AL138" s="563">
        <v>245782.5</v>
      </c>
      <c r="AM138" s="563"/>
      <c r="AN138" s="563"/>
      <c r="AO138" s="563">
        <v>812898.11</v>
      </c>
      <c r="AR138" s="124">
        <f>+L138</f>
        <v>110759.57</v>
      </c>
      <c r="AS138" s="124">
        <f>+F138</f>
        <v>82782.13</v>
      </c>
      <c r="AV138" s="372">
        <f t="shared" si="7"/>
        <v>193541.7</v>
      </c>
      <c r="AW138" s="124">
        <f>+AV138+AO138-P138</f>
        <v>0</v>
      </c>
      <c r="AZ138" s="563">
        <v>0</v>
      </c>
      <c r="BA138" s="563">
        <v>14072.36</v>
      </c>
      <c r="BB138" s="563">
        <v>6342.59</v>
      </c>
      <c r="BC138" s="563"/>
      <c r="BD138" s="563"/>
      <c r="BE138" s="563">
        <v>20414.95</v>
      </c>
      <c r="BF138" s="372"/>
      <c r="BO138" s="563">
        <v>0</v>
      </c>
      <c r="BP138" s="563">
        <v>1221907.53</v>
      </c>
      <c r="BQ138" s="563">
        <v>567652.19999999995</v>
      </c>
      <c r="BR138" s="563"/>
      <c r="BS138" s="563"/>
      <c r="BT138" s="563">
        <v>1789559.73</v>
      </c>
      <c r="BW138" s="126">
        <v>67</v>
      </c>
      <c r="BX138" s="125">
        <v>20203</v>
      </c>
      <c r="BY138" s="19" t="s">
        <v>45</v>
      </c>
      <c r="BZ138" t="s">
        <v>744</v>
      </c>
    </row>
    <row r="139" spans="1:78" x14ac:dyDescent="0.3">
      <c r="A139" s="436">
        <v>20094</v>
      </c>
      <c r="B139" s="19" t="s">
        <v>34</v>
      </c>
      <c r="C139" t="s">
        <v>618</v>
      </c>
      <c r="D139" s="563"/>
      <c r="E139" s="120"/>
      <c r="F139" s="563">
        <v>15866.38</v>
      </c>
      <c r="G139" s="120">
        <v>2.8775466993217559E-5</v>
      </c>
      <c r="H139" s="563">
        <v>47057.94</v>
      </c>
      <c r="I139" s="120">
        <v>1.7223645290406048E-4</v>
      </c>
      <c r="J139" s="563"/>
      <c r="K139" s="120"/>
      <c r="L139" s="563">
        <v>15782.619999999999</v>
      </c>
      <c r="M139" s="120">
        <v>1.0936829590696544E-4</v>
      </c>
      <c r="N139" s="563">
        <v>81351.929999999993</v>
      </c>
      <c r="O139" s="120">
        <v>1.1014520327873577E-4</v>
      </c>
      <c r="P139" s="124">
        <v>160058.87</v>
      </c>
      <c r="Q139" s="124"/>
      <c r="R139" s="563"/>
      <c r="S139" s="120"/>
      <c r="T139" s="373"/>
      <c r="U139" s="541">
        <v>1110</v>
      </c>
      <c r="V139" s="540" t="s">
        <v>619</v>
      </c>
      <c r="W139" s="442" t="s">
        <v>34</v>
      </c>
      <c r="X139" s="552" t="s">
        <v>618</v>
      </c>
      <c r="Y139" s="563"/>
      <c r="Z139" s="563">
        <v>72635.83</v>
      </c>
      <c r="AA139" s="563">
        <v>40078.520000000004</v>
      </c>
      <c r="AB139" s="563"/>
      <c r="AC139" s="563"/>
      <c r="AD139" s="563">
        <v>112714.35</v>
      </c>
      <c r="AE139" s="124"/>
      <c r="AF139" s="541">
        <v>1110</v>
      </c>
      <c r="AG139" s="540" t="s">
        <v>619</v>
      </c>
      <c r="AH139" s="442" t="s">
        <v>34</v>
      </c>
      <c r="AI139" s="552" t="s">
        <v>618</v>
      </c>
      <c r="AJ139" s="563"/>
      <c r="AK139" s="563">
        <v>81351.929999999993</v>
      </c>
      <c r="AL139" s="563">
        <v>47057.94</v>
      </c>
      <c r="AM139" s="563"/>
      <c r="AN139" s="563"/>
      <c r="AO139" s="563">
        <v>128409.87</v>
      </c>
      <c r="AR139" s="124">
        <f>+L139</f>
        <v>15782.619999999999</v>
      </c>
      <c r="AS139" s="124">
        <f>+F139</f>
        <v>15866.38</v>
      </c>
      <c r="AV139" s="372">
        <f t="shared" si="7"/>
        <v>31649</v>
      </c>
      <c r="AW139" s="124">
        <f>+AV139+AO139-P139</f>
        <v>0</v>
      </c>
      <c r="AZ139" s="563"/>
      <c r="BA139" s="563">
        <v>2018.1799999999998</v>
      </c>
      <c r="BB139" s="563">
        <v>1212.6999999999998</v>
      </c>
      <c r="BC139" s="563"/>
      <c r="BD139" s="563"/>
      <c r="BE139" s="563">
        <v>3230.8799999999997</v>
      </c>
      <c r="BF139" s="372"/>
      <c r="BO139" s="563"/>
      <c r="BP139" s="563">
        <v>171788.56</v>
      </c>
      <c r="BQ139" s="563">
        <v>104215.54</v>
      </c>
      <c r="BR139" s="563"/>
      <c r="BS139" s="563"/>
      <c r="BT139" s="563">
        <v>276004.09999999998</v>
      </c>
      <c r="BW139" s="126">
        <v>113</v>
      </c>
      <c r="BX139" s="125">
        <v>20215</v>
      </c>
      <c r="BY139" s="19" t="s">
        <v>34</v>
      </c>
      <c r="BZ139" t="s">
        <v>758</v>
      </c>
    </row>
    <row r="140" spans="1:78" x14ac:dyDescent="0.3">
      <c r="A140" s="436">
        <v>20203</v>
      </c>
      <c r="B140" s="19" t="s">
        <v>45</v>
      </c>
      <c r="C140" t="s">
        <v>43</v>
      </c>
      <c r="D140" s="563"/>
      <c r="E140" s="120"/>
      <c r="F140" s="563">
        <v>6771.83</v>
      </c>
      <c r="G140" s="120">
        <v>1.2281476344867605E-5</v>
      </c>
      <c r="H140" s="563">
        <v>20170.28</v>
      </c>
      <c r="I140" s="120">
        <v>7.3825107543630528E-5</v>
      </c>
      <c r="J140" s="563"/>
      <c r="K140" s="120"/>
      <c r="L140" s="563">
        <v>20119.79</v>
      </c>
      <c r="M140" s="120">
        <v>1.3942343833317944E-4</v>
      </c>
      <c r="N140" s="563">
        <v>103520.84</v>
      </c>
      <c r="O140" s="120">
        <v>1.4016046042651331E-4</v>
      </c>
      <c r="P140" s="124">
        <v>150582.74</v>
      </c>
      <c r="Q140" s="124"/>
      <c r="R140" s="563"/>
      <c r="S140" s="120"/>
      <c r="T140" s="373"/>
      <c r="U140" s="541">
        <v>67</v>
      </c>
      <c r="V140" s="540" t="s">
        <v>44</v>
      </c>
      <c r="W140" s="442" t="s">
        <v>45</v>
      </c>
      <c r="X140" s="552" t="s">
        <v>43</v>
      </c>
      <c r="Y140" s="563"/>
      <c r="Z140" s="563">
        <v>101382.24</v>
      </c>
      <c r="AA140" s="563">
        <v>22989.14</v>
      </c>
      <c r="AB140" s="563"/>
      <c r="AC140" s="563"/>
      <c r="AD140" s="563">
        <v>124371.38</v>
      </c>
      <c r="AE140" s="124"/>
      <c r="AF140" s="541">
        <v>67</v>
      </c>
      <c r="AG140" s="540" t="s">
        <v>44</v>
      </c>
      <c r="AH140" s="442" t="s">
        <v>45</v>
      </c>
      <c r="AI140" s="552" t="s">
        <v>43</v>
      </c>
      <c r="AJ140" s="563"/>
      <c r="AK140" s="563">
        <v>103520.84</v>
      </c>
      <c r="AL140" s="563">
        <v>20170.28</v>
      </c>
      <c r="AM140" s="563"/>
      <c r="AN140" s="563"/>
      <c r="AO140" s="563">
        <v>123691.12</v>
      </c>
      <c r="AR140" s="124">
        <f>+L140</f>
        <v>20119.79</v>
      </c>
      <c r="AS140" s="124">
        <f>+F140</f>
        <v>6771.83</v>
      </c>
      <c r="AV140" s="372">
        <f t="shared" si="7"/>
        <v>26891.620000000003</v>
      </c>
      <c r="AW140" s="124">
        <f>+AV140+AO140-P140</f>
        <v>0</v>
      </c>
      <c r="AZ140" s="563"/>
      <c r="BA140" s="563">
        <v>2568.62</v>
      </c>
      <c r="BB140" s="563">
        <v>519.71</v>
      </c>
      <c r="BC140" s="563"/>
      <c r="BD140" s="563"/>
      <c r="BE140" s="563">
        <v>3088.33</v>
      </c>
      <c r="BF140" s="372"/>
      <c r="BO140" s="563"/>
      <c r="BP140" s="563">
        <v>227591.49</v>
      </c>
      <c r="BQ140" s="563">
        <v>50450.960000000006</v>
      </c>
      <c r="BR140" s="563"/>
      <c r="BS140" s="563"/>
      <c r="BT140" s="563">
        <v>278042.45</v>
      </c>
      <c r="BW140" s="126">
        <v>1000</v>
      </c>
      <c r="BX140" s="125">
        <v>20400</v>
      </c>
      <c r="BY140" s="19" t="s">
        <v>34</v>
      </c>
      <c r="BZ140" t="s">
        <v>990</v>
      </c>
    </row>
    <row r="141" spans="1:78" x14ac:dyDescent="0.3">
      <c r="A141" s="436">
        <v>20215</v>
      </c>
      <c r="B141" s="19" t="s">
        <v>34</v>
      </c>
      <c r="C141" t="s">
        <v>74</v>
      </c>
      <c r="D141" s="563"/>
      <c r="E141" s="120"/>
      <c r="F141" s="563">
        <v>9422.58</v>
      </c>
      <c r="G141" s="120">
        <v>1.7088909995912862E-5</v>
      </c>
      <c r="H141" s="563">
        <v>27493.040000000001</v>
      </c>
      <c r="I141" s="120">
        <v>1.0062709266809067E-4</v>
      </c>
      <c r="J141" s="563">
        <v>0</v>
      </c>
      <c r="K141" s="120">
        <v>0</v>
      </c>
      <c r="L141" s="563">
        <v>8515.130000000001</v>
      </c>
      <c r="M141" s="120">
        <v>5.9007012620609174E-5</v>
      </c>
      <c r="N141" s="563">
        <v>43970.380000000005</v>
      </c>
      <c r="O141" s="120">
        <v>5.9533024518819145E-5</v>
      </c>
      <c r="P141" s="124">
        <v>89401.13</v>
      </c>
      <c r="Q141" s="124"/>
      <c r="R141" s="563"/>
      <c r="S141" s="120"/>
      <c r="T141" s="373"/>
      <c r="U141" s="541">
        <v>113</v>
      </c>
      <c r="V141" s="540" t="s">
        <v>75</v>
      </c>
      <c r="W141" s="442" t="s">
        <v>34</v>
      </c>
      <c r="X141" s="552" t="s">
        <v>74</v>
      </c>
      <c r="Y141" s="563">
        <v>0</v>
      </c>
      <c r="Z141" s="563">
        <v>43390.130000000005</v>
      </c>
      <c r="AA141" s="563">
        <v>24432.309999999998</v>
      </c>
      <c r="AB141" s="563"/>
      <c r="AC141" s="563"/>
      <c r="AD141" s="563">
        <v>67822.44</v>
      </c>
      <c r="AE141" s="124"/>
      <c r="AF141" s="541">
        <v>113</v>
      </c>
      <c r="AG141" s="540" t="s">
        <v>75</v>
      </c>
      <c r="AH141" s="442" t="s">
        <v>34</v>
      </c>
      <c r="AI141" s="552" t="s">
        <v>74</v>
      </c>
      <c r="AJ141" s="563">
        <v>0</v>
      </c>
      <c r="AK141" s="563">
        <v>43970.380000000005</v>
      </c>
      <c r="AL141" s="563">
        <v>27493.040000000001</v>
      </c>
      <c r="AM141" s="563"/>
      <c r="AN141" s="563"/>
      <c r="AO141" s="563">
        <v>71463.420000000013</v>
      </c>
      <c r="AR141" s="124">
        <f>+L141</f>
        <v>8515.130000000001</v>
      </c>
      <c r="AS141" s="124">
        <f>+F141</f>
        <v>9422.58</v>
      </c>
      <c r="AV141" s="372">
        <f t="shared" si="7"/>
        <v>17937.71</v>
      </c>
      <c r="AW141" s="124">
        <f>+AV141+AO141-P141</f>
        <v>0</v>
      </c>
      <c r="AZ141" s="563">
        <v>0</v>
      </c>
      <c r="BA141" s="563">
        <v>1090.98</v>
      </c>
      <c r="BB141" s="563">
        <v>707.2</v>
      </c>
      <c r="BC141" s="563"/>
      <c r="BD141" s="563"/>
      <c r="BE141" s="563">
        <v>1798.18</v>
      </c>
      <c r="BF141" s="372"/>
      <c r="BO141" s="563">
        <v>0</v>
      </c>
      <c r="BP141" s="563">
        <v>96966.62</v>
      </c>
      <c r="BQ141" s="563">
        <v>62055.130000000005</v>
      </c>
      <c r="BR141" s="563"/>
      <c r="BS141" s="563"/>
      <c r="BT141" s="563">
        <v>159021.75</v>
      </c>
      <c r="BW141" s="126">
        <v>332</v>
      </c>
      <c r="BX141" s="125">
        <v>20401</v>
      </c>
      <c r="BY141" s="19" t="s">
        <v>34</v>
      </c>
      <c r="BZ141" t="s">
        <v>817</v>
      </c>
    </row>
    <row r="142" spans="1:78" x14ac:dyDescent="0.3">
      <c r="A142" s="436">
        <v>20400</v>
      </c>
      <c r="B142" s="19" t="s">
        <v>34</v>
      </c>
      <c r="C142" t="s">
        <v>560</v>
      </c>
      <c r="D142" s="563"/>
      <c r="E142" s="120"/>
      <c r="F142" s="563">
        <v>13961.32</v>
      </c>
      <c r="G142" s="120">
        <v>2.5320426136380711E-5</v>
      </c>
      <c r="H142" s="563">
        <v>41435.22</v>
      </c>
      <c r="I142" s="120">
        <v>1.5165677286552249E-4</v>
      </c>
      <c r="J142" s="563"/>
      <c r="K142" s="120"/>
      <c r="L142" s="563">
        <v>24206.550000000003</v>
      </c>
      <c r="M142" s="120">
        <v>1.6774332292653277E-4</v>
      </c>
      <c r="N142" s="563">
        <v>124257.63</v>
      </c>
      <c r="O142" s="120">
        <v>1.6823672057053764E-4</v>
      </c>
      <c r="P142" s="124">
        <v>203860.72</v>
      </c>
      <c r="Q142" s="124"/>
      <c r="R142" s="563"/>
      <c r="S142" s="120"/>
      <c r="T142" s="373"/>
      <c r="U142" s="541">
        <v>1000</v>
      </c>
      <c r="V142" s="540" t="s">
        <v>561</v>
      </c>
      <c r="W142" s="442" t="s">
        <v>34</v>
      </c>
      <c r="X142" s="552" t="s">
        <v>560</v>
      </c>
      <c r="Y142" s="563"/>
      <c r="Z142" s="563">
        <v>109053.19</v>
      </c>
      <c r="AA142" s="563">
        <v>46480.24</v>
      </c>
      <c r="AB142" s="563"/>
      <c r="AC142" s="563"/>
      <c r="AD142" s="563">
        <v>155533.43</v>
      </c>
      <c r="AE142" s="124"/>
      <c r="AF142" s="541">
        <v>1000</v>
      </c>
      <c r="AG142" s="540" t="s">
        <v>561</v>
      </c>
      <c r="AH142" s="442" t="s">
        <v>34</v>
      </c>
      <c r="AI142" s="552" t="s">
        <v>560</v>
      </c>
      <c r="AJ142" s="563"/>
      <c r="AK142" s="563">
        <v>124257.63</v>
      </c>
      <c r="AL142" s="563">
        <v>41435.22</v>
      </c>
      <c r="AM142" s="563"/>
      <c r="AN142" s="563"/>
      <c r="AO142" s="563">
        <v>165692.85</v>
      </c>
      <c r="AR142" s="124">
        <f>+L142</f>
        <v>24206.550000000003</v>
      </c>
      <c r="AS142" s="124">
        <f>+F142</f>
        <v>13961.32</v>
      </c>
      <c r="AV142" s="372">
        <f t="shared" si="7"/>
        <v>38167.870000000003</v>
      </c>
      <c r="AW142" s="124">
        <f>+AV142+AO142-P142</f>
        <v>0</v>
      </c>
      <c r="AZ142" s="563"/>
      <c r="BA142" s="563">
        <v>3083.16</v>
      </c>
      <c r="BB142" s="563">
        <v>1067.8000000000002</v>
      </c>
      <c r="BC142" s="563"/>
      <c r="BD142" s="563"/>
      <c r="BE142" s="563">
        <v>4150.96</v>
      </c>
      <c r="BF142" s="372"/>
      <c r="BO142" s="563"/>
      <c r="BP142" s="563">
        <v>260600.53000000003</v>
      </c>
      <c r="BQ142" s="563">
        <v>102944.58</v>
      </c>
      <c r="BR142" s="563"/>
      <c r="BS142" s="563"/>
      <c r="BT142" s="563">
        <v>363545.11000000004</v>
      </c>
      <c r="BW142" s="126">
        <v>505</v>
      </c>
      <c r="BX142" s="125">
        <v>20402</v>
      </c>
      <c r="BY142" s="19" t="s">
        <v>34</v>
      </c>
      <c r="BZ142" t="s">
        <v>845</v>
      </c>
    </row>
    <row r="143" spans="1:78" x14ac:dyDescent="0.3">
      <c r="A143" s="436">
        <v>20401</v>
      </c>
      <c r="B143" s="19" t="s">
        <v>34</v>
      </c>
      <c r="C143" t="s">
        <v>194</v>
      </c>
      <c r="D143" s="563"/>
      <c r="E143" s="120"/>
      <c r="F143" s="563">
        <v>12062.699999999999</v>
      </c>
      <c r="G143" s="120">
        <v>2.187706494481321E-5</v>
      </c>
      <c r="H143" s="563">
        <v>35657.520000000004</v>
      </c>
      <c r="I143" s="120">
        <v>1.3050985156076944E-4</v>
      </c>
      <c r="J143" s="563">
        <v>0</v>
      </c>
      <c r="K143" s="120">
        <v>0</v>
      </c>
      <c r="L143" s="563">
        <v>15621.52</v>
      </c>
      <c r="M143" s="120">
        <v>1.0825192660512506E-4</v>
      </c>
      <c r="N143" s="563">
        <v>80344.759999999995</v>
      </c>
      <c r="O143" s="120">
        <v>1.0878156083796953E-4</v>
      </c>
      <c r="P143" s="124">
        <v>143686.5</v>
      </c>
      <c r="Q143" s="124"/>
      <c r="R143" s="563"/>
      <c r="S143" s="120"/>
      <c r="T143" s="373"/>
      <c r="U143" s="541">
        <v>332</v>
      </c>
      <c r="V143" s="540" t="s">
        <v>195</v>
      </c>
      <c r="W143" s="442" t="s">
        <v>34</v>
      </c>
      <c r="X143" s="552" t="s">
        <v>194</v>
      </c>
      <c r="Y143" s="563">
        <v>0</v>
      </c>
      <c r="Z143" s="563">
        <v>99527.74</v>
      </c>
      <c r="AA143" s="563">
        <v>31442.989999999998</v>
      </c>
      <c r="AB143" s="563"/>
      <c r="AC143" s="563"/>
      <c r="AD143" s="563">
        <v>130970.73000000001</v>
      </c>
      <c r="AE143" s="124"/>
      <c r="AF143" s="541">
        <v>332</v>
      </c>
      <c r="AG143" s="540" t="s">
        <v>195</v>
      </c>
      <c r="AH143" s="442" t="s">
        <v>34</v>
      </c>
      <c r="AI143" s="552" t="s">
        <v>194</v>
      </c>
      <c r="AJ143" s="563">
        <v>0</v>
      </c>
      <c r="AK143" s="563">
        <v>80344.759999999995</v>
      </c>
      <c r="AL143" s="563">
        <v>35657.520000000004</v>
      </c>
      <c r="AM143" s="563"/>
      <c r="AN143" s="563"/>
      <c r="AO143" s="563">
        <v>116002.28</v>
      </c>
      <c r="AR143" s="124">
        <f>+L143</f>
        <v>15621.52</v>
      </c>
      <c r="AS143" s="124">
        <f>+F143</f>
        <v>12062.699999999999</v>
      </c>
      <c r="AV143" s="372">
        <f t="shared" si="7"/>
        <v>27684.22</v>
      </c>
      <c r="AW143" s="124">
        <f>+AV143+AO143-P143</f>
        <v>0</v>
      </c>
      <c r="AZ143" s="563">
        <v>0</v>
      </c>
      <c r="BA143" s="563">
        <v>1993.53</v>
      </c>
      <c r="BB143" s="563">
        <v>918.8599999999999</v>
      </c>
      <c r="BC143" s="563"/>
      <c r="BD143" s="563"/>
      <c r="BE143" s="563">
        <v>2912.39</v>
      </c>
      <c r="BF143" s="372"/>
      <c r="BO143" s="563">
        <v>0</v>
      </c>
      <c r="BP143" s="563">
        <v>197487.55</v>
      </c>
      <c r="BQ143" s="563">
        <v>80082.070000000007</v>
      </c>
      <c r="BR143" s="563"/>
      <c r="BS143" s="563"/>
      <c r="BT143" s="563">
        <v>277569.62</v>
      </c>
      <c r="BW143" s="126">
        <v>819</v>
      </c>
      <c r="BX143" s="125">
        <v>20403</v>
      </c>
      <c r="BY143" s="19" t="s">
        <v>34</v>
      </c>
      <c r="BZ143" t="s">
        <v>946</v>
      </c>
    </row>
    <row r="144" spans="1:78" x14ac:dyDescent="0.3">
      <c r="A144" s="436">
        <v>20402</v>
      </c>
      <c r="B144" s="19" t="s">
        <v>34</v>
      </c>
      <c r="C144" t="s">
        <v>250</v>
      </c>
      <c r="D144" s="563"/>
      <c r="E144" s="120"/>
      <c r="F144" s="563">
        <v>9905.52</v>
      </c>
      <c r="G144" s="120">
        <v>1.7964776074357E-5</v>
      </c>
      <c r="H144" s="563">
        <v>29055.21</v>
      </c>
      <c r="I144" s="120">
        <v>1.0634478068488734E-4</v>
      </c>
      <c r="J144" s="563">
        <v>0</v>
      </c>
      <c r="K144" s="120">
        <v>0</v>
      </c>
      <c r="L144" s="563">
        <v>16723.54</v>
      </c>
      <c r="M144" s="120">
        <v>1.1588855787771441E-4</v>
      </c>
      <c r="N144" s="563">
        <v>85789.5</v>
      </c>
      <c r="O144" s="120">
        <v>1.1615338341304384E-4</v>
      </c>
      <c r="P144" s="124">
        <v>141473.76999999999</v>
      </c>
      <c r="Q144" s="124"/>
      <c r="R144" s="563"/>
      <c r="S144" s="120"/>
      <c r="T144" s="373"/>
      <c r="U144" s="541">
        <v>505</v>
      </c>
      <c r="V144" s="540" t="s">
        <v>251</v>
      </c>
      <c r="W144" s="442" t="s">
        <v>34</v>
      </c>
      <c r="X144" s="552" t="s">
        <v>250</v>
      </c>
      <c r="Y144" s="563">
        <v>0</v>
      </c>
      <c r="Z144" s="563">
        <v>80555.03</v>
      </c>
      <c r="AA144" s="563">
        <v>25729.97</v>
      </c>
      <c r="AB144" s="563"/>
      <c r="AC144" s="563"/>
      <c r="AD144" s="563">
        <v>106285</v>
      </c>
      <c r="AE144" s="124"/>
      <c r="AF144" s="541">
        <v>505</v>
      </c>
      <c r="AG144" s="540" t="s">
        <v>251</v>
      </c>
      <c r="AH144" s="442" t="s">
        <v>34</v>
      </c>
      <c r="AI144" s="552" t="s">
        <v>250</v>
      </c>
      <c r="AJ144" s="563">
        <v>0</v>
      </c>
      <c r="AK144" s="563">
        <v>85789.5</v>
      </c>
      <c r="AL144" s="563">
        <v>29055.21</v>
      </c>
      <c r="AM144" s="563"/>
      <c r="AN144" s="563"/>
      <c r="AO144" s="563">
        <v>114844.70999999999</v>
      </c>
      <c r="AR144" s="124">
        <f>+L144</f>
        <v>16723.54</v>
      </c>
      <c r="AS144" s="124">
        <f>+F144</f>
        <v>9905.52</v>
      </c>
      <c r="AV144" s="372">
        <f t="shared" si="7"/>
        <v>26629.06</v>
      </c>
      <c r="AW144" s="124">
        <f>+AV144+AO144-P144</f>
        <v>0</v>
      </c>
      <c r="AZ144" s="563">
        <v>0</v>
      </c>
      <c r="BA144" s="563">
        <v>2128.6400000000003</v>
      </c>
      <c r="BB144" s="563">
        <v>748.73</v>
      </c>
      <c r="BC144" s="563"/>
      <c r="BD144" s="563"/>
      <c r="BE144" s="563">
        <v>2877.3700000000003</v>
      </c>
      <c r="BF144" s="372"/>
      <c r="BO144" s="563">
        <v>0</v>
      </c>
      <c r="BP144" s="563">
        <v>185196.71000000002</v>
      </c>
      <c r="BQ144" s="563">
        <v>65439.43</v>
      </c>
      <c r="BR144" s="563"/>
      <c r="BS144" s="563"/>
      <c r="BT144" s="563">
        <v>250636.14</v>
      </c>
      <c r="BW144" s="126">
        <v>335</v>
      </c>
      <c r="BX144" s="125">
        <v>20404</v>
      </c>
      <c r="BY144" s="19" t="s">
        <v>45</v>
      </c>
      <c r="BZ144" t="s">
        <v>818</v>
      </c>
    </row>
    <row r="145" spans="1:78" x14ac:dyDescent="0.3">
      <c r="A145" s="436">
        <v>20403</v>
      </c>
      <c r="B145" s="19" t="s">
        <v>34</v>
      </c>
      <c r="C145" t="s">
        <v>466</v>
      </c>
      <c r="D145" s="563"/>
      <c r="E145" s="120"/>
      <c r="F145" s="563">
        <v>1804.97</v>
      </c>
      <c r="G145" s="120">
        <v>3.2735163697546573E-6</v>
      </c>
      <c r="H145" s="563">
        <v>5257.19</v>
      </c>
      <c r="I145" s="120">
        <v>1.924180611906721E-5</v>
      </c>
      <c r="J145" s="563"/>
      <c r="K145" s="120"/>
      <c r="L145" s="563">
        <v>2815.47</v>
      </c>
      <c r="M145" s="120">
        <v>1.9510268642163593E-5</v>
      </c>
      <c r="N145" s="563">
        <v>14342.2</v>
      </c>
      <c r="O145" s="120">
        <v>1.9418402666836353E-5</v>
      </c>
      <c r="P145" s="124">
        <v>24219.83</v>
      </c>
      <c r="Q145" s="124"/>
      <c r="R145" s="563"/>
      <c r="S145" s="120"/>
      <c r="T145" s="373"/>
      <c r="U145" s="541">
        <v>819</v>
      </c>
      <c r="V145" s="540" t="s">
        <v>467</v>
      </c>
      <c r="W145" s="442" t="s">
        <v>34</v>
      </c>
      <c r="X145" s="552" t="s">
        <v>466</v>
      </c>
      <c r="Y145" s="563"/>
      <c r="Z145" s="563">
        <v>14342.13</v>
      </c>
      <c r="AA145" s="563">
        <v>5257.05</v>
      </c>
      <c r="AB145" s="563"/>
      <c r="AC145" s="563"/>
      <c r="AD145" s="563">
        <v>19599.18</v>
      </c>
      <c r="AE145" s="124"/>
      <c r="AF145" s="541">
        <v>819</v>
      </c>
      <c r="AG145" s="540" t="s">
        <v>467</v>
      </c>
      <c r="AH145" s="442" t="s">
        <v>34</v>
      </c>
      <c r="AI145" s="552" t="s">
        <v>466</v>
      </c>
      <c r="AJ145" s="563"/>
      <c r="AK145" s="563">
        <v>14342.2</v>
      </c>
      <c r="AL145" s="563">
        <v>5257.19</v>
      </c>
      <c r="AM145" s="563"/>
      <c r="AN145" s="563"/>
      <c r="AO145" s="563">
        <v>19599.39</v>
      </c>
      <c r="AR145" s="124">
        <f>+L145</f>
        <v>2815.47</v>
      </c>
      <c r="AS145" s="124">
        <f>+F145</f>
        <v>1804.97</v>
      </c>
      <c r="AV145" s="372">
        <f t="shared" si="7"/>
        <v>4620.4399999999996</v>
      </c>
      <c r="AW145" s="124">
        <f>+AV145+AO145-P145</f>
        <v>0</v>
      </c>
      <c r="AZ145" s="563"/>
      <c r="BA145" s="563">
        <v>355.76</v>
      </c>
      <c r="BB145" s="563">
        <v>135.41999999999999</v>
      </c>
      <c r="BC145" s="563"/>
      <c r="BD145" s="563"/>
      <c r="BE145" s="563">
        <v>491.17999999999995</v>
      </c>
      <c r="BF145" s="372"/>
      <c r="BO145" s="563"/>
      <c r="BP145" s="563">
        <v>31855.56</v>
      </c>
      <c r="BQ145" s="563">
        <v>12454.63</v>
      </c>
      <c r="BR145" s="563"/>
      <c r="BS145" s="563"/>
      <c r="BT145" s="563">
        <v>44310.19</v>
      </c>
      <c r="BW145" s="126">
        <v>1093</v>
      </c>
      <c r="BX145" s="125">
        <v>20405</v>
      </c>
      <c r="BY145" s="19" t="s">
        <v>34</v>
      </c>
      <c r="BZ145" t="s">
        <v>1012</v>
      </c>
    </row>
    <row r="146" spans="1:78" x14ac:dyDescent="0.3">
      <c r="A146" s="436">
        <v>20404</v>
      </c>
      <c r="B146" s="19" t="s">
        <v>45</v>
      </c>
      <c r="C146" t="s">
        <v>196</v>
      </c>
      <c r="D146" s="563"/>
      <c r="E146" s="120"/>
      <c r="F146" s="563">
        <v>77626.399999999994</v>
      </c>
      <c r="G146" s="120">
        <v>1.4078421864359124E-4</v>
      </c>
      <c r="H146" s="563">
        <v>229628.46</v>
      </c>
      <c r="I146" s="120">
        <v>8.4046159768621262E-4</v>
      </c>
      <c r="J146" s="563">
        <v>0</v>
      </c>
      <c r="K146" s="120">
        <v>0</v>
      </c>
      <c r="L146" s="563">
        <v>81377.649999999994</v>
      </c>
      <c r="M146" s="120">
        <v>5.6391998954631519E-4</v>
      </c>
      <c r="N146" s="563">
        <v>417947.49</v>
      </c>
      <c r="O146" s="120">
        <v>5.658736215095006E-4</v>
      </c>
      <c r="P146" s="124">
        <v>806580</v>
      </c>
      <c r="Q146" s="124"/>
      <c r="R146" s="563"/>
      <c r="S146" s="120"/>
      <c r="T146" s="373"/>
      <c r="U146" s="541">
        <v>335</v>
      </c>
      <c r="V146" s="540" t="s">
        <v>197</v>
      </c>
      <c r="W146" s="442" t="s">
        <v>45</v>
      </c>
      <c r="X146" s="552" t="s">
        <v>196</v>
      </c>
      <c r="Y146" s="563">
        <v>0</v>
      </c>
      <c r="Z146" s="563">
        <v>425792.01</v>
      </c>
      <c r="AA146" s="563">
        <v>215801.58000000002</v>
      </c>
      <c r="AB146" s="563"/>
      <c r="AC146" s="563"/>
      <c r="AD146" s="563">
        <v>641593.59000000008</v>
      </c>
      <c r="AE146" s="124"/>
      <c r="AF146" s="541">
        <v>335</v>
      </c>
      <c r="AG146" s="540" t="s">
        <v>197</v>
      </c>
      <c r="AH146" s="442" t="s">
        <v>45</v>
      </c>
      <c r="AI146" s="552" t="s">
        <v>196</v>
      </c>
      <c r="AJ146" s="563">
        <v>0</v>
      </c>
      <c r="AK146" s="563">
        <v>417947.49</v>
      </c>
      <c r="AL146" s="563">
        <v>229628.46</v>
      </c>
      <c r="AM146" s="563"/>
      <c r="AN146" s="563"/>
      <c r="AO146" s="563">
        <v>647575.94999999995</v>
      </c>
      <c r="AR146" s="124">
        <f>+L146</f>
        <v>81377.649999999994</v>
      </c>
      <c r="AS146" s="124">
        <f>+F146</f>
        <v>77626.399999999994</v>
      </c>
      <c r="AV146" s="372">
        <f t="shared" si="7"/>
        <v>159004.04999999999</v>
      </c>
      <c r="AW146" s="124">
        <f>+AV146+AO146-P146</f>
        <v>0</v>
      </c>
      <c r="AZ146" s="563">
        <v>0</v>
      </c>
      <c r="BA146" s="563">
        <v>10370.75</v>
      </c>
      <c r="BB146" s="563">
        <v>5918.1200000000008</v>
      </c>
      <c r="BC146" s="563"/>
      <c r="BD146" s="563"/>
      <c r="BE146" s="563">
        <v>16288.87</v>
      </c>
      <c r="BF146" s="372"/>
      <c r="BO146" s="563">
        <v>0</v>
      </c>
      <c r="BP146" s="563">
        <v>935487.89999999991</v>
      </c>
      <c r="BQ146" s="563">
        <v>528974.55999999994</v>
      </c>
      <c r="BR146" s="563"/>
      <c r="BS146" s="563"/>
      <c r="BT146" s="563">
        <v>1464462.46</v>
      </c>
      <c r="BW146" s="126">
        <v>555</v>
      </c>
      <c r="BX146" s="125">
        <v>20406</v>
      </c>
      <c r="BY146" s="19" t="s">
        <v>34</v>
      </c>
      <c r="BZ146" t="s">
        <v>858</v>
      </c>
    </row>
    <row r="147" spans="1:78" x14ac:dyDescent="0.3">
      <c r="A147" s="436">
        <v>20405</v>
      </c>
      <c r="B147" s="19" t="s">
        <v>34</v>
      </c>
      <c r="C147" t="s">
        <v>606</v>
      </c>
      <c r="D147" s="563"/>
      <c r="E147" s="120"/>
      <c r="F147" s="563">
        <v>106560.45999999999</v>
      </c>
      <c r="G147" s="120">
        <v>1.9325939499193135E-4</v>
      </c>
      <c r="H147" s="563">
        <v>314677.11</v>
      </c>
      <c r="I147" s="120">
        <v>1.1517475953367457E-3</v>
      </c>
      <c r="J147" s="563"/>
      <c r="K147" s="120"/>
      <c r="L147" s="563">
        <v>109869.23</v>
      </c>
      <c r="M147" s="120">
        <v>7.6135714207846634E-4</v>
      </c>
      <c r="N147" s="563">
        <v>558858.44999999995</v>
      </c>
      <c r="O147" s="120">
        <v>7.5665786391655601E-4</v>
      </c>
      <c r="P147" s="124">
        <v>1089965.25</v>
      </c>
      <c r="Q147" s="124"/>
      <c r="R147" s="563"/>
      <c r="S147" s="120"/>
      <c r="T147" s="373"/>
      <c r="U147" s="541">
        <v>1093</v>
      </c>
      <c r="V147" s="540" t="s">
        <v>607</v>
      </c>
      <c r="W147" s="442" t="s">
        <v>34</v>
      </c>
      <c r="X147" s="552" t="s">
        <v>606</v>
      </c>
      <c r="Y147" s="563"/>
      <c r="Z147" s="563">
        <v>585215.81000000006</v>
      </c>
      <c r="AA147" s="563">
        <v>296138.44</v>
      </c>
      <c r="AB147" s="563"/>
      <c r="AC147" s="563"/>
      <c r="AD147" s="563">
        <v>881354.25</v>
      </c>
      <c r="AE147" s="124"/>
      <c r="AF147" s="541">
        <v>1093</v>
      </c>
      <c r="AG147" s="540" t="s">
        <v>607</v>
      </c>
      <c r="AH147" s="442" t="s">
        <v>34</v>
      </c>
      <c r="AI147" s="552" t="s">
        <v>606</v>
      </c>
      <c r="AJ147" s="563"/>
      <c r="AK147" s="563">
        <v>558858.44999999995</v>
      </c>
      <c r="AL147" s="563">
        <v>314677.11</v>
      </c>
      <c r="AM147" s="563"/>
      <c r="AN147" s="563"/>
      <c r="AO147" s="563">
        <v>873535.55999999994</v>
      </c>
      <c r="AR147" s="124">
        <f>+L147</f>
        <v>109869.23</v>
      </c>
      <c r="AS147" s="124">
        <f>+F147</f>
        <v>106560.45999999999</v>
      </c>
      <c r="AV147" s="372">
        <f t="shared" si="7"/>
        <v>216429.69</v>
      </c>
      <c r="AW147" s="124">
        <f>+AV147+AO147-P147</f>
        <v>0</v>
      </c>
      <c r="AZ147" s="563"/>
      <c r="BA147" s="563">
        <v>13862.57</v>
      </c>
      <c r="BB147" s="563">
        <v>8110.0499999999993</v>
      </c>
      <c r="BC147" s="563"/>
      <c r="BD147" s="563"/>
      <c r="BE147" s="563">
        <v>21972.62</v>
      </c>
      <c r="BF147" s="372"/>
      <c r="BO147" s="563"/>
      <c r="BP147" s="563">
        <v>1267806.06</v>
      </c>
      <c r="BQ147" s="563">
        <v>725486.06</v>
      </c>
      <c r="BR147" s="563"/>
      <c r="BS147" s="563"/>
      <c r="BT147" s="563">
        <v>1993292.12</v>
      </c>
      <c r="BW147" s="126">
        <v>632</v>
      </c>
      <c r="BX147" s="125">
        <v>21014</v>
      </c>
      <c r="BY147" s="19" t="s">
        <v>13</v>
      </c>
      <c r="BZ147" t="s">
        <v>885</v>
      </c>
    </row>
    <row r="148" spans="1:78" x14ac:dyDescent="0.3">
      <c r="A148" s="436">
        <v>20406</v>
      </c>
      <c r="B148" s="19" t="s">
        <v>34</v>
      </c>
      <c r="C148" t="s">
        <v>278</v>
      </c>
      <c r="D148" s="563"/>
      <c r="E148" s="120"/>
      <c r="F148" s="563">
        <v>16199.32</v>
      </c>
      <c r="G148" s="120">
        <v>2.9379291178742035E-5</v>
      </c>
      <c r="H148" s="563">
        <v>47926.039999999994</v>
      </c>
      <c r="I148" s="120">
        <v>1.7541377993465326E-4</v>
      </c>
      <c r="J148" s="563">
        <v>0</v>
      </c>
      <c r="K148" s="120">
        <v>0</v>
      </c>
      <c r="L148" s="563">
        <v>25700.719999999998</v>
      </c>
      <c r="M148" s="120">
        <v>1.780974229869353E-4</v>
      </c>
      <c r="N148" s="563">
        <v>131884.76</v>
      </c>
      <c r="O148" s="120">
        <v>1.7856335675831272E-4</v>
      </c>
      <c r="P148" s="124">
        <v>221710.84</v>
      </c>
      <c r="Q148" s="124"/>
      <c r="R148" s="563"/>
      <c r="S148" s="120"/>
      <c r="T148" s="373"/>
      <c r="U148" s="541">
        <v>555</v>
      </c>
      <c r="V148" s="540" t="s">
        <v>279</v>
      </c>
      <c r="W148" s="442" t="s">
        <v>34</v>
      </c>
      <c r="X148" s="552" t="s">
        <v>278</v>
      </c>
      <c r="Y148" s="563">
        <v>0</v>
      </c>
      <c r="Z148" s="563">
        <v>141095.13999999998</v>
      </c>
      <c r="AA148" s="563">
        <v>47840.54</v>
      </c>
      <c r="AB148" s="563"/>
      <c r="AC148" s="563"/>
      <c r="AD148" s="563">
        <v>188935.67999999999</v>
      </c>
      <c r="AE148" s="124"/>
      <c r="AF148" s="541">
        <v>555</v>
      </c>
      <c r="AG148" s="540" t="s">
        <v>279</v>
      </c>
      <c r="AH148" s="442" t="s">
        <v>34</v>
      </c>
      <c r="AI148" s="552" t="s">
        <v>278</v>
      </c>
      <c r="AJ148" s="563">
        <v>0</v>
      </c>
      <c r="AK148" s="563">
        <v>131884.76</v>
      </c>
      <c r="AL148" s="563">
        <v>47926.039999999994</v>
      </c>
      <c r="AM148" s="563"/>
      <c r="AN148" s="563"/>
      <c r="AO148" s="563">
        <v>179810.8</v>
      </c>
      <c r="AR148" s="124">
        <f>+L148</f>
        <v>25700.719999999998</v>
      </c>
      <c r="AS148" s="124">
        <f>+F148</f>
        <v>16199.32</v>
      </c>
      <c r="AV148" s="372">
        <f t="shared" si="7"/>
        <v>41900.039999999994</v>
      </c>
      <c r="AW148" s="124">
        <f>+AV148+AO148-P148</f>
        <v>0</v>
      </c>
      <c r="AZ148" s="563">
        <v>0</v>
      </c>
      <c r="BA148" s="563">
        <v>3272.4300000000003</v>
      </c>
      <c r="BB148" s="563">
        <v>1235.08</v>
      </c>
      <c r="BC148" s="563"/>
      <c r="BD148" s="563"/>
      <c r="BE148" s="563">
        <v>4507.51</v>
      </c>
      <c r="BF148" s="372"/>
      <c r="BO148" s="563">
        <v>0</v>
      </c>
      <c r="BP148" s="563">
        <v>301953.05</v>
      </c>
      <c r="BQ148" s="563">
        <v>113200.98000000001</v>
      </c>
      <c r="BR148" s="563"/>
      <c r="BS148" s="563"/>
      <c r="BT148" s="563">
        <v>415154.03</v>
      </c>
      <c r="BW148" s="126">
        <v>285</v>
      </c>
      <c r="BX148" s="125">
        <v>21036</v>
      </c>
      <c r="BY148" s="19" t="s">
        <v>13</v>
      </c>
      <c r="BZ148" t="s">
        <v>807</v>
      </c>
    </row>
    <row r="149" spans="1:78" x14ac:dyDescent="0.3">
      <c r="A149" s="436">
        <v>21014</v>
      </c>
      <c r="B149" s="19" t="s">
        <v>13</v>
      </c>
      <c r="C149" t="s">
        <v>330</v>
      </c>
      <c r="D149" s="563">
        <v>1526.76</v>
      </c>
      <c r="E149" s="120">
        <v>2.7689512028934663E-6</v>
      </c>
      <c r="F149" s="563">
        <v>43934.619999999995</v>
      </c>
      <c r="G149" s="120">
        <v>7.9680381263372987E-5</v>
      </c>
      <c r="H149" s="563">
        <v>130133.1</v>
      </c>
      <c r="I149" s="120">
        <v>4.7629929294417463E-4</v>
      </c>
      <c r="J149" s="563"/>
      <c r="K149" s="120"/>
      <c r="L149" s="563">
        <v>79777.89</v>
      </c>
      <c r="M149" s="120">
        <v>5.5283418598137319E-4</v>
      </c>
      <c r="N149" s="563">
        <v>408463.83</v>
      </c>
      <c r="O149" s="120">
        <v>5.5303336487973892E-4</v>
      </c>
      <c r="P149" s="124">
        <v>663836.19999999995</v>
      </c>
      <c r="Q149" s="124"/>
      <c r="R149" s="563"/>
      <c r="S149" s="120"/>
      <c r="T149" s="373"/>
      <c r="U149" s="541">
        <v>632</v>
      </c>
      <c r="V149" s="540" t="s">
        <v>331</v>
      </c>
      <c r="W149" s="442" t="s">
        <v>13</v>
      </c>
      <c r="X149" s="552" t="s">
        <v>330</v>
      </c>
      <c r="Y149" s="563"/>
      <c r="Z149" s="563">
        <v>368325.91</v>
      </c>
      <c r="AA149" s="563">
        <v>121250.23999999999</v>
      </c>
      <c r="AB149" s="563">
        <v>1021.61</v>
      </c>
      <c r="AC149" s="563"/>
      <c r="AD149" s="563">
        <v>490597.75999999995</v>
      </c>
      <c r="AE149" s="124"/>
      <c r="AF149" s="541">
        <v>632</v>
      </c>
      <c r="AG149" s="540" t="s">
        <v>331</v>
      </c>
      <c r="AH149" s="442" t="s">
        <v>13</v>
      </c>
      <c r="AI149" s="552" t="s">
        <v>330</v>
      </c>
      <c r="AJ149" s="563"/>
      <c r="AK149" s="563">
        <v>408463.83</v>
      </c>
      <c r="AL149" s="563">
        <v>130133.1</v>
      </c>
      <c r="AM149" s="563">
        <v>1526.76</v>
      </c>
      <c r="AN149" s="563"/>
      <c r="AO149" s="563">
        <v>540123.69000000006</v>
      </c>
      <c r="AR149" s="124">
        <f>+L149</f>
        <v>79777.89</v>
      </c>
      <c r="AS149" s="124">
        <f>+F149</f>
        <v>43934.619999999995</v>
      </c>
      <c r="AV149" s="372">
        <f t="shared" si="7"/>
        <v>123712.51</v>
      </c>
      <c r="AW149" s="124">
        <f>+AV149+AO149-P149</f>
        <v>0</v>
      </c>
      <c r="AZ149" s="563"/>
      <c r="BA149" s="563">
        <v>10135.450000000001</v>
      </c>
      <c r="BB149" s="563">
        <v>3353.8</v>
      </c>
      <c r="BC149" s="563">
        <v>34</v>
      </c>
      <c r="BD149" s="563"/>
      <c r="BE149" s="563">
        <v>13523.25</v>
      </c>
      <c r="BF149" s="372"/>
      <c r="BO149" s="563"/>
      <c r="BP149" s="563">
        <v>866703.08</v>
      </c>
      <c r="BQ149" s="563">
        <v>298671.76</v>
      </c>
      <c r="BR149" s="563">
        <v>2582.37</v>
      </c>
      <c r="BS149" s="563"/>
      <c r="BT149" s="563">
        <v>1167957.21</v>
      </c>
      <c r="BW149" s="126">
        <v>613</v>
      </c>
      <c r="BX149" s="125">
        <v>21206</v>
      </c>
      <c r="BY149" s="19" t="s">
        <v>13</v>
      </c>
      <c r="BZ149" t="s">
        <v>877</v>
      </c>
    </row>
    <row r="150" spans="1:78" x14ac:dyDescent="0.3">
      <c r="A150" s="436">
        <v>21036</v>
      </c>
      <c r="B150" s="19" t="s">
        <v>13</v>
      </c>
      <c r="C150" t="s">
        <v>172</v>
      </c>
      <c r="D150" s="563"/>
      <c r="E150" s="120"/>
      <c r="F150" s="563">
        <v>5481.46</v>
      </c>
      <c r="G150" s="120">
        <v>9.9412450290893276E-6</v>
      </c>
      <c r="H150" s="563">
        <v>16139.81</v>
      </c>
      <c r="I150" s="120">
        <v>5.9073211129630497E-5</v>
      </c>
      <c r="J150" s="563"/>
      <c r="K150" s="120"/>
      <c r="L150" s="563">
        <v>5513.82</v>
      </c>
      <c r="M150" s="120">
        <v>3.820893472298922E-5</v>
      </c>
      <c r="N150" s="563">
        <v>28235.760000000002</v>
      </c>
      <c r="O150" s="120">
        <v>3.8229376056961364E-5</v>
      </c>
      <c r="P150" s="124">
        <v>55370.850000000006</v>
      </c>
      <c r="Q150" s="124"/>
      <c r="R150" s="563"/>
      <c r="S150" s="120"/>
      <c r="T150" s="373"/>
      <c r="U150" s="541">
        <v>285</v>
      </c>
      <c r="V150" s="540" t="s">
        <v>173</v>
      </c>
      <c r="W150" s="442" t="s">
        <v>13</v>
      </c>
      <c r="X150" s="552" t="s">
        <v>172</v>
      </c>
      <c r="Y150" s="563"/>
      <c r="Z150" s="563">
        <v>28757.719999999998</v>
      </c>
      <c r="AA150" s="563">
        <v>15799.650000000001</v>
      </c>
      <c r="AB150" s="563"/>
      <c r="AC150" s="563"/>
      <c r="AD150" s="563">
        <v>44557.369999999995</v>
      </c>
      <c r="AE150" s="124"/>
      <c r="AF150" s="541">
        <v>285</v>
      </c>
      <c r="AG150" s="540" t="s">
        <v>173</v>
      </c>
      <c r="AH150" s="442" t="s">
        <v>13</v>
      </c>
      <c r="AI150" s="552" t="s">
        <v>172</v>
      </c>
      <c r="AJ150" s="563"/>
      <c r="AK150" s="563">
        <v>28235.760000000002</v>
      </c>
      <c r="AL150" s="563">
        <v>16139.81</v>
      </c>
      <c r="AM150" s="563"/>
      <c r="AN150" s="563"/>
      <c r="AO150" s="563">
        <v>44375.57</v>
      </c>
      <c r="AR150" s="124">
        <f>+L150</f>
        <v>5513.82</v>
      </c>
      <c r="AS150" s="124">
        <f>+F150</f>
        <v>5481.46</v>
      </c>
      <c r="AV150" s="372">
        <f t="shared" si="7"/>
        <v>10995.279999999999</v>
      </c>
      <c r="AW150" s="124">
        <f>+AV150+AO150-P150</f>
        <v>0</v>
      </c>
      <c r="AZ150" s="563"/>
      <c r="BA150" s="563">
        <v>700.57999999999993</v>
      </c>
      <c r="BB150" s="563">
        <v>415.84</v>
      </c>
      <c r="BC150" s="563"/>
      <c r="BD150" s="563"/>
      <c r="BE150" s="563">
        <v>1116.4199999999998</v>
      </c>
      <c r="BF150" s="372"/>
      <c r="BO150" s="563"/>
      <c r="BP150" s="563">
        <v>63207.880000000005</v>
      </c>
      <c r="BQ150" s="563">
        <v>37836.76</v>
      </c>
      <c r="BR150" s="563"/>
      <c r="BS150" s="563"/>
      <c r="BT150" s="563">
        <v>101044.64000000001</v>
      </c>
      <c r="BW150" s="126">
        <v>608</v>
      </c>
      <c r="BX150" s="125">
        <v>21214</v>
      </c>
      <c r="BY150" s="19" t="s">
        <v>13</v>
      </c>
      <c r="BZ150" t="s">
        <v>875</v>
      </c>
    </row>
    <row r="151" spans="1:78" x14ac:dyDescent="0.3">
      <c r="A151" s="436">
        <v>21206</v>
      </c>
      <c r="B151" s="19" t="s">
        <v>13</v>
      </c>
      <c r="C151" t="s">
        <v>316</v>
      </c>
      <c r="D151" s="563"/>
      <c r="E151" s="120"/>
      <c r="F151" s="563">
        <v>46760.12</v>
      </c>
      <c r="G151" s="120">
        <v>8.4804743719669654E-5</v>
      </c>
      <c r="H151" s="563">
        <v>138894.24</v>
      </c>
      <c r="I151" s="120">
        <v>5.083658831305678E-4</v>
      </c>
      <c r="J151" s="563"/>
      <c r="K151" s="120"/>
      <c r="L151" s="563">
        <v>62965.17</v>
      </c>
      <c r="M151" s="120">
        <v>4.3632764042930662E-4</v>
      </c>
      <c r="N151" s="563">
        <v>322620.57</v>
      </c>
      <c r="O151" s="120">
        <v>4.3680719393567681E-4</v>
      </c>
      <c r="P151" s="124">
        <v>571240.1</v>
      </c>
      <c r="Q151" s="124"/>
      <c r="R151" s="563"/>
      <c r="S151" s="120"/>
      <c r="T151" s="373"/>
      <c r="U151" s="541">
        <v>613</v>
      </c>
      <c r="V151" s="540" t="s">
        <v>317</v>
      </c>
      <c r="W151" s="442" t="s">
        <v>13</v>
      </c>
      <c r="X151" s="552" t="s">
        <v>316</v>
      </c>
      <c r="Y151" s="563"/>
      <c r="Z151" s="563">
        <v>330128.79000000004</v>
      </c>
      <c r="AA151" s="563">
        <v>130725.76000000001</v>
      </c>
      <c r="AB151" s="563"/>
      <c r="AC151" s="563"/>
      <c r="AD151" s="563">
        <v>460854.55000000005</v>
      </c>
      <c r="AE151" s="124"/>
      <c r="AF151" s="541">
        <v>613</v>
      </c>
      <c r="AG151" s="540" t="s">
        <v>317</v>
      </c>
      <c r="AH151" s="442" t="s">
        <v>13</v>
      </c>
      <c r="AI151" s="552" t="s">
        <v>316</v>
      </c>
      <c r="AJ151" s="563"/>
      <c r="AK151" s="563">
        <v>322620.57</v>
      </c>
      <c r="AL151" s="563">
        <v>138894.24</v>
      </c>
      <c r="AM151" s="563"/>
      <c r="AN151" s="563"/>
      <c r="AO151" s="563">
        <v>461514.81</v>
      </c>
      <c r="AR151" s="124">
        <f>+L151</f>
        <v>62965.17</v>
      </c>
      <c r="AS151" s="124">
        <f>+F151</f>
        <v>46760.12</v>
      </c>
      <c r="AV151" s="372">
        <f t="shared" si="7"/>
        <v>109725.29000000001</v>
      </c>
      <c r="AW151" s="124">
        <f>+AV151+AO151-P151</f>
        <v>0</v>
      </c>
      <c r="AZ151" s="563"/>
      <c r="BA151" s="563">
        <v>8005.17</v>
      </c>
      <c r="BB151" s="563">
        <v>3579.58</v>
      </c>
      <c r="BC151" s="563"/>
      <c r="BD151" s="563"/>
      <c r="BE151" s="563">
        <v>11584.75</v>
      </c>
      <c r="BF151" s="372"/>
      <c r="BO151" s="563"/>
      <c r="BP151" s="563">
        <v>723719.7</v>
      </c>
      <c r="BQ151" s="563">
        <v>319959.69999999995</v>
      </c>
      <c r="BR151" s="563"/>
      <c r="BS151" s="563"/>
      <c r="BT151" s="563">
        <v>1043679.3999999999</v>
      </c>
      <c r="BW151" s="126">
        <v>10</v>
      </c>
      <c r="BX151" s="125">
        <v>21226</v>
      </c>
      <c r="BY151" s="19" t="s">
        <v>13</v>
      </c>
      <c r="BZ151" t="s">
        <v>732</v>
      </c>
    </row>
    <row r="152" spans="1:78" x14ac:dyDescent="0.3">
      <c r="A152" s="436">
        <v>21214</v>
      </c>
      <c r="B152" s="19" t="s">
        <v>13</v>
      </c>
      <c r="C152" t="s">
        <v>312</v>
      </c>
      <c r="D152" s="563"/>
      <c r="E152" s="120"/>
      <c r="F152" s="563">
        <v>41159.979999999996</v>
      </c>
      <c r="G152" s="120">
        <v>7.4648259144902281E-5</v>
      </c>
      <c r="H152" s="563">
        <v>121747.21</v>
      </c>
      <c r="I152" s="120">
        <v>4.4560615278454096E-4</v>
      </c>
      <c r="J152" s="563"/>
      <c r="K152" s="120"/>
      <c r="L152" s="563">
        <v>46260.99</v>
      </c>
      <c r="M152" s="120">
        <v>3.2057324089848003E-4</v>
      </c>
      <c r="N152" s="563">
        <v>237747.37</v>
      </c>
      <c r="O152" s="120">
        <v>3.2189442091459672E-4</v>
      </c>
      <c r="P152" s="124">
        <v>446915.55</v>
      </c>
      <c r="Q152" s="124"/>
      <c r="R152" s="563"/>
      <c r="S152" s="120"/>
      <c r="T152" s="373"/>
      <c r="U152" s="541">
        <v>608</v>
      </c>
      <c r="V152" s="540" t="s">
        <v>313</v>
      </c>
      <c r="W152" s="442" t="s">
        <v>13</v>
      </c>
      <c r="X152" s="552" t="s">
        <v>312</v>
      </c>
      <c r="Y152" s="563"/>
      <c r="Z152" s="563">
        <v>243124.47</v>
      </c>
      <c r="AA152" s="563">
        <v>126272.68</v>
      </c>
      <c r="AB152" s="563"/>
      <c r="AC152" s="563"/>
      <c r="AD152" s="563">
        <v>369397.15</v>
      </c>
      <c r="AE152" s="124"/>
      <c r="AF152" s="541">
        <v>608</v>
      </c>
      <c r="AG152" s="540" t="s">
        <v>313</v>
      </c>
      <c r="AH152" s="442" t="s">
        <v>13</v>
      </c>
      <c r="AI152" s="552" t="s">
        <v>312</v>
      </c>
      <c r="AJ152" s="563"/>
      <c r="AK152" s="563">
        <v>237747.37</v>
      </c>
      <c r="AL152" s="563">
        <v>121747.21</v>
      </c>
      <c r="AM152" s="563"/>
      <c r="AN152" s="563"/>
      <c r="AO152" s="563">
        <v>359494.58</v>
      </c>
      <c r="AR152" s="124">
        <f>+L152</f>
        <v>46260.99</v>
      </c>
      <c r="AS152" s="124">
        <f>+F152</f>
        <v>41159.979999999996</v>
      </c>
      <c r="AV152" s="372">
        <f t="shared" si="7"/>
        <v>87420.97</v>
      </c>
      <c r="AW152" s="124">
        <f>+AV152+AO152-P152</f>
        <v>0</v>
      </c>
      <c r="AZ152" s="563"/>
      <c r="BA152" s="563">
        <v>5899.3</v>
      </c>
      <c r="BB152" s="563">
        <v>3137.6899999999996</v>
      </c>
      <c r="BC152" s="563"/>
      <c r="BD152" s="563"/>
      <c r="BE152" s="563">
        <v>9036.99</v>
      </c>
      <c r="BF152" s="372"/>
      <c r="BO152" s="563"/>
      <c r="BP152" s="563">
        <v>533032.13</v>
      </c>
      <c r="BQ152" s="563">
        <v>292317.56</v>
      </c>
      <c r="BR152" s="563"/>
      <c r="BS152" s="563"/>
      <c r="BT152" s="563">
        <v>825349.69</v>
      </c>
      <c r="BW152" s="126">
        <v>1106</v>
      </c>
      <c r="BX152" s="125">
        <v>21232</v>
      </c>
      <c r="BY152" s="19" t="s">
        <v>13</v>
      </c>
      <c r="BZ152" t="s">
        <v>1016</v>
      </c>
    </row>
    <row r="153" spans="1:78" x14ac:dyDescent="0.3">
      <c r="A153" s="436">
        <v>21226</v>
      </c>
      <c r="B153" s="19" t="s">
        <v>13</v>
      </c>
      <c r="C153" t="s">
        <v>14</v>
      </c>
      <c r="D153" s="563">
        <v>3888.65</v>
      </c>
      <c r="E153" s="120">
        <v>7.0525047126802369E-6</v>
      </c>
      <c r="F153" s="563">
        <v>37128.06</v>
      </c>
      <c r="G153" s="120">
        <v>6.7335918152231386E-5</v>
      </c>
      <c r="H153" s="563">
        <v>110141.63</v>
      </c>
      <c r="I153" s="120">
        <v>4.0312864669111005E-4</v>
      </c>
      <c r="J153" s="563">
        <v>0</v>
      </c>
      <c r="K153" s="120">
        <v>0</v>
      </c>
      <c r="L153" s="563">
        <v>62436.340000000004</v>
      </c>
      <c r="M153" s="120">
        <v>4.3266302479993203E-4</v>
      </c>
      <c r="N153" s="563">
        <v>320134.38</v>
      </c>
      <c r="O153" s="120">
        <v>4.3344105495237844E-4</v>
      </c>
      <c r="P153" s="124">
        <v>533729.06000000006</v>
      </c>
      <c r="Q153" s="124"/>
      <c r="R153" s="563"/>
      <c r="S153" s="120"/>
      <c r="T153" s="373"/>
      <c r="U153" s="541">
        <v>10</v>
      </c>
      <c r="V153" s="540" t="s">
        <v>15</v>
      </c>
      <c r="W153" s="442" t="s">
        <v>13</v>
      </c>
      <c r="X153" s="552" t="s">
        <v>14</v>
      </c>
      <c r="Y153" s="563">
        <v>0</v>
      </c>
      <c r="Z153" s="563">
        <v>300718.03000000003</v>
      </c>
      <c r="AA153" s="563">
        <v>105191.13</v>
      </c>
      <c r="AB153" s="563">
        <v>2600.3000000000002</v>
      </c>
      <c r="AC153" s="563"/>
      <c r="AD153" s="563">
        <v>408509.46</v>
      </c>
      <c r="AE153" s="124"/>
      <c r="AF153" s="541">
        <v>10</v>
      </c>
      <c r="AG153" s="540" t="s">
        <v>15</v>
      </c>
      <c r="AH153" s="442" t="s">
        <v>13</v>
      </c>
      <c r="AI153" s="552" t="s">
        <v>14</v>
      </c>
      <c r="AJ153" s="563">
        <v>0</v>
      </c>
      <c r="AK153" s="563">
        <v>320134.38</v>
      </c>
      <c r="AL153" s="563">
        <v>110141.63</v>
      </c>
      <c r="AM153" s="563">
        <v>3888.65</v>
      </c>
      <c r="AN153" s="563"/>
      <c r="AO153" s="563">
        <v>434164.66000000003</v>
      </c>
      <c r="AR153" s="124">
        <f>+L153</f>
        <v>62436.340000000004</v>
      </c>
      <c r="AS153" s="124">
        <f>+F153</f>
        <v>37128.06</v>
      </c>
      <c r="AV153" s="372">
        <f t="shared" si="7"/>
        <v>99564.4</v>
      </c>
      <c r="AW153" s="124">
        <f>+AV153+AO153-P153</f>
        <v>0</v>
      </c>
      <c r="AZ153" s="563">
        <v>0</v>
      </c>
      <c r="BA153" s="563">
        <v>7943.6</v>
      </c>
      <c r="BB153" s="563">
        <v>2838.57</v>
      </c>
      <c r="BC153" s="563">
        <v>86.66</v>
      </c>
      <c r="BD153" s="563"/>
      <c r="BE153" s="563">
        <v>10868.83</v>
      </c>
      <c r="BF153" s="372"/>
      <c r="BO153" s="563">
        <v>0</v>
      </c>
      <c r="BP153" s="563">
        <v>691232.35</v>
      </c>
      <c r="BQ153" s="563">
        <v>255299.39</v>
      </c>
      <c r="BR153" s="563">
        <v>6575.61</v>
      </c>
      <c r="BS153" s="563"/>
      <c r="BT153" s="563">
        <v>953107.35</v>
      </c>
      <c r="BW153" s="126">
        <v>74</v>
      </c>
      <c r="BX153" s="125">
        <v>21234</v>
      </c>
      <c r="BY153" s="19" t="s">
        <v>13</v>
      </c>
      <c r="BZ153" t="s">
        <v>746</v>
      </c>
    </row>
    <row r="154" spans="1:78" x14ac:dyDescent="0.3">
      <c r="A154" s="436">
        <v>21232</v>
      </c>
      <c r="B154" s="19" t="s">
        <v>13</v>
      </c>
      <c r="C154" t="s">
        <v>614</v>
      </c>
      <c r="D154" s="563"/>
      <c r="E154" s="120"/>
      <c r="F154" s="563">
        <v>58843.75</v>
      </c>
      <c r="G154" s="120">
        <v>1.0671976757660825E-4</v>
      </c>
      <c r="H154" s="563">
        <v>174000.44</v>
      </c>
      <c r="I154" s="120">
        <v>6.368578520297702E-4</v>
      </c>
      <c r="J154" s="563">
        <v>0</v>
      </c>
      <c r="K154" s="120">
        <v>0</v>
      </c>
      <c r="L154" s="563">
        <v>78077.78</v>
      </c>
      <c r="M154" s="120">
        <v>5.4105299036528466E-4</v>
      </c>
      <c r="N154" s="563">
        <v>394663.28</v>
      </c>
      <c r="O154" s="120">
        <v>5.3434832095873596E-4</v>
      </c>
      <c r="P154" s="124">
        <v>705585.25</v>
      </c>
      <c r="Q154" s="124"/>
      <c r="R154" s="563"/>
      <c r="S154" s="120"/>
      <c r="T154" s="373"/>
      <c r="U154" s="541">
        <v>1106</v>
      </c>
      <c r="V154" s="540" t="s">
        <v>615</v>
      </c>
      <c r="W154" s="442" t="s">
        <v>13</v>
      </c>
      <c r="X154" s="552" t="s">
        <v>614</v>
      </c>
      <c r="Y154" s="563">
        <v>0</v>
      </c>
      <c r="Z154" s="563">
        <v>372572.8</v>
      </c>
      <c r="AA154" s="563">
        <v>166986.22999999998</v>
      </c>
      <c r="AB154" s="563"/>
      <c r="AC154" s="563"/>
      <c r="AD154" s="563">
        <v>539559.03</v>
      </c>
      <c r="AE154" s="124"/>
      <c r="AF154" s="541">
        <v>1106</v>
      </c>
      <c r="AG154" s="540" t="s">
        <v>615</v>
      </c>
      <c r="AH154" s="442" t="s">
        <v>13</v>
      </c>
      <c r="AI154" s="552" t="s">
        <v>614</v>
      </c>
      <c r="AJ154" s="563">
        <v>0</v>
      </c>
      <c r="AK154" s="563">
        <v>394663.28</v>
      </c>
      <c r="AL154" s="563">
        <v>174000.44</v>
      </c>
      <c r="AM154" s="563"/>
      <c r="AN154" s="563"/>
      <c r="AO154" s="563">
        <v>568663.72</v>
      </c>
      <c r="AR154" s="124">
        <f>+L154</f>
        <v>78077.78</v>
      </c>
      <c r="AS154" s="124">
        <f>+F154</f>
        <v>58843.75</v>
      </c>
      <c r="AV154" s="372">
        <f t="shared" si="7"/>
        <v>136921.53</v>
      </c>
      <c r="AW154" s="124">
        <f>+AV154+AO154-P154</f>
        <v>0</v>
      </c>
      <c r="AZ154" s="563">
        <v>0</v>
      </c>
      <c r="BA154" s="563">
        <v>9788.7199999999993</v>
      </c>
      <c r="BB154" s="563">
        <v>4482.32</v>
      </c>
      <c r="BC154" s="563"/>
      <c r="BD154" s="563"/>
      <c r="BE154" s="563">
        <v>14271.039999999999</v>
      </c>
      <c r="BF154" s="372"/>
      <c r="BO154" s="563">
        <v>0</v>
      </c>
      <c r="BP154" s="563">
        <v>855102.58000000007</v>
      </c>
      <c r="BQ154" s="563">
        <v>404312.74</v>
      </c>
      <c r="BR154" s="563"/>
      <c r="BS154" s="563"/>
      <c r="BT154" s="563">
        <v>1259415.32</v>
      </c>
      <c r="BW154" s="126">
        <v>988</v>
      </c>
      <c r="BX154" s="125">
        <v>21237</v>
      </c>
      <c r="BY154" s="19" t="s">
        <v>13</v>
      </c>
      <c r="BZ154" t="s">
        <v>985</v>
      </c>
    </row>
    <row r="155" spans="1:78" x14ac:dyDescent="0.3">
      <c r="A155" s="436">
        <v>21234</v>
      </c>
      <c r="B155" s="19" t="s">
        <v>13</v>
      </c>
      <c r="C155" t="s">
        <v>48</v>
      </c>
      <c r="D155" s="563"/>
      <c r="E155" s="120"/>
      <c r="F155" s="563">
        <v>12400.57</v>
      </c>
      <c r="G155" s="120">
        <v>2.2489830240551646E-5</v>
      </c>
      <c r="H155" s="563">
        <v>36715.56</v>
      </c>
      <c r="I155" s="120">
        <v>1.3438237672082983E-4</v>
      </c>
      <c r="J155" s="563"/>
      <c r="K155" s="120"/>
      <c r="L155" s="563">
        <v>11215.16</v>
      </c>
      <c r="M155" s="120">
        <v>7.771732054145399E-5</v>
      </c>
      <c r="N155" s="563">
        <v>57396.19</v>
      </c>
      <c r="O155" s="120">
        <v>7.7710694939566179E-5</v>
      </c>
      <c r="P155" s="124">
        <v>117727.48</v>
      </c>
      <c r="Q155" s="124"/>
      <c r="R155" s="563"/>
      <c r="S155" s="120"/>
      <c r="T155" s="373"/>
      <c r="U155" s="541">
        <v>74</v>
      </c>
      <c r="V155" s="540" t="s">
        <v>49</v>
      </c>
      <c r="W155" s="442" t="s">
        <v>13</v>
      </c>
      <c r="X155" s="552" t="s">
        <v>48</v>
      </c>
      <c r="Y155" s="563"/>
      <c r="Z155" s="563">
        <v>55055.94</v>
      </c>
      <c r="AA155" s="563">
        <v>39257.85</v>
      </c>
      <c r="AB155" s="563"/>
      <c r="AC155" s="563"/>
      <c r="AD155" s="563">
        <v>94313.790000000008</v>
      </c>
      <c r="AE155" s="124"/>
      <c r="AF155" s="541">
        <v>74</v>
      </c>
      <c r="AG155" s="540" t="s">
        <v>49</v>
      </c>
      <c r="AH155" s="442" t="s">
        <v>13</v>
      </c>
      <c r="AI155" s="552" t="s">
        <v>48</v>
      </c>
      <c r="AJ155" s="563"/>
      <c r="AK155" s="563">
        <v>57396.19</v>
      </c>
      <c r="AL155" s="563">
        <v>36715.56</v>
      </c>
      <c r="AM155" s="563"/>
      <c r="AN155" s="563"/>
      <c r="AO155" s="563">
        <v>94111.75</v>
      </c>
      <c r="AR155" s="124">
        <f>+L155</f>
        <v>11215.16</v>
      </c>
      <c r="AS155" s="124">
        <f>+F155</f>
        <v>12400.57</v>
      </c>
      <c r="AV155" s="372">
        <f t="shared" si="7"/>
        <v>23615.73</v>
      </c>
      <c r="AW155" s="124">
        <f>+AV155+AO155-P155</f>
        <v>0</v>
      </c>
      <c r="AZ155" s="563"/>
      <c r="BA155" s="563">
        <v>1424.12</v>
      </c>
      <c r="BB155" s="563">
        <v>946.13000000000011</v>
      </c>
      <c r="BC155" s="563"/>
      <c r="BD155" s="563"/>
      <c r="BE155" s="563">
        <v>2370.25</v>
      </c>
      <c r="BF155" s="372"/>
      <c r="BO155" s="563"/>
      <c r="BP155" s="563">
        <v>125091.41</v>
      </c>
      <c r="BQ155" s="563">
        <v>89320.11</v>
      </c>
      <c r="BR155" s="563"/>
      <c r="BS155" s="563"/>
      <c r="BT155" s="563">
        <v>214411.52000000002</v>
      </c>
      <c r="BW155" s="126">
        <v>680</v>
      </c>
      <c r="BX155" s="125">
        <v>21300</v>
      </c>
      <c r="BY155" s="19" t="s">
        <v>13</v>
      </c>
      <c r="BZ155" t="s">
        <v>906</v>
      </c>
    </row>
    <row r="156" spans="1:78" x14ac:dyDescent="0.3">
      <c r="A156" s="436">
        <v>21237</v>
      </c>
      <c r="B156" s="19" t="s">
        <v>13</v>
      </c>
      <c r="C156" t="s">
        <v>550</v>
      </c>
      <c r="D156" s="563"/>
      <c r="E156" s="120"/>
      <c r="F156" s="563">
        <v>58327.14</v>
      </c>
      <c r="G156" s="120">
        <v>1.0578283716126675E-4</v>
      </c>
      <c r="H156" s="563">
        <v>172130.05</v>
      </c>
      <c r="I156" s="120">
        <v>6.3001205004295925E-4</v>
      </c>
      <c r="J156" s="563"/>
      <c r="K156" s="120"/>
      <c r="L156" s="563">
        <v>91335.97</v>
      </c>
      <c r="M156" s="120">
        <v>6.3292782782007793E-4</v>
      </c>
      <c r="N156" s="563">
        <v>468518.44</v>
      </c>
      <c r="O156" s="120">
        <v>6.3434338698093796E-4</v>
      </c>
      <c r="P156" s="124">
        <v>790311.60000000009</v>
      </c>
      <c r="Q156" s="124"/>
      <c r="R156" s="563"/>
      <c r="S156" s="120"/>
      <c r="T156" s="373"/>
      <c r="U156" s="541">
        <v>988</v>
      </c>
      <c r="V156" s="540" t="s">
        <v>551</v>
      </c>
      <c r="W156" s="442" t="s">
        <v>13</v>
      </c>
      <c r="X156" s="552" t="s">
        <v>550</v>
      </c>
      <c r="Y156" s="563"/>
      <c r="Z156" s="563">
        <v>445597.53</v>
      </c>
      <c r="AA156" s="563">
        <v>168379</v>
      </c>
      <c r="AB156" s="563"/>
      <c r="AC156" s="563"/>
      <c r="AD156" s="563">
        <v>613976.53</v>
      </c>
      <c r="AE156" s="124"/>
      <c r="AF156" s="541">
        <v>988</v>
      </c>
      <c r="AG156" s="540" t="s">
        <v>551</v>
      </c>
      <c r="AH156" s="442" t="s">
        <v>13</v>
      </c>
      <c r="AI156" s="552" t="s">
        <v>550</v>
      </c>
      <c r="AJ156" s="563"/>
      <c r="AK156" s="563">
        <v>468518.44</v>
      </c>
      <c r="AL156" s="563">
        <v>172130.05</v>
      </c>
      <c r="AM156" s="563"/>
      <c r="AN156" s="563"/>
      <c r="AO156" s="563">
        <v>640648.49</v>
      </c>
      <c r="AR156" s="124">
        <f>+L156</f>
        <v>91335.97</v>
      </c>
      <c r="AS156" s="124">
        <f>+F156</f>
        <v>58327.14</v>
      </c>
      <c r="AV156" s="372">
        <f t="shared" si="7"/>
        <v>149663.10999999999</v>
      </c>
      <c r="AW156" s="124">
        <f>+AV156+AO156-P156</f>
        <v>0</v>
      </c>
      <c r="AZ156" s="563"/>
      <c r="BA156" s="563">
        <v>11625.54</v>
      </c>
      <c r="BB156" s="563">
        <v>4436.18</v>
      </c>
      <c r="BC156" s="563"/>
      <c r="BD156" s="563"/>
      <c r="BE156" s="563">
        <v>16061.720000000001</v>
      </c>
      <c r="BF156" s="372"/>
      <c r="BO156" s="563"/>
      <c r="BP156" s="563">
        <v>1017077.48</v>
      </c>
      <c r="BQ156" s="563">
        <v>403272.37</v>
      </c>
      <c r="BR156" s="563"/>
      <c r="BS156" s="563"/>
      <c r="BT156" s="563">
        <v>1420349.85</v>
      </c>
      <c r="BW156" s="126">
        <v>714</v>
      </c>
      <c r="BX156" s="125">
        <v>21301</v>
      </c>
      <c r="BY156" s="19" t="s">
        <v>13</v>
      </c>
      <c r="BZ156" t="s">
        <v>920</v>
      </c>
    </row>
    <row r="157" spans="1:78" x14ac:dyDescent="0.3">
      <c r="A157" s="436">
        <v>21300</v>
      </c>
      <c r="B157" s="19" t="s">
        <v>13</v>
      </c>
      <c r="C157" t="s">
        <v>384</v>
      </c>
      <c r="D157" s="563">
        <v>2298.1799999999998</v>
      </c>
      <c r="E157" s="120">
        <v>4.168008249800693E-6</v>
      </c>
      <c r="F157" s="563">
        <v>67141.049999999988</v>
      </c>
      <c r="G157" s="120">
        <v>1.217678555640902E-4</v>
      </c>
      <c r="H157" s="563">
        <v>196590.14</v>
      </c>
      <c r="I157" s="120">
        <v>7.1953826260802445E-4</v>
      </c>
      <c r="J157" s="563"/>
      <c r="K157" s="120"/>
      <c r="L157" s="563">
        <v>76859.98</v>
      </c>
      <c r="M157" s="120">
        <v>5.3261404228470595E-4</v>
      </c>
      <c r="N157" s="563">
        <v>397894.08</v>
      </c>
      <c r="O157" s="120">
        <v>5.3872261328041706E-4</v>
      </c>
      <c r="P157" s="124">
        <v>740783.42999999993</v>
      </c>
      <c r="Q157" s="124"/>
      <c r="R157" s="563"/>
      <c r="S157" s="120"/>
      <c r="T157" s="373"/>
      <c r="U157" s="541">
        <v>680</v>
      </c>
      <c r="V157" s="540" t="s">
        <v>385</v>
      </c>
      <c r="W157" s="442" t="s">
        <v>13</v>
      </c>
      <c r="X157" s="552" t="s">
        <v>384</v>
      </c>
      <c r="Y157" s="563"/>
      <c r="Z157" s="563">
        <v>390292.49</v>
      </c>
      <c r="AA157" s="563">
        <v>189371.64</v>
      </c>
      <c r="AB157" s="563">
        <v>1533.82</v>
      </c>
      <c r="AC157" s="563"/>
      <c r="AD157" s="563">
        <v>581197.94999999995</v>
      </c>
      <c r="AE157" s="124"/>
      <c r="AF157" s="541">
        <v>680</v>
      </c>
      <c r="AG157" s="540" t="s">
        <v>385</v>
      </c>
      <c r="AH157" s="442" t="s">
        <v>13</v>
      </c>
      <c r="AI157" s="552" t="s">
        <v>384</v>
      </c>
      <c r="AJ157" s="563"/>
      <c r="AK157" s="563">
        <v>397894.08</v>
      </c>
      <c r="AL157" s="563">
        <v>196590.14</v>
      </c>
      <c r="AM157" s="563">
        <v>2298.1799999999998</v>
      </c>
      <c r="AN157" s="563"/>
      <c r="AO157" s="563">
        <v>596782.4</v>
      </c>
      <c r="AR157" s="124">
        <f>+L157</f>
        <v>76859.98</v>
      </c>
      <c r="AS157" s="124">
        <f>+F157</f>
        <v>67141.049999999988</v>
      </c>
      <c r="AV157" s="372">
        <f t="shared" si="7"/>
        <v>144001.02999999997</v>
      </c>
      <c r="AW157" s="124">
        <f>+AV157+AO157-P157</f>
        <v>0</v>
      </c>
      <c r="AZ157" s="563"/>
      <c r="BA157" s="563">
        <v>9873.130000000001</v>
      </c>
      <c r="BB157" s="563">
        <v>5066.62</v>
      </c>
      <c r="BC157" s="563">
        <v>51.07</v>
      </c>
      <c r="BD157" s="563"/>
      <c r="BE157" s="563">
        <v>14990.82</v>
      </c>
      <c r="BF157" s="372"/>
      <c r="BO157" s="563"/>
      <c r="BP157" s="563">
        <v>874919.67999999993</v>
      </c>
      <c r="BQ157" s="563">
        <v>458169.44999999995</v>
      </c>
      <c r="BR157" s="563">
        <v>3883.07</v>
      </c>
      <c r="BS157" s="563"/>
      <c r="BT157" s="563">
        <v>1336972.2</v>
      </c>
      <c r="BW157" s="126">
        <v>122</v>
      </c>
      <c r="BX157" s="125">
        <v>21302</v>
      </c>
      <c r="BY157" s="19" t="s">
        <v>13</v>
      </c>
      <c r="BZ157" t="s">
        <v>762</v>
      </c>
    </row>
    <row r="158" spans="1:78" x14ac:dyDescent="0.3">
      <c r="A158" s="436">
        <v>21301</v>
      </c>
      <c r="B158" s="19" t="s">
        <v>13</v>
      </c>
      <c r="C158" t="s">
        <v>412</v>
      </c>
      <c r="D158" s="563"/>
      <c r="E158" s="120"/>
      <c r="F158" s="563">
        <v>26334.239999999998</v>
      </c>
      <c r="G158" s="120">
        <v>4.7760109988004161E-5</v>
      </c>
      <c r="H158" s="563">
        <v>77736.66</v>
      </c>
      <c r="I158" s="120">
        <v>2.8452343173137121E-4</v>
      </c>
      <c r="J158" s="563"/>
      <c r="K158" s="120"/>
      <c r="L158" s="563">
        <v>34442.97</v>
      </c>
      <c r="M158" s="120">
        <v>2.386783015034724E-4</v>
      </c>
      <c r="N158" s="563">
        <v>177202.18</v>
      </c>
      <c r="O158" s="120">
        <v>2.3992018551416208E-4</v>
      </c>
      <c r="P158" s="124">
        <v>315716.05</v>
      </c>
      <c r="Q158" s="124"/>
      <c r="R158" s="563"/>
      <c r="S158" s="120"/>
      <c r="T158" s="373"/>
      <c r="U158" s="541">
        <v>714</v>
      </c>
      <c r="V158" s="540" t="s">
        <v>413</v>
      </c>
      <c r="W158" s="442" t="s">
        <v>13</v>
      </c>
      <c r="X158" s="552" t="s">
        <v>412</v>
      </c>
      <c r="Y158" s="563"/>
      <c r="Z158" s="563">
        <v>169114.03999999998</v>
      </c>
      <c r="AA158" s="563">
        <v>72958.100000000006</v>
      </c>
      <c r="AB158" s="563"/>
      <c r="AC158" s="563"/>
      <c r="AD158" s="563">
        <v>242072.13999999998</v>
      </c>
      <c r="AE158" s="124"/>
      <c r="AF158" s="541">
        <v>714</v>
      </c>
      <c r="AG158" s="540" t="s">
        <v>413</v>
      </c>
      <c r="AH158" s="442" t="s">
        <v>13</v>
      </c>
      <c r="AI158" s="552" t="s">
        <v>412</v>
      </c>
      <c r="AJ158" s="563"/>
      <c r="AK158" s="563">
        <v>177202.18</v>
      </c>
      <c r="AL158" s="563">
        <v>77736.66</v>
      </c>
      <c r="AM158" s="563"/>
      <c r="AN158" s="563"/>
      <c r="AO158" s="563">
        <v>254938.84</v>
      </c>
      <c r="AR158" s="124">
        <f>+L158</f>
        <v>34442.97</v>
      </c>
      <c r="AS158" s="124">
        <f>+F158</f>
        <v>26334.239999999998</v>
      </c>
      <c r="AV158" s="372">
        <f t="shared" si="7"/>
        <v>60777.21</v>
      </c>
      <c r="AW158" s="124">
        <f>+AV158+AO158-P158</f>
        <v>0</v>
      </c>
      <c r="AZ158" s="563"/>
      <c r="BA158" s="563">
        <v>4396.93</v>
      </c>
      <c r="BB158" s="563">
        <v>2003.37</v>
      </c>
      <c r="BC158" s="563"/>
      <c r="BD158" s="563"/>
      <c r="BE158" s="563">
        <v>6400.3</v>
      </c>
      <c r="BF158" s="372"/>
      <c r="BO158" s="563"/>
      <c r="BP158" s="563">
        <v>385156.12</v>
      </c>
      <c r="BQ158" s="563">
        <v>179032.37</v>
      </c>
      <c r="BR158" s="563"/>
      <c r="BS158" s="563"/>
      <c r="BT158" s="563">
        <v>564188.49</v>
      </c>
      <c r="BW158" s="126">
        <v>1091</v>
      </c>
      <c r="BX158" s="125">
        <v>21303</v>
      </c>
      <c r="BY158" s="19" t="s">
        <v>13</v>
      </c>
      <c r="BZ158" t="s">
        <v>1010</v>
      </c>
    </row>
    <row r="159" spans="1:78" x14ac:dyDescent="0.3">
      <c r="A159" s="436">
        <v>21302</v>
      </c>
      <c r="B159" s="19" t="s">
        <v>13</v>
      </c>
      <c r="C159" t="s">
        <v>82</v>
      </c>
      <c r="D159" s="563">
        <v>2868.11</v>
      </c>
      <c r="E159" s="120">
        <v>5.2016404900120393E-6</v>
      </c>
      <c r="F159" s="563">
        <v>225809.06</v>
      </c>
      <c r="G159" s="120">
        <v>4.0953016080539376E-4</v>
      </c>
      <c r="H159" s="563">
        <v>667318.52</v>
      </c>
      <c r="I159" s="120">
        <v>2.4424480723547895E-3</v>
      </c>
      <c r="J159" s="563">
        <v>26904.45</v>
      </c>
      <c r="K159" s="120">
        <v>1.8643887065735324E-4</v>
      </c>
      <c r="L159" s="563">
        <v>358713.28</v>
      </c>
      <c r="M159" s="120">
        <v>2.4857634634045649E-3</v>
      </c>
      <c r="N159" s="563">
        <v>1843086.4000000001</v>
      </c>
      <c r="O159" s="120">
        <v>2.4954186850671316E-3</v>
      </c>
      <c r="P159" s="124">
        <v>3124699.8200000003</v>
      </c>
      <c r="Q159" s="124"/>
      <c r="R159" s="563"/>
      <c r="S159" s="120"/>
      <c r="T159" s="373"/>
      <c r="U159" s="541">
        <v>122</v>
      </c>
      <c r="V159" s="540" t="s">
        <v>83</v>
      </c>
      <c r="W159" s="442" t="s">
        <v>13</v>
      </c>
      <c r="X159" s="552" t="s">
        <v>82</v>
      </c>
      <c r="Y159" s="563">
        <v>16773.79</v>
      </c>
      <c r="Z159" s="563">
        <v>1893865.73</v>
      </c>
      <c r="AA159" s="563">
        <v>630118.03</v>
      </c>
      <c r="AB159" s="563">
        <v>1916.05</v>
      </c>
      <c r="AC159" s="563"/>
      <c r="AD159" s="563">
        <v>2542673.6</v>
      </c>
      <c r="AE159" s="124"/>
      <c r="AF159" s="541">
        <v>122</v>
      </c>
      <c r="AG159" s="540" t="s">
        <v>83</v>
      </c>
      <c r="AH159" s="442" t="s">
        <v>13</v>
      </c>
      <c r="AI159" s="552" t="s">
        <v>82</v>
      </c>
      <c r="AJ159" s="563">
        <v>26904.45</v>
      </c>
      <c r="AK159" s="563">
        <v>1843086.4000000001</v>
      </c>
      <c r="AL159" s="563">
        <v>667318.52</v>
      </c>
      <c r="AM159" s="563">
        <v>2868.11</v>
      </c>
      <c r="AN159" s="563"/>
      <c r="AO159" s="563">
        <v>2540177.48</v>
      </c>
      <c r="AR159" s="124">
        <f>+L159</f>
        <v>358713.28</v>
      </c>
      <c r="AS159" s="124">
        <f>+F159</f>
        <v>225809.06</v>
      </c>
      <c r="AV159" s="372">
        <f t="shared" si="7"/>
        <v>584522.34000000008</v>
      </c>
      <c r="AW159" s="124">
        <f>+AV159+AO159-P159</f>
        <v>0</v>
      </c>
      <c r="AZ159" s="563">
        <v>559.05999999999995</v>
      </c>
      <c r="BA159" s="563">
        <v>45733.2</v>
      </c>
      <c r="BB159" s="563">
        <v>17198.760000000002</v>
      </c>
      <c r="BC159" s="563">
        <v>63.79</v>
      </c>
      <c r="BD159" s="563"/>
      <c r="BE159" s="563">
        <v>63554.81</v>
      </c>
      <c r="BF159" s="372"/>
      <c r="BO159" s="563">
        <v>44237.3</v>
      </c>
      <c r="BP159" s="563">
        <v>4141398.61</v>
      </c>
      <c r="BQ159" s="563">
        <v>1540444.37</v>
      </c>
      <c r="BR159" s="563">
        <v>4847.95</v>
      </c>
      <c r="BS159" s="563"/>
      <c r="BT159" s="563">
        <v>5730928.2300000004</v>
      </c>
      <c r="BW159" s="126">
        <v>119</v>
      </c>
      <c r="BX159" s="125">
        <v>21401</v>
      </c>
      <c r="BY159" s="19" t="s">
        <v>13</v>
      </c>
      <c r="BZ159" t="s">
        <v>761</v>
      </c>
    </row>
    <row r="160" spans="1:78" x14ac:dyDescent="0.3">
      <c r="A160" s="436">
        <v>21303</v>
      </c>
      <c r="B160" s="19" t="s">
        <v>13</v>
      </c>
      <c r="C160" t="s">
        <v>602</v>
      </c>
      <c r="D160" s="563"/>
      <c r="E160" s="120"/>
      <c r="F160" s="563">
        <v>40894.490000000005</v>
      </c>
      <c r="G160" s="120">
        <v>7.4166763130560705E-5</v>
      </c>
      <c r="H160" s="563">
        <v>119758.14</v>
      </c>
      <c r="I160" s="120">
        <v>4.3832597091984652E-4</v>
      </c>
      <c r="J160" s="563">
        <v>0</v>
      </c>
      <c r="K160" s="120">
        <v>0</v>
      </c>
      <c r="L160" s="563">
        <v>37299.040000000001</v>
      </c>
      <c r="M160" s="120">
        <v>2.5846991461276649E-4</v>
      </c>
      <c r="N160" s="563">
        <v>190730.4</v>
      </c>
      <c r="O160" s="120">
        <v>2.5823651239048151E-4</v>
      </c>
      <c r="P160" s="124">
        <v>388682.07</v>
      </c>
      <c r="Q160" s="124"/>
      <c r="R160" s="563"/>
      <c r="S160" s="120"/>
      <c r="T160" s="373"/>
      <c r="U160" s="541">
        <v>1091</v>
      </c>
      <c r="V160" s="540" t="s">
        <v>603</v>
      </c>
      <c r="W160" s="442" t="s">
        <v>13</v>
      </c>
      <c r="X160" s="552" t="s">
        <v>602</v>
      </c>
      <c r="Y160" s="563">
        <v>0</v>
      </c>
      <c r="Z160" s="563">
        <v>206730.69</v>
      </c>
      <c r="AA160" s="563">
        <v>101800.15</v>
      </c>
      <c r="AB160" s="563"/>
      <c r="AC160" s="563"/>
      <c r="AD160" s="563">
        <v>308530.83999999997</v>
      </c>
      <c r="AE160" s="124"/>
      <c r="AF160" s="541">
        <v>1091</v>
      </c>
      <c r="AG160" s="540" t="s">
        <v>603</v>
      </c>
      <c r="AH160" s="442" t="s">
        <v>13</v>
      </c>
      <c r="AI160" s="552" t="s">
        <v>602</v>
      </c>
      <c r="AJ160" s="563">
        <v>0</v>
      </c>
      <c r="AK160" s="563">
        <v>190730.4</v>
      </c>
      <c r="AL160" s="563">
        <v>119758.14</v>
      </c>
      <c r="AM160" s="563"/>
      <c r="AN160" s="563"/>
      <c r="AO160" s="563">
        <v>310488.53999999998</v>
      </c>
      <c r="AR160" s="124">
        <f>+L160</f>
        <v>37299.040000000001</v>
      </c>
      <c r="AS160" s="124">
        <f>+F160</f>
        <v>40894.490000000005</v>
      </c>
      <c r="AV160" s="372">
        <f t="shared" si="7"/>
        <v>78193.53</v>
      </c>
      <c r="AW160" s="124">
        <f>+AV160+AO160-P160</f>
        <v>0</v>
      </c>
      <c r="AZ160" s="563">
        <v>0</v>
      </c>
      <c r="BA160" s="563">
        <v>4732.04</v>
      </c>
      <c r="BB160" s="563">
        <v>3083.06</v>
      </c>
      <c r="BC160" s="563"/>
      <c r="BD160" s="563"/>
      <c r="BE160" s="563">
        <v>7815.1</v>
      </c>
      <c r="BF160" s="372"/>
      <c r="BO160" s="563">
        <v>0</v>
      </c>
      <c r="BP160" s="563">
        <v>439492.17</v>
      </c>
      <c r="BQ160" s="563">
        <v>265535.83999999997</v>
      </c>
      <c r="BR160" s="563"/>
      <c r="BS160" s="563"/>
      <c r="BT160" s="563">
        <v>705028.01</v>
      </c>
      <c r="BW160" s="126">
        <v>928</v>
      </c>
      <c r="BX160" s="125">
        <v>22008</v>
      </c>
      <c r="BY160" s="19" t="s">
        <v>18</v>
      </c>
      <c r="BZ160" t="s">
        <v>969</v>
      </c>
    </row>
    <row r="161" spans="1:78" x14ac:dyDescent="0.3">
      <c r="A161" s="436">
        <v>21401</v>
      </c>
      <c r="B161" s="19" t="s">
        <v>13</v>
      </c>
      <c r="C161" t="s">
        <v>80</v>
      </c>
      <c r="D161" s="563"/>
      <c r="E161" s="120"/>
      <c r="F161" s="563">
        <v>259554.25</v>
      </c>
      <c r="G161" s="120">
        <v>4.7073086323561763E-4</v>
      </c>
      <c r="H161" s="563">
        <v>768079.83000000007</v>
      </c>
      <c r="I161" s="120">
        <v>2.8112438722637197E-3</v>
      </c>
      <c r="J161" s="563">
        <v>0</v>
      </c>
      <c r="K161" s="120">
        <v>0</v>
      </c>
      <c r="L161" s="563">
        <v>382901.01</v>
      </c>
      <c r="M161" s="120">
        <v>2.6533763700042159E-3</v>
      </c>
      <c r="N161" s="563">
        <v>1967339.2</v>
      </c>
      <c r="O161" s="120">
        <v>2.6636488661329291E-3</v>
      </c>
      <c r="P161" s="124">
        <v>3377874.29</v>
      </c>
      <c r="Q161" s="124"/>
      <c r="R161" s="563"/>
      <c r="S161" s="120"/>
      <c r="T161" s="373"/>
      <c r="U161" s="541">
        <v>119</v>
      </c>
      <c r="V161" s="540" t="s">
        <v>81</v>
      </c>
      <c r="W161" s="442" t="s">
        <v>13</v>
      </c>
      <c r="X161" s="552" t="s">
        <v>80</v>
      </c>
      <c r="Y161" s="563">
        <v>0</v>
      </c>
      <c r="Z161" s="563">
        <v>1950919.0699999998</v>
      </c>
      <c r="AA161" s="563">
        <v>718693.43</v>
      </c>
      <c r="AB161" s="563"/>
      <c r="AC161" s="563"/>
      <c r="AD161" s="563">
        <v>2669612.5</v>
      </c>
      <c r="AE161" s="124"/>
      <c r="AF161" s="541">
        <v>119</v>
      </c>
      <c r="AG161" s="540" t="s">
        <v>81</v>
      </c>
      <c r="AH161" s="442" t="s">
        <v>13</v>
      </c>
      <c r="AI161" s="552" t="s">
        <v>80</v>
      </c>
      <c r="AJ161" s="563">
        <v>0</v>
      </c>
      <c r="AK161" s="563">
        <v>1967339.2</v>
      </c>
      <c r="AL161" s="563">
        <v>768079.83000000007</v>
      </c>
      <c r="AM161" s="563"/>
      <c r="AN161" s="563"/>
      <c r="AO161" s="563">
        <v>2735419.0300000003</v>
      </c>
      <c r="AR161" s="124">
        <f>+L161</f>
        <v>382901.01</v>
      </c>
      <c r="AS161" s="124">
        <f>+F161</f>
        <v>259554.25</v>
      </c>
      <c r="AV161" s="372">
        <f t="shared" si="7"/>
        <v>642455.26</v>
      </c>
      <c r="AW161" s="124">
        <f>+AV161+AO161-P161</f>
        <v>0</v>
      </c>
      <c r="AZ161" s="563">
        <v>0</v>
      </c>
      <c r="BA161" s="563">
        <v>48816.82</v>
      </c>
      <c r="BB161" s="563">
        <v>19795.760000000002</v>
      </c>
      <c r="BC161" s="563"/>
      <c r="BD161" s="563"/>
      <c r="BE161" s="563">
        <v>68612.58</v>
      </c>
      <c r="BF161" s="372"/>
      <c r="BO161" s="563">
        <v>0</v>
      </c>
      <c r="BP161" s="563">
        <v>4349976.0999999996</v>
      </c>
      <c r="BQ161" s="563">
        <v>1766123.27</v>
      </c>
      <c r="BR161" s="563"/>
      <c r="BS161" s="563"/>
      <c r="BT161" s="563">
        <v>6116099.3699999992</v>
      </c>
      <c r="BW161" s="126">
        <v>798</v>
      </c>
      <c r="BX161" s="125">
        <v>22009</v>
      </c>
      <c r="BY161" s="19" t="s">
        <v>18</v>
      </c>
      <c r="BZ161" t="s">
        <v>937</v>
      </c>
    </row>
    <row r="162" spans="1:78" x14ac:dyDescent="0.3">
      <c r="A162" s="436">
        <v>22008</v>
      </c>
      <c r="B162" s="19" t="s">
        <v>18</v>
      </c>
      <c r="C162" t="s">
        <v>514</v>
      </c>
      <c r="D162" s="563"/>
      <c r="E162" s="120"/>
      <c r="F162" s="563">
        <v>10450.58</v>
      </c>
      <c r="G162" s="120">
        <v>1.8953303768722263E-5</v>
      </c>
      <c r="H162" s="563">
        <v>30875.82</v>
      </c>
      <c r="I162" s="120">
        <v>1.1300838322511034E-4</v>
      </c>
      <c r="J162" s="563">
        <v>0</v>
      </c>
      <c r="K162" s="120">
        <v>0</v>
      </c>
      <c r="L162" s="563">
        <v>16425.95</v>
      </c>
      <c r="M162" s="120">
        <v>1.1382635837098144E-4</v>
      </c>
      <c r="N162" s="563">
        <v>84567.07</v>
      </c>
      <c r="O162" s="120">
        <v>1.1449829298256451E-4</v>
      </c>
      <c r="P162" s="124">
        <v>142319.42000000001</v>
      </c>
      <c r="Q162" s="124"/>
      <c r="R162" s="563"/>
      <c r="S162" s="120"/>
      <c r="T162" s="373"/>
      <c r="U162" s="541">
        <v>928</v>
      </c>
      <c r="V162" s="540" t="s">
        <v>515</v>
      </c>
      <c r="W162" s="442" t="s">
        <v>18</v>
      </c>
      <c r="X162" s="552" t="s">
        <v>514</v>
      </c>
      <c r="Y162" s="563">
        <v>0</v>
      </c>
      <c r="Z162" s="563">
        <v>93932.800000000003</v>
      </c>
      <c r="AA162" s="563">
        <v>29238.32</v>
      </c>
      <c r="AB162" s="563"/>
      <c r="AC162" s="563"/>
      <c r="AD162" s="563">
        <v>123171.12</v>
      </c>
      <c r="AE162" s="124"/>
      <c r="AF162" s="541">
        <v>928</v>
      </c>
      <c r="AG162" s="540" t="s">
        <v>515</v>
      </c>
      <c r="AH162" s="442" t="s">
        <v>18</v>
      </c>
      <c r="AI162" s="552" t="s">
        <v>514</v>
      </c>
      <c r="AJ162" s="563">
        <v>0</v>
      </c>
      <c r="AK162" s="563">
        <v>84567.07</v>
      </c>
      <c r="AL162" s="563">
        <v>30875.82</v>
      </c>
      <c r="AM162" s="563"/>
      <c r="AN162" s="563"/>
      <c r="AO162" s="563">
        <v>115442.89000000001</v>
      </c>
      <c r="AR162" s="124">
        <f>+L162</f>
        <v>16425.95</v>
      </c>
      <c r="AS162" s="124">
        <f>+F162</f>
        <v>10450.58</v>
      </c>
      <c r="AV162" s="372">
        <f t="shared" si="7"/>
        <v>26876.53</v>
      </c>
      <c r="AW162" s="124">
        <f>+AV162+AO162-P162</f>
        <v>0</v>
      </c>
      <c r="AZ162" s="563">
        <v>0</v>
      </c>
      <c r="BA162" s="563">
        <v>2098.3000000000002</v>
      </c>
      <c r="BB162" s="563">
        <v>795.65000000000009</v>
      </c>
      <c r="BC162" s="563"/>
      <c r="BD162" s="563"/>
      <c r="BE162" s="563">
        <v>2893.9500000000003</v>
      </c>
      <c r="BF162" s="372"/>
      <c r="BO162" s="563">
        <v>0</v>
      </c>
      <c r="BP162" s="563">
        <v>197024.12</v>
      </c>
      <c r="BQ162" s="563">
        <v>71360.37</v>
      </c>
      <c r="BR162" s="563"/>
      <c r="BS162" s="563"/>
      <c r="BT162" s="563">
        <v>268384.49</v>
      </c>
      <c r="BW162" s="126">
        <v>17</v>
      </c>
      <c r="BX162" s="125">
        <v>22017</v>
      </c>
      <c r="BY162" s="19" t="s">
        <v>18</v>
      </c>
      <c r="BZ162" t="s">
        <v>733</v>
      </c>
    </row>
    <row r="163" spans="1:78" x14ac:dyDescent="0.3">
      <c r="A163" s="436">
        <v>22009</v>
      </c>
      <c r="B163" s="19" t="s">
        <v>18</v>
      </c>
      <c r="C163" t="s">
        <v>448</v>
      </c>
      <c r="D163" s="563">
        <v>2451.5100000000002</v>
      </c>
      <c r="E163" s="120">
        <v>4.4460894727431702E-6</v>
      </c>
      <c r="F163" s="563">
        <v>54674.33</v>
      </c>
      <c r="G163" s="120">
        <v>9.9158054848761006E-5</v>
      </c>
      <c r="H163" s="563">
        <v>159216.26</v>
      </c>
      <c r="I163" s="120">
        <v>5.827463732379839E-4</v>
      </c>
      <c r="J163" s="563">
        <v>0</v>
      </c>
      <c r="K163" s="120">
        <v>0</v>
      </c>
      <c r="L163" s="563">
        <v>66308.490000000005</v>
      </c>
      <c r="M163" s="120">
        <v>4.5949573362750036E-4</v>
      </c>
      <c r="N163" s="563">
        <v>342685.57999999996</v>
      </c>
      <c r="O163" s="120">
        <v>4.6397390780761398E-4</v>
      </c>
      <c r="P163" s="124">
        <v>625336.16999999993</v>
      </c>
      <c r="Q163" s="124"/>
      <c r="R163" s="563"/>
      <c r="S163" s="120"/>
      <c r="T163" s="373"/>
      <c r="U163" s="541">
        <v>798</v>
      </c>
      <c r="V163" s="540" t="s">
        <v>449</v>
      </c>
      <c r="W163" s="442" t="s">
        <v>18</v>
      </c>
      <c r="X163" s="552" t="s">
        <v>448</v>
      </c>
      <c r="Y163" s="563">
        <v>0</v>
      </c>
      <c r="Z163" s="563">
        <v>338642.29000000004</v>
      </c>
      <c r="AA163" s="563">
        <v>154720.75</v>
      </c>
      <c r="AB163" s="563">
        <v>1632.17</v>
      </c>
      <c r="AC163" s="563"/>
      <c r="AD163" s="563">
        <v>494995.21000000008</v>
      </c>
      <c r="AE163" s="124"/>
      <c r="AF163" s="541">
        <v>798</v>
      </c>
      <c r="AG163" s="540" t="s">
        <v>449</v>
      </c>
      <c r="AH163" s="442" t="s">
        <v>18</v>
      </c>
      <c r="AI163" s="552" t="s">
        <v>448</v>
      </c>
      <c r="AJ163" s="563">
        <v>0</v>
      </c>
      <c r="AK163" s="563">
        <v>342685.57999999996</v>
      </c>
      <c r="AL163" s="563">
        <v>159216.26</v>
      </c>
      <c r="AM163" s="563">
        <v>2451.5100000000002</v>
      </c>
      <c r="AN163" s="563"/>
      <c r="AO163" s="563">
        <v>504353.35</v>
      </c>
      <c r="AR163" s="124">
        <f>+L163</f>
        <v>66308.490000000005</v>
      </c>
      <c r="AS163" s="124">
        <f>+F163</f>
        <v>54674.33</v>
      </c>
      <c r="AV163" s="372">
        <f t="shared" si="7"/>
        <v>120982.82</v>
      </c>
      <c r="AW163" s="124">
        <f>+AV163+AO163-P163</f>
        <v>0</v>
      </c>
      <c r="AZ163" s="563">
        <v>0</v>
      </c>
      <c r="BA163" s="563">
        <v>8503.1999999999989</v>
      </c>
      <c r="BB163" s="563">
        <v>4103.38</v>
      </c>
      <c r="BC163" s="563">
        <v>54.35</v>
      </c>
      <c r="BD163" s="563"/>
      <c r="BE163" s="563">
        <v>12660.93</v>
      </c>
      <c r="BF163" s="372"/>
      <c r="BO163" s="563">
        <v>0</v>
      </c>
      <c r="BP163" s="563">
        <v>756139.55999999994</v>
      </c>
      <c r="BQ163" s="563">
        <v>372714.72</v>
      </c>
      <c r="BR163" s="563">
        <v>4138.03</v>
      </c>
      <c r="BS163" s="563"/>
      <c r="BT163" s="563">
        <v>1132992.31</v>
      </c>
      <c r="BW163" s="126">
        <v>211</v>
      </c>
      <c r="BX163" s="125">
        <v>22073</v>
      </c>
      <c r="BY163" s="19" t="s">
        <v>18</v>
      </c>
      <c r="BZ163" t="s">
        <v>781</v>
      </c>
    </row>
    <row r="164" spans="1:78" x14ac:dyDescent="0.3">
      <c r="A164" s="436">
        <v>22017</v>
      </c>
      <c r="B164" s="19" t="s">
        <v>18</v>
      </c>
      <c r="C164" t="s">
        <v>16</v>
      </c>
      <c r="D164" s="563"/>
      <c r="E164" s="120"/>
      <c r="F164" s="563">
        <v>12028.300000000001</v>
      </c>
      <c r="G164" s="120">
        <v>2.181467667070364E-5</v>
      </c>
      <c r="H164" s="563">
        <v>35127.760000000002</v>
      </c>
      <c r="I164" s="120">
        <v>1.2857088051166583E-4</v>
      </c>
      <c r="J164" s="563"/>
      <c r="K164" s="120"/>
      <c r="L164" s="563">
        <v>17010.25</v>
      </c>
      <c r="M164" s="120">
        <v>1.1787536261098974E-4</v>
      </c>
      <c r="N164" s="563">
        <v>88262.03</v>
      </c>
      <c r="O164" s="120">
        <v>1.1950102764794732E-4</v>
      </c>
      <c r="P164" s="124">
        <v>152428.34</v>
      </c>
      <c r="Q164" s="124"/>
      <c r="R164" s="563"/>
      <c r="S164" s="120"/>
      <c r="T164" s="373"/>
      <c r="U164" s="541">
        <v>17</v>
      </c>
      <c r="V164" s="540" t="s">
        <v>17</v>
      </c>
      <c r="W164" s="442" t="s">
        <v>18</v>
      </c>
      <c r="X164" s="552" t="s">
        <v>16</v>
      </c>
      <c r="Y164" s="563"/>
      <c r="Z164" s="563">
        <v>77537.19</v>
      </c>
      <c r="AA164" s="563">
        <v>37587.240000000005</v>
      </c>
      <c r="AB164" s="563"/>
      <c r="AC164" s="563"/>
      <c r="AD164" s="563">
        <v>115124.43000000001</v>
      </c>
      <c r="AE164" s="124"/>
      <c r="AF164" s="541">
        <v>17</v>
      </c>
      <c r="AG164" s="540" t="s">
        <v>17</v>
      </c>
      <c r="AH164" s="442" t="s">
        <v>18</v>
      </c>
      <c r="AI164" s="552" t="s">
        <v>16</v>
      </c>
      <c r="AJ164" s="563"/>
      <c r="AK164" s="563">
        <v>88262.03</v>
      </c>
      <c r="AL164" s="563">
        <v>35127.760000000002</v>
      </c>
      <c r="AM164" s="563"/>
      <c r="AN164" s="563"/>
      <c r="AO164" s="563">
        <v>123389.79000000001</v>
      </c>
      <c r="AR164" s="124">
        <f>+L164</f>
        <v>17010.25</v>
      </c>
      <c r="AS164" s="124">
        <f>+F164</f>
        <v>12028.300000000001</v>
      </c>
      <c r="AV164" s="372">
        <f t="shared" si="7"/>
        <v>29038.550000000003</v>
      </c>
      <c r="AW164" s="124">
        <f>+AV164+AO164-P164</f>
        <v>0</v>
      </c>
      <c r="AZ164" s="563"/>
      <c r="BA164" s="563">
        <v>2190.38</v>
      </c>
      <c r="BB164" s="563">
        <v>905.24</v>
      </c>
      <c r="BC164" s="563"/>
      <c r="BD164" s="563"/>
      <c r="BE164" s="563">
        <v>3095.62</v>
      </c>
      <c r="BF164" s="372"/>
      <c r="BO164" s="563"/>
      <c r="BP164" s="563">
        <v>184999.85</v>
      </c>
      <c r="BQ164" s="563">
        <v>85648.54</v>
      </c>
      <c r="BR164" s="563"/>
      <c r="BS164" s="563"/>
      <c r="BT164" s="563">
        <v>270648.39</v>
      </c>
      <c r="BW164" s="126">
        <v>664</v>
      </c>
      <c r="BX164" s="125">
        <v>22105</v>
      </c>
      <c r="BY164" s="19" t="s">
        <v>18</v>
      </c>
      <c r="BZ164" t="s">
        <v>902</v>
      </c>
    </row>
    <row r="165" spans="1:78" x14ac:dyDescent="0.3">
      <c r="A165" s="436">
        <v>22073</v>
      </c>
      <c r="B165" s="19" t="s">
        <v>18</v>
      </c>
      <c r="C165" t="s">
        <v>120</v>
      </c>
      <c r="D165" s="563"/>
      <c r="E165" s="120"/>
      <c r="F165" s="563">
        <v>16586.580000000002</v>
      </c>
      <c r="G165" s="120">
        <v>3.0081630801755823E-5</v>
      </c>
      <c r="H165" s="563">
        <v>48960.369999999995</v>
      </c>
      <c r="I165" s="120">
        <v>1.7919952428156386E-4</v>
      </c>
      <c r="J165" s="563"/>
      <c r="K165" s="120"/>
      <c r="L165" s="563">
        <v>16601.919999999998</v>
      </c>
      <c r="M165" s="120">
        <v>1.1504577181632502E-4</v>
      </c>
      <c r="N165" s="563">
        <v>85180.13</v>
      </c>
      <c r="O165" s="120">
        <v>1.1532833620737874E-4</v>
      </c>
      <c r="P165" s="124">
        <v>167329</v>
      </c>
      <c r="Q165" s="124"/>
      <c r="R165" s="563"/>
      <c r="S165" s="120"/>
      <c r="T165" s="373"/>
      <c r="U165" s="541">
        <v>211</v>
      </c>
      <c r="V165" s="540" t="s">
        <v>121</v>
      </c>
      <c r="W165" s="442" t="s">
        <v>18</v>
      </c>
      <c r="X165" s="552" t="s">
        <v>120</v>
      </c>
      <c r="Y165" s="563"/>
      <c r="Z165" s="563">
        <v>84848.03</v>
      </c>
      <c r="AA165" s="563">
        <v>46807.429999999993</v>
      </c>
      <c r="AB165" s="563"/>
      <c r="AC165" s="563"/>
      <c r="AD165" s="563">
        <v>131655.46</v>
      </c>
      <c r="AE165" s="124"/>
      <c r="AF165" s="541">
        <v>211</v>
      </c>
      <c r="AG165" s="540" t="s">
        <v>121</v>
      </c>
      <c r="AH165" s="442" t="s">
        <v>18</v>
      </c>
      <c r="AI165" s="552" t="s">
        <v>120</v>
      </c>
      <c r="AJ165" s="563"/>
      <c r="AK165" s="563">
        <v>85180.13</v>
      </c>
      <c r="AL165" s="563">
        <v>48960.369999999995</v>
      </c>
      <c r="AM165" s="563"/>
      <c r="AN165" s="563"/>
      <c r="AO165" s="563">
        <v>134140.5</v>
      </c>
      <c r="AR165" s="124">
        <f>+L165</f>
        <v>16601.919999999998</v>
      </c>
      <c r="AS165" s="124">
        <f>+F165</f>
        <v>16586.580000000002</v>
      </c>
      <c r="AV165" s="372">
        <f t="shared" si="7"/>
        <v>33188.5</v>
      </c>
      <c r="AW165" s="124">
        <f>+AV165+AO165-P165</f>
        <v>0</v>
      </c>
      <c r="AZ165" s="563"/>
      <c r="BA165" s="563">
        <v>2113.54</v>
      </c>
      <c r="BB165" s="563">
        <v>1261.74</v>
      </c>
      <c r="BC165" s="563"/>
      <c r="BD165" s="563"/>
      <c r="BE165" s="563">
        <v>3375.2799999999997</v>
      </c>
      <c r="BF165" s="372"/>
      <c r="BO165" s="563"/>
      <c r="BP165" s="563">
        <v>188743.62</v>
      </c>
      <c r="BQ165" s="563">
        <v>113616.12</v>
      </c>
      <c r="BR165" s="563"/>
      <c r="BS165" s="563"/>
      <c r="BT165" s="563">
        <v>302359.74</v>
      </c>
      <c r="BW165" s="126">
        <v>1099</v>
      </c>
      <c r="BX165" s="125">
        <v>22200</v>
      </c>
      <c r="BY165" s="19" t="s">
        <v>18</v>
      </c>
      <c r="BZ165" t="s">
        <v>1013</v>
      </c>
    </row>
    <row r="166" spans="1:78" x14ac:dyDescent="0.3">
      <c r="A166" s="436">
        <v>22105</v>
      </c>
      <c r="B166" s="19" t="s">
        <v>18</v>
      </c>
      <c r="C166" t="s">
        <v>374</v>
      </c>
      <c r="D166" s="563"/>
      <c r="E166" s="120"/>
      <c r="F166" s="563">
        <v>21160.46</v>
      </c>
      <c r="G166" s="120">
        <v>3.8376877289671647E-5</v>
      </c>
      <c r="H166" s="563">
        <v>62507.939999999995</v>
      </c>
      <c r="I166" s="120">
        <v>2.2878489504512601E-4</v>
      </c>
      <c r="J166" s="563">
        <v>0</v>
      </c>
      <c r="K166" s="120">
        <v>0</v>
      </c>
      <c r="L166" s="563">
        <v>30714.43</v>
      </c>
      <c r="M166" s="120">
        <v>2.1284076210754466E-4</v>
      </c>
      <c r="N166" s="563">
        <v>157451.97</v>
      </c>
      <c r="O166" s="120">
        <v>2.1317969029483881E-4</v>
      </c>
      <c r="P166" s="124">
        <v>271834.8</v>
      </c>
      <c r="Q166" s="124"/>
      <c r="R166" s="563"/>
      <c r="S166" s="120"/>
      <c r="T166" s="373"/>
      <c r="U166" s="541">
        <v>664</v>
      </c>
      <c r="V166" s="540" t="s">
        <v>375</v>
      </c>
      <c r="W166" s="442" t="s">
        <v>18</v>
      </c>
      <c r="X166" s="552" t="s">
        <v>374</v>
      </c>
      <c r="Y166" s="563">
        <v>0</v>
      </c>
      <c r="Z166" s="563">
        <v>150311.53</v>
      </c>
      <c r="AA166" s="563">
        <v>58594</v>
      </c>
      <c r="AB166" s="563"/>
      <c r="AC166" s="563"/>
      <c r="AD166" s="563">
        <v>208905.53</v>
      </c>
      <c r="AE166" s="124"/>
      <c r="AF166" s="541">
        <v>664</v>
      </c>
      <c r="AG166" s="540" t="s">
        <v>375</v>
      </c>
      <c r="AH166" s="442" t="s">
        <v>18</v>
      </c>
      <c r="AI166" s="552" t="s">
        <v>374</v>
      </c>
      <c r="AJ166" s="563">
        <v>0</v>
      </c>
      <c r="AK166" s="563">
        <v>157451.97</v>
      </c>
      <c r="AL166" s="563">
        <v>62507.939999999995</v>
      </c>
      <c r="AM166" s="563"/>
      <c r="AN166" s="563"/>
      <c r="AO166" s="563">
        <v>219959.91</v>
      </c>
      <c r="AR166" s="124">
        <f>+L166</f>
        <v>30714.43</v>
      </c>
      <c r="AS166" s="124">
        <f>+F166</f>
        <v>21160.46</v>
      </c>
      <c r="AV166" s="372">
        <f t="shared" si="7"/>
        <v>51874.89</v>
      </c>
      <c r="AW166" s="124">
        <f>+AV166+AO166-P166</f>
        <v>0</v>
      </c>
      <c r="AZ166" s="563">
        <v>0</v>
      </c>
      <c r="BA166" s="563">
        <v>3906.83</v>
      </c>
      <c r="BB166" s="563">
        <v>1610.8899999999999</v>
      </c>
      <c r="BC166" s="563"/>
      <c r="BD166" s="563"/>
      <c r="BE166" s="563">
        <v>5517.7199999999993</v>
      </c>
      <c r="BF166" s="372"/>
      <c r="BO166" s="563">
        <v>0</v>
      </c>
      <c r="BP166" s="563">
        <v>342384.76</v>
      </c>
      <c r="BQ166" s="563">
        <v>143873.29</v>
      </c>
      <c r="BR166" s="563"/>
      <c r="BS166" s="563"/>
      <c r="BT166" s="563">
        <v>486258.05000000005</v>
      </c>
      <c r="BW166" s="126">
        <v>369</v>
      </c>
      <c r="BX166" s="125">
        <v>22204</v>
      </c>
      <c r="BY166" s="19" t="s">
        <v>18</v>
      </c>
      <c r="BZ166" t="s">
        <v>827</v>
      </c>
    </row>
    <row r="167" spans="1:78" x14ac:dyDescent="0.3">
      <c r="A167" s="436">
        <v>22200</v>
      </c>
      <c r="B167" s="19" t="s">
        <v>18</v>
      </c>
      <c r="C167" t="s">
        <v>608</v>
      </c>
      <c r="D167" s="563"/>
      <c r="E167" s="120"/>
      <c r="F167" s="563">
        <v>21227.29</v>
      </c>
      <c r="G167" s="120">
        <v>3.8498081021030457E-5</v>
      </c>
      <c r="H167" s="563">
        <v>62558.01</v>
      </c>
      <c r="I167" s="120">
        <v>2.289681559187832E-4</v>
      </c>
      <c r="J167" s="563"/>
      <c r="K167" s="120"/>
      <c r="L167" s="563">
        <v>29447.47</v>
      </c>
      <c r="M167" s="120">
        <v>2.0406115161307107E-4</v>
      </c>
      <c r="N167" s="563">
        <v>148157.38999999998</v>
      </c>
      <c r="O167" s="120">
        <v>2.0059543564359116E-4</v>
      </c>
      <c r="P167" s="124">
        <v>261390.15999999997</v>
      </c>
      <c r="Q167" s="124"/>
      <c r="R167" s="563"/>
      <c r="S167" s="120"/>
      <c r="T167" s="373"/>
      <c r="U167" s="541">
        <v>1099</v>
      </c>
      <c r="V167" s="540" t="s">
        <v>609</v>
      </c>
      <c r="W167" s="442" t="s">
        <v>18</v>
      </c>
      <c r="X167" s="552" t="s">
        <v>608</v>
      </c>
      <c r="Y167" s="563"/>
      <c r="Z167" s="563">
        <v>157482.4</v>
      </c>
      <c r="AA167" s="563">
        <v>56705.22</v>
      </c>
      <c r="AB167" s="563"/>
      <c r="AC167" s="563"/>
      <c r="AD167" s="563">
        <v>214187.62</v>
      </c>
      <c r="AE167" s="124"/>
      <c r="AF167" s="541">
        <v>1099</v>
      </c>
      <c r="AG167" s="540" t="s">
        <v>609</v>
      </c>
      <c r="AH167" s="442" t="s">
        <v>18</v>
      </c>
      <c r="AI167" s="552" t="s">
        <v>608</v>
      </c>
      <c r="AJ167" s="563"/>
      <c r="AK167" s="563">
        <v>148157.38999999998</v>
      </c>
      <c r="AL167" s="563">
        <v>62558.01</v>
      </c>
      <c r="AM167" s="563"/>
      <c r="AN167" s="563"/>
      <c r="AO167" s="563">
        <v>210715.4</v>
      </c>
      <c r="AR167" s="124">
        <f>+L167</f>
        <v>29447.47</v>
      </c>
      <c r="AS167" s="124">
        <f>+F167</f>
        <v>21227.29</v>
      </c>
      <c r="AV167" s="372">
        <f t="shared" si="7"/>
        <v>50674.76</v>
      </c>
      <c r="AW167" s="124">
        <f>+AV167+AO167-P167</f>
        <v>0</v>
      </c>
      <c r="AZ167" s="563"/>
      <c r="BA167" s="563">
        <v>3673.98</v>
      </c>
      <c r="BB167" s="563">
        <v>1612.19</v>
      </c>
      <c r="BC167" s="563"/>
      <c r="BD167" s="563"/>
      <c r="BE167" s="563">
        <v>5286.17</v>
      </c>
      <c r="BF167" s="372"/>
      <c r="BO167" s="563"/>
      <c r="BP167" s="563">
        <v>338761.24</v>
      </c>
      <c r="BQ167" s="563">
        <v>142102.71000000002</v>
      </c>
      <c r="BR167" s="563"/>
      <c r="BS167" s="563"/>
      <c r="BT167" s="563">
        <v>480863.95</v>
      </c>
      <c r="BW167" s="126">
        <v>223</v>
      </c>
      <c r="BX167" s="125">
        <v>22207</v>
      </c>
      <c r="BY167" s="19" t="s">
        <v>18</v>
      </c>
      <c r="BZ167" t="s">
        <v>786</v>
      </c>
    </row>
    <row r="168" spans="1:78" x14ac:dyDescent="0.3">
      <c r="A168" s="436">
        <v>22204</v>
      </c>
      <c r="B168" s="19" t="s">
        <v>18</v>
      </c>
      <c r="C168" t="s">
        <v>214</v>
      </c>
      <c r="D168" s="563"/>
      <c r="E168" s="120"/>
      <c r="F168" s="563">
        <v>13516.42</v>
      </c>
      <c r="G168" s="120">
        <v>2.4513549881980997E-5</v>
      </c>
      <c r="H168" s="563">
        <v>39675.43</v>
      </c>
      <c r="I168" s="120">
        <v>1.4521577720238814E-4</v>
      </c>
      <c r="J168" s="563">
        <v>0</v>
      </c>
      <c r="K168" s="120">
        <v>0</v>
      </c>
      <c r="L168" s="563">
        <v>21192.13</v>
      </c>
      <c r="M168" s="120">
        <v>1.4685439709876305E-4</v>
      </c>
      <c r="N168" s="563">
        <v>108901.74</v>
      </c>
      <c r="O168" s="120">
        <v>1.4744584780850353E-4</v>
      </c>
      <c r="P168" s="124">
        <v>183285.72</v>
      </c>
      <c r="Q168" s="124"/>
      <c r="R168" s="563"/>
      <c r="S168" s="120"/>
      <c r="T168" s="373"/>
      <c r="U168" s="541">
        <v>369</v>
      </c>
      <c r="V168" s="540" t="s">
        <v>215</v>
      </c>
      <c r="W168" s="442" t="s">
        <v>18</v>
      </c>
      <c r="X168" s="552" t="s">
        <v>214</v>
      </c>
      <c r="Y168" s="563">
        <v>0</v>
      </c>
      <c r="Z168" s="563">
        <v>97862.739999999991</v>
      </c>
      <c r="AA168" s="563">
        <v>33866.480000000003</v>
      </c>
      <c r="AB168" s="563"/>
      <c r="AC168" s="563"/>
      <c r="AD168" s="563">
        <v>131729.22</v>
      </c>
      <c r="AE168" s="124"/>
      <c r="AF168" s="541">
        <v>369</v>
      </c>
      <c r="AG168" s="540" t="s">
        <v>215</v>
      </c>
      <c r="AH168" s="442" t="s">
        <v>18</v>
      </c>
      <c r="AI168" s="552" t="s">
        <v>214</v>
      </c>
      <c r="AJ168" s="563">
        <v>0</v>
      </c>
      <c r="AK168" s="563">
        <v>108901.74</v>
      </c>
      <c r="AL168" s="563">
        <v>39675.43</v>
      </c>
      <c r="AM168" s="563"/>
      <c r="AN168" s="563"/>
      <c r="AO168" s="563">
        <v>148577.17000000001</v>
      </c>
      <c r="AR168" s="124">
        <f>+L168</f>
        <v>21192.13</v>
      </c>
      <c r="AS168" s="124">
        <f>+F168</f>
        <v>13516.42</v>
      </c>
      <c r="AV168" s="372">
        <f t="shared" si="7"/>
        <v>34708.550000000003</v>
      </c>
      <c r="AW168" s="124">
        <f>+AV168+AO168-P168</f>
        <v>0</v>
      </c>
      <c r="AZ168" s="563">
        <v>0</v>
      </c>
      <c r="BA168" s="563">
        <v>2702.16</v>
      </c>
      <c r="BB168" s="563">
        <v>1022.45</v>
      </c>
      <c r="BC168" s="563"/>
      <c r="BD168" s="563"/>
      <c r="BE168" s="563">
        <v>3724.6099999999997</v>
      </c>
      <c r="BF168" s="372"/>
      <c r="BO168" s="563">
        <v>0</v>
      </c>
      <c r="BP168" s="563">
        <v>230658.77000000002</v>
      </c>
      <c r="BQ168" s="563">
        <v>88080.78</v>
      </c>
      <c r="BR168" s="563"/>
      <c r="BS168" s="563"/>
      <c r="BT168" s="563">
        <v>318739.55000000005</v>
      </c>
      <c r="BW168" s="126">
        <v>911</v>
      </c>
      <c r="BX168" s="125">
        <v>23042</v>
      </c>
      <c r="BY168" s="19" t="s">
        <v>13</v>
      </c>
      <c r="BZ168" t="s">
        <v>968</v>
      </c>
    </row>
    <row r="169" spans="1:78" x14ac:dyDescent="0.3">
      <c r="A169" s="436">
        <v>22207</v>
      </c>
      <c r="B169" s="19" t="s">
        <v>18</v>
      </c>
      <c r="C169" t="s">
        <v>130</v>
      </c>
      <c r="D169" s="563">
        <v>3110.05</v>
      </c>
      <c r="E169" s="120">
        <v>5.6404259271652561E-6</v>
      </c>
      <c r="F169" s="563">
        <v>46758.400000000001</v>
      </c>
      <c r="G169" s="120">
        <v>8.4801624305964174E-5</v>
      </c>
      <c r="H169" s="563">
        <v>132507.19</v>
      </c>
      <c r="I169" s="120">
        <v>4.8498868394758449E-4</v>
      </c>
      <c r="J169" s="563"/>
      <c r="K169" s="120"/>
      <c r="L169" s="563">
        <v>64827.78</v>
      </c>
      <c r="M169" s="120">
        <v>4.4923490688058486E-4</v>
      </c>
      <c r="N169" s="563">
        <v>333104.11</v>
      </c>
      <c r="O169" s="120">
        <v>4.5100122282203212E-4</v>
      </c>
      <c r="P169" s="124">
        <v>580307.53</v>
      </c>
      <c r="Q169" s="124"/>
      <c r="R169" s="563"/>
      <c r="S169" s="120"/>
      <c r="T169" s="373"/>
      <c r="U169" s="541">
        <v>223</v>
      </c>
      <c r="V169" s="540" t="s">
        <v>131</v>
      </c>
      <c r="W169" s="442" t="s">
        <v>18</v>
      </c>
      <c r="X169" s="552" t="s">
        <v>130</v>
      </c>
      <c r="Y169" s="563"/>
      <c r="Z169" s="563">
        <v>300293.18</v>
      </c>
      <c r="AA169" s="563">
        <v>128998.69</v>
      </c>
      <c r="AB169" s="563">
        <v>2082.69</v>
      </c>
      <c r="AC169" s="563"/>
      <c r="AD169" s="563">
        <v>431374.56</v>
      </c>
      <c r="AE169" s="124"/>
      <c r="AF169" s="541">
        <v>223</v>
      </c>
      <c r="AG169" s="540" t="s">
        <v>131</v>
      </c>
      <c r="AH169" s="442" t="s">
        <v>18</v>
      </c>
      <c r="AI169" s="552" t="s">
        <v>130</v>
      </c>
      <c r="AJ169" s="563"/>
      <c r="AK169" s="563">
        <v>333104.11</v>
      </c>
      <c r="AL169" s="563">
        <v>132507.19</v>
      </c>
      <c r="AM169" s="563">
        <v>3110.05</v>
      </c>
      <c r="AN169" s="563"/>
      <c r="AO169" s="563">
        <v>468721.35</v>
      </c>
      <c r="AR169" s="124">
        <f>+L169</f>
        <v>64827.78</v>
      </c>
      <c r="AS169" s="124">
        <f>+F169</f>
        <v>46758.400000000001</v>
      </c>
      <c r="AV169" s="372">
        <f t="shared" si="7"/>
        <v>111586.18</v>
      </c>
      <c r="AW169" s="124">
        <f>+AV169+AO169-P169</f>
        <v>0</v>
      </c>
      <c r="AZ169" s="563"/>
      <c r="BA169" s="563">
        <v>8265.92</v>
      </c>
      <c r="BB169" s="563">
        <v>3390.95</v>
      </c>
      <c r="BC169" s="563">
        <v>69.37</v>
      </c>
      <c r="BD169" s="563"/>
      <c r="BE169" s="563">
        <v>11726.24</v>
      </c>
      <c r="BF169" s="372"/>
      <c r="BO169" s="563"/>
      <c r="BP169" s="563">
        <v>706490.99</v>
      </c>
      <c r="BQ169" s="563">
        <v>311655.23</v>
      </c>
      <c r="BR169" s="563">
        <v>5262.11</v>
      </c>
      <c r="BS169" s="563"/>
      <c r="BT169" s="563">
        <v>1023408.33</v>
      </c>
      <c r="BW169" s="126">
        <v>356</v>
      </c>
      <c r="BX169" s="125">
        <v>23054</v>
      </c>
      <c r="BY169" s="19" t="s">
        <v>13</v>
      </c>
      <c r="BZ169" t="s">
        <v>823</v>
      </c>
    </row>
    <row r="170" spans="1:78" x14ac:dyDescent="0.3">
      <c r="A170" s="436">
        <v>23042</v>
      </c>
      <c r="B170" s="19" t="s">
        <v>13</v>
      </c>
      <c r="C170" t="s">
        <v>510</v>
      </c>
      <c r="D170" s="563"/>
      <c r="E170" s="120"/>
      <c r="F170" s="563">
        <v>17147.64</v>
      </c>
      <c r="G170" s="120">
        <v>3.1099176298032516E-5</v>
      </c>
      <c r="H170" s="563">
        <v>50393.4</v>
      </c>
      <c r="I170" s="120">
        <v>1.8444454784411477E-4</v>
      </c>
      <c r="J170" s="563"/>
      <c r="K170" s="120"/>
      <c r="L170" s="563">
        <v>25754.800000000003</v>
      </c>
      <c r="M170" s="120">
        <v>1.7847217936088646E-4</v>
      </c>
      <c r="N170" s="563">
        <v>131673.03</v>
      </c>
      <c r="O170" s="120">
        <v>1.7827668815819213E-4</v>
      </c>
      <c r="P170" s="124">
        <v>224968.87</v>
      </c>
      <c r="Q170" s="124"/>
      <c r="R170" s="563"/>
      <c r="S170" s="120"/>
      <c r="T170" s="373"/>
      <c r="U170" s="541">
        <v>911</v>
      </c>
      <c r="V170" s="540" t="s">
        <v>511</v>
      </c>
      <c r="W170" s="442" t="s">
        <v>13</v>
      </c>
      <c r="X170" s="552" t="s">
        <v>510</v>
      </c>
      <c r="Y170" s="563"/>
      <c r="Z170" s="563">
        <v>129959.01000000001</v>
      </c>
      <c r="AA170" s="563">
        <v>46205.37</v>
      </c>
      <c r="AB170" s="563"/>
      <c r="AC170" s="563"/>
      <c r="AD170" s="563">
        <v>176164.38</v>
      </c>
      <c r="AE170" s="124"/>
      <c r="AF170" s="541">
        <v>911</v>
      </c>
      <c r="AG170" s="540" t="s">
        <v>511</v>
      </c>
      <c r="AH170" s="442" t="s">
        <v>13</v>
      </c>
      <c r="AI170" s="552" t="s">
        <v>510</v>
      </c>
      <c r="AJ170" s="563"/>
      <c r="AK170" s="563">
        <v>131673.03</v>
      </c>
      <c r="AL170" s="563">
        <v>50393.4</v>
      </c>
      <c r="AM170" s="563"/>
      <c r="AN170" s="563"/>
      <c r="AO170" s="563">
        <v>182066.43</v>
      </c>
      <c r="AR170" s="124">
        <f>+L170</f>
        <v>25754.800000000003</v>
      </c>
      <c r="AS170" s="124">
        <f>+F170</f>
        <v>17147.64</v>
      </c>
      <c r="AV170" s="372">
        <f t="shared" si="7"/>
        <v>42902.44</v>
      </c>
      <c r="AW170" s="124">
        <f>+AV170+AO170-P170</f>
        <v>0</v>
      </c>
      <c r="AZ170" s="563"/>
      <c r="BA170" s="563">
        <v>3266.8999999999996</v>
      </c>
      <c r="BB170" s="563">
        <v>1296.73</v>
      </c>
      <c r="BC170" s="563"/>
      <c r="BD170" s="563"/>
      <c r="BE170" s="563">
        <v>4563.6299999999992</v>
      </c>
      <c r="BF170" s="372"/>
      <c r="BO170" s="563"/>
      <c r="BP170" s="563">
        <v>290653.74</v>
      </c>
      <c r="BQ170" s="563">
        <v>115043.14</v>
      </c>
      <c r="BR170" s="563"/>
      <c r="BS170" s="563"/>
      <c r="BT170" s="563">
        <v>405696.88</v>
      </c>
      <c r="BW170" s="126">
        <v>863</v>
      </c>
      <c r="BX170" s="125">
        <v>23309</v>
      </c>
      <c r="BY170" s="19" t="s">
        <v>13</v>
      </c>
      <c r="BZ170" t="s">
        <v>957</v>
      </c>
    </row>
    <row r="171" spans="1:78" x14ac:dyDescent="0.3">
      <c r="A171" s="436">
        <v>23054</v>
      </c>
      <c r="B171" s="19" t="s">
        <v>13</v>
      </c>
      <c r="C171" t="s">
        <v>206</v>
      </c>
      <c r="D171" s="563"/>
      <c r="E171" s="120"/>
      <c r="F171" s="563">
        <v>22876.29</v>
      </c>
      <c r="G171" s="120">
        <v>4.1488728230527252E-5</v>
      </c>
      <c r="H171" s="563">
        <v>66641.320000000007</v>
      </c>
      <c r="I171" s="120">
        <v>2.4391345166499906E-4</v>
      </c>
      <c r="J171" s="563">
        <v>0</v>
      </c>
      <c r="K171" s="120">
        <v>0</v>
      </c>
      <c r="L171" s="563">
        <v>24433.79</v>
      </c>
      <c r="M171" s="120">
        <v>1.6931802038246206E-4</v>
      </c>
      <c r="N171" s="563">
        <v>123514.73</v>
      </c>
      <c r="O171" s="120">
        <v>1.6723088246054107E-4</v>
      </c>
      <c r="P171" s="124">
        <v>237466.13</v>
      </c>
      <c r="Q171" s="124"/>
      <c r="R171" s="563"/>
      <c r="S171" s="120"/>
      <c r="T171" s="373"/>
      <c r="U171" s="541">
        <v>356</v>
      </c>
      <c r="V171" s="540" t="s">
        <v>207</v>
      </c>
      <c r="W171" s="442" t="s">
        <v>13</v>
      </c>
      <c r="X171" s="552" t="s">
        <v>206</v>
      </c>
      <c r="Y171" s="563">
        <v>0</v>
      </c>
      <c r="Z171" s="563">
        <v>122016.57</v>
      </c>
      <c r="AA171" s="563">
        <v>67651.510000000009</v>
      </c>
      <c r="AB171" s="563"/>
      <c r="AC171" s="563"/>
      <c r="AD171" s="563">
        <v>189668.08000000002</v>
      </c>
      <c r="AE171" s="124"/>
      <c r="AF171" s="541">
        <v>356</v>
      </c>
      <c r="AG171" s="540" t="s">
        <v>207</v>
      </c>
      <c r="AH171" s="442" t="s">
        <v>13</v>
      </c>
      <c r="AI171" s="552" t="s">
        <v>206</v>
      </c>
      <c r="AJ171" s="563">
        <v>0</v>
      </c>
      <c r="AK171" s="563">
        <v>123514.73</v>
      </c>
      <c r="AL171" s="563">
        <v>66641.320000000007</v>
      </c>
      <c r="AM171" s="563"/>
      <c r="AN171" s="563"/>
      <c r="AO171" s="563">
        <v>190156.05</v>
      </c>
      <c r="AR171" s="124">
        <f>+L171</f>
        <v>24433.79</v>
      </c>
      <c r="AS171" s="124">
        <f>+F171</f>
        <v>22876.29</v>
      </c>
      <c r="AV171" s="372">
        <f t="shared" si="7"/>
        <v>47310.080000000002</v>
      </c>
      <c r="AW171" s="124">
        <f>+AV171+AO171-P171</f>
        <v>0</v>
      </c>
      <c r="AZ171" s="563">
        <v>0</v>
      </c>
      <c r="BA171" s="563">
        <v>3063.2200000000003</v>
      </c>
      <c r="BB171" s="563">
        <v>1713.05</v>
      </c>
      <c r="BC171" s="563"/>
      <c r="BD171" s="563"/>
      <c r="BE171" s="563">
        <v>4776.2700000000004</v>
      </c>
      <c r="BF171" s="372"/>
      <c r="BO171" s="563">
        <v>0</v>
      </c>
      <c r="BP171" s="563">
        <v>273028.31</v>
      </c>
      <c r="BQ171" s="563">
        <v>158882.16999999998</v>
      </c>
      <c r="BR171" s="563"/>
      <c r="BS171" s="563"/>
      <c r="BT171" s="563">
        <v>431910.48</v>
      </c>
      <c r="BW171" s="126">
        <v>567</v>
      </c>
      <c r="BX171" s="125">
        <v>23311</v>
      </c>
      <c r="BY171" s="19" t="s">
        <v>13</v>
      </c>
      <c r="BZ171" t="s">
        <v>863</v>
      </c>
    </row>
    <row r="172" spans="1:78" x14ac:dyDescent="0.3">
      <c r="A172" s="436">
        <v>23309</v>
      </c>
      <c r="B172" s="19" t="s">
        <v>13</v>
      </c>
      <c r="C172" t="s">
        <v>490</v>
      </c>
      <c r="D172" s="563"/>
      <c r="E172" s="120"/>
      <c r="F172" s="563">
        <v>361216.66000000003</v>
      </c>
      <c r="G172" s="120">
        <v>6.5510709293678147E-4</v>
      </c>
      <c r="H172" s="563">
        <v>1065092.49</v>
      </c>
      <c r="I172" s="120">
        <v>3.8983379317571809E-3</v>
      </c>
      <c r="J172" s="563">
        <v>0</v>
      </c>
      <c r="K172" s="120">
        <v>0</v>
      </c>
      <c r="L172" s="563">
        <v>506077.74</v>
      </c>
      <c r="M172" s="120">
        <v>3.5069500514013719E-3</v>
      </c>
      <c r="N172" s="563">
        <v>2596360.7400000002</v>
      </c>
      <c r="O172" s="120">
        <v>3.5153029742776708E-3</v>
      </c>
      <c r="P172" s="124">
        <v>4528747.63</v>
      </c>
      <c r="Q172" s="124"/>
      <c r="R172" s="563"/>
      <c r="S172" s="120"/>
      <c r="T172" s="373"/>
      <c r="U172" s="541">
        <v>863</v>
      </c>
      <c r="V172" s="540" t="s">
        <v>491</v>
      </c>
      <c r="W172" s="442" t="s">
        <v>13</v>
      </c>
      <c r="X172" s="552" t="s">
        <v>490</v>
      </c>
      <c r="Y172" s="563">
        <v>0</v>
      </c>
      <c r="Z172" s="563">
        <v>2513039.2599999998</v>
      </c>
      <c r="AA172" s="563">
        <v>1001749.4099999999</v>
      </c>
      <c r="AB172" s="563"/>
      <c r="AC172" s="563"/>
      <c r="AD172" s="563">
        <v>3514788.67</v>
      </c>
      <c r="AE172" s="124"/>
      <c r="AF172" s="541">
        <v>863</v>
      </c>
      <c r="AG172" s="540" t="s">
        <v>491</v>
      </c>
      <c r="AH172" s="442" t="s">
        <v>13</v>
      </c>
      <c r="AI172" s="552" t="s">
        <v>490</v>
      </c>
      <c r="AJ172" s="563">
        <v>0</v>
      </c>
      <c r="AK172" s="563">
        <v>2596360.7400000002</v>
      </c>
      <c r="AL172" s="563">
        <v>1065092.49</v>
      </c>
      <c r="AM172" s="563"/>
      <c r="AN172" s="563"/>
      <c r="AO172" s="563">
        <v>3661453.2300000004</v>
      </c>
      <c r="AR172" s="124">
        <f>+L172</f>
        <v>506077.74</v>
      </c>
      <c r="AS172" s="124">
        <f>+F172</f>
        <v>361216.66000000003</v>
      </c>
      <c r="AV172" s="372">
        <f t="shared" si="7"/>
        <v>867294.4</v>
      </c>
      <c r="AW172" s="124">
        <f>+AV172+AO172-P172</f>
        <v>0</v>
      </c>
      <c r="AZ172" s="563">
        <v>0</v>
      </c>
      <c r="BA172" s="563">
        <v>64424.89</v>
      </c>
      <c r="BB172" s="563">
        <v>27450</v>
      </c>
      <c r="BC172" s="563"/>
      <c r="BD172" s="563"/>
      <c r="BE172" s="563">
        <v>91874.89</v>
      </c>
      <c r="BF172" s="372"/>
      <c r="BO172" s="563">
        <v>0</v>
      </c>
      <c r="BP172" s="563">
        <v>5679902.6299999999</v>
      </c>
      <c r="BQ172" s="563">
        <v>2455508.56</v>
      </c>
      <c r="BR172" s="563"/>
      <c r="BS172" s="563"/>
      <c r="BT172" s="563">
        <v>8135411.1899999995</v>
      </c>
      <c r="BW172" s="126">
        <v>747</v>
      </c>
      <c r="BX172" s="125">
        <v>23402</v>
      </c>
      <c r="BY172" s="19" t="s">
        <v>13</v>
      </c>
      <c r="BZ172" t="s">
        <v>922</v>
      </c>
    </row>
    <row r="173" spans="1:78" x14ac:dyDescent="0.3">
      <c r="A173" s="436">
        <v>23311</v>
      </c>
      <c r="B173" s="19" t="s">
        <v>13</v>
      </c>
      <c r="C173" t="s">
        <v>288</v>
      </c>
      <c r="D173" s="563"/>
      <c r="E173" s="120"/>
      <c r="F173" s="563">
        <v>24746.17</v>
      </c>
      <c r="G173" s="120">
        <v>4.4879966195411332E-5</v>
      </c>
      <c r="H173" s="563">
        <v>73048.72</v>
      </c>
      <c r="I173" s="120">
        <v>2.673651337475015E-4</v>
      </c>
      <c r="J173" s="563"/>
      <c r="K173" s="120"/>
      <c r="L173" s="563">
        <v>34617.93</v>
      </c>
      <c r="M173" s="120">
        <v>2.3989071598547112E-4</v>
      </c>
      <c r="N173" s="563">
        <v>184586.86</v>
      </c>
      <c r="O173" s="120">
        <v>2.4991856022694899E-4</v>
      </c>
      <c r="P173" s="124">
        <v>316999.67999999999</v>
      </c>
      <c r="Q173" s="124"/>
      <c r="R173" s="563"/>
      <c r="S173" s="120"/>
      <c r="T173" s="373"/>
      <c r="U173" s="541">
        <v>567</v>
      </c>
      <c r="V173" s="540" t="s">
        <v>289</v>
      </c>
      <c r="W173" s="442" t="s">
        <v>13</v>
      </c>
      <c r="X173" s="552" t="s">
        <v>288</v>
      </c>
      <c r="Y173" s="563"/>
      <c r="Z173" s="563">
        <v>203873.12</v>
      </c>
      <c r="AA173" s="563">
        <v>69545.37</v>
      </c>
      <c r="AB173" s="563"/>
      <c r="AC173" s="563"/>
      <c r="AD173" s="563">
        <v>273418.49</v>
      </c>
      <c r="AE173" s="124"/>
      <c r="AF173" s="541">
        <v>567</v>
      </c>
      <c r="AG173" s="540" t="s">
        <v>289</v>
      </c>
      <c r="AH173" s="442" t="s">
        <v>13</v>
      </c>
      <c r="AI173" s="552" t="s">
        <v>288</v>
      </c>
      <c r="AJ173" s="563"/>
      <c r="AK173" s="563">
        <v>184586.86</v>
      </c>
      <c r="AL173" s="563">
        <v>73048.72</v>
      </c>
      <c r="AM173" s="563"/>
      <c r="AN173" s="563"/>
      <c r="AO173" s="563">
        <v>257635.58</v>
      </c>
      <c r="AR173" s="124">
        <f>+L173</f>
        <v>34617.93</v>
      </c>
      <c r="AS173" s="124">
        <f>+F173</f>
        <v>24746.17</v>
      </c>
      <c r="AV173" s="372">
        <f t="shared" si="7"/>
        <v>59364.1</v>
      </c>
      <c r="AW173" s="124">
        <f>+AV173+AO173-P173</f>
        <v>0</v>
      </c>
      <c r="AZ173" s="563"/>
      <c r="BA173" s="563">
        <v>4585.2299999999996</v>
      </c>
      <c r="BB173" s="563">
        <v>1882.51</v>
      </c>
      <c r="BC173" s="563"/>
      <c r="BD173" s="563"/>
      <c r="BE173" s="563">
        <v>6467.74</v>
      </c>
      <c r="BF173" s="372"/>
      <c r="BO173" s="563"/>
      <c r="BP173" s="563">
        <v>427663.14</v>
      </c>
      <c r="BQ173" s="563">
        <v>169222.77</v>
      </c>
      <c r="BR173" s="563"/>
      <c r="BS173" s="563"/>
      <c r="BT173" s="563">
        <v>596885.91</v>
      </c>
      <c r="BW173" s="126">
        <v>650</v>
      </c>
      <c r="BX173" s="125">
        <v>23403</v>
      </c>
      <c r="BY173" s="19" t="s">
        <v>52</v>
      </c>
      <c r="BZ173" t="s">
        <v>894</v>
      </c>
    </row>
    <row r="174" spans="1:78" x14ac:dyDescent="0.3">
      <c r="A174" s="436">
        <v>23402</v>
      </c>
      <c r="B174" s="19" t="s">
        <v>13</v>
      </c>
      <c r="C174" t="s">
        <v>416</v>
      </c>
      <c r="D174" s="563"/>
      <c r="E174" s="120"/>
      <c r="F174" s="563">
        <v>52605.259999999995</v>
      </c>
      <c r="G174" s="120">
        <v>9.5405563386205783E-5</v>
      </c>
      <c r="H174" s="563">
        <v>155464.95000000001</v>
      </c>
      <c r="I174" s="120">
        <v>5.6901622848146605E-4</v>
      </c>
      <c r="J174" s="563"/>
      <c r="K174" s="120"/>
      <c r="L174" s="563">
        <v>88760.14</v>
      </c>
      <c r="M174" s="120">
        <v>6.1507818450065197E-4</v>
      </c>
      <c r="N174" s="563">
        <v>455084.42</v>
      </c>
      <c r="O174" s="120">
        <v>6.1615460075606766E-4</v>
      </c>
      <c r="P174" s="124">
        <v>751914.77</v>
      </c>
      <c r="Q174" s="124"/>
      <c r="R174" s="563"/>
      <c r="S174" s="120"/>
      <c r="T174" s="373"/>
      <c r="U174" s="541">
        <v>747</v>
      </c>
      <c r="V174" s="540" t="s">
        <v>417</v>
      </c>
      <c r="W174" s="442" t="s">
        <v>13</v>
      </c>
      <c r="X174" s="552" t="s">
        <v>416</v>
      </c>
      <c r="Y174" s="563"/>
      <c r="Z174" s="563">
        <v>455328.19</v>
      </c>
      <c r="AA174" s="563">
        <v>145773.08000000002</v>
      </c>
      <c r="AB174" s="563"/>
      <c r="AC174" s="563"/>
      <c r="AD174" s="563">
        <v>601101.27</v>
      </c>
      <c r="AE174" s="124"/>
      <c r="AF174" s="541">
        <v>747</v>
      </c>
      <c r="AG174" s="540" t="s">
        <v>417</v>
      </c>
      <c r="AH174" s="442" t="s">
        <v>13</v>
      </c>
      <c r="AI174" s="552" t="s">
        <v>416</v>
      </c>
      <c r="AJ174" s="563"/>
      <c r="AK174" s="563">
        <v>455084.42</v>
      </c>
      <c r="AL174" s="563">
        <v>155464.95000000001</v>
      </c>
      <c r="AM174" s="563"/>
      <c r="AN174" s="563"/>
      <c r="AO174" s="563">
        <v>610549.37</v>
      </c>
      <c r="AR174" s="124">
        <f>+L174</f>
        <v>88760.14</v>
      </c>
      <c r="AS174" s="124">
        <f>+F174</f>
        <v>52605.259999999995</v>
      </c>
      <c r="AV174" s="372">
        <f t="shared" si="7"/>
        <v>141365.4</v>
      </c>
      <c r="AW174" s="124">
        <f>+AV174+AO174-P174</f>
        <v>0</v>
      </c>
      <c r="AZ174" s="563"/>
      <c r="BA174" s="563">
        <v>11292.29</v>
      </c>
      <c r="BB174" s="563">
        <v>4006.7</v>
      </c>
      <c r="BC174" s="563"/>
      <c r="BD174" s="563"/>
      <c r="BE174" s="563">
        <v>15298.990000000002</v>
      </c>
      <c r="BF174" s="372"/>
      <c r="BO174" s="563"/>
      <c r="BP174" s="563">
        <v>1010465.04</v>
      </c>
      <c r="BQ174" s="563">
        <v>357849.99</v>
      </c>
      <c r="BR174" s="563"/>
      <c r="BS174" s="563"/>
      <c r="BT174" s="563">
        <v>1368315.03</v>
      </c>
      <c r="BW174" s="126">
        <v>382</v>
      </c>
      <c r="BX174" s="125">
        <v>23404</v>
      </c>
      <c r="BY174" s="19" t="s">
        <v>13</v>
      </c>
      <c r="BZ174" t="s">
        <v>831</v>
      </c>
    </row>
    <row r="175" spans="1:78" x14ac:dyDescent="0.3">
      <c r="A175" s="436">
        <v>23403</v>
      </c>
      <c r="B175" s="19" t="s">
        <v>52</v>
      </c>
      <c r="C175" t="s">
        <v>350</v>
      </c>
      <c r="D175" s="563"/>
      <c r="E175" s="120"/>
      <c r="F175" s="563">
        <v>172772.96</v>
      </c>
      <c r="G175" s="120">
        <v>3.133432205582179E-4</v>
      </c>
      <c r="H175" s="563">
        <v>509101.61</v>
      </c>
      <c r="I175" s="120">
        <v>1.8633594133985968E-3</v>
      </c>
      <c r="J175" s="563">
        <v>8.26</v>
      </c>
      <c r="K175" s="120">
        <v>5.7239046761027924E-8</v>
      </c>
      <c r="L175" s="563">
        <v>256631.93</v>
      </c>
      <c r="M175" s="120">
        <v>1.7783737338550661E-3</v>
      </c>
      <c r="N175" s="563">
        <v>1317678.93</v>
      </c>
      <c r="O175" s="120">
        <v>1.7840512646836656E-3</v>
      </c>
      <c r="P175" s="124">
        <v>2256193.69</v>
      </c>
      <c r="Q175" s="124"/>
      <c r="R175" s="563"/>
      <c r="S175" s="120"/>
      <c r="T175" s="373"/>
      <c r="U175" s="541">
        <v>650</v>
      </c>
      <c r="V175" s="540" t="s">
        <v>351</v>
      </c>
      <c r="W175" s="442" t="s">
        <v>52</v>
      </c>
      <c r="X175" s="552" t="s">
        <v>350</v>
      </c>
      <c r="Y175" s="563">
        <v>5.22</v>
      </c>
      <c r="Z175" s="563">
        <v>1318319.3599999999</v>
      </c>
      <c r="AA175" s="563">
        <v>472618.75</v>
      </c>
      <c r="AB175" s="563"/>
      <c r="AC175" s="563"/>
      <c r="AD175" s="563">
        <v>1790943.3299999998</v>
      </c>
      <c r="AE175" s="124"/>
      <c r="AF175" s="541">
        <v>650</v>
      </c>
      <c r="AG175" s="540" t="s">
        <v>351</v>
      </c>
      <c r="AH175" s="442" t="s">
        <v>52</v>
      </c>
      <c r="AI175" s="552" t="s">
        <v>350</v>
      </c>
      <c r="AJ175" s="563">
        <v>8.26</v>
      </c>
      <c r="AK175" s="563">
        <v>1317678.93</v>
      </c>
      <c r="AL175" s="563">
        <v>509101.61</v>
      </c>
      <c r="AM175" s="563"/>
      <c r="AN175" s="563"/>
      <c r="AO175" s="563">
        <v>1826788.7999999998</v>
      </c>
      <c r="AR175" s="124">
        <f>+L175</f>
        <v>256631.93</v>
      </c>
      <c r="AS175" s="124">
        <f>+F175</f>
        <v>172772.96</v>
      </c>
      <c r="AV175" s="372">
        <f t="shared" si="7"/>
        <v>429404.89</v>
      </c>
      <c r="AW175" s="124">
        <f>+AV175+AO175-P175</f>
        <v>0</v>
      </c>
      <c r="AZ175" s="563">
        <v>0.17</v>
      </c>
      <c r="BA175" s="563">
        <v>32694.01</v>
      </c>
      <c r="BB175" s="563">
        <v>13121.05</v>
      </c>
      <c r="BC175" s="563"/>
      <c r="BD175" s="563"/>
      <c r="BE175" s="563">
        <v>45815.229999999996</v>
      </c>
      <c r="BF175" s="372"/>
      <c r="BO175" s="563">
        <v>13.65</v>
      </c>
      <c r="BP175" s="563">
        <v>2925324.23</v>
      </c>
      <c r="BQ175" s="563">
        <v>1167614.3700000001</v>
      </c>
      <c r="BR175" s="563"/>
      <c r="BS175" s="563"/>
      <c r="BT175" s="563">
        <v>4092952.25</v>
      </c>
      <c r="BW175" s="126">
        <v>637</v>
      </c>
      <c r="BX175" s="125">
        <v>24014</v>
      </c>
      <c r="BY175" s="19" t="s">
        <v>55</v>
      </c>
      <c r="BZ175" t="s">
        <v>886</v>
      </c>
    </row>
    <row r="176" spans="1:78" x14ac:dyDescent="0.3">
      <c r="A176" s="436">
        <v>23404</v>
      </c>
      <c r="B176" s="19" t="s">
        <v>13</v>
      </c>
      <c r="C176" t="s">
        <v>222</v>
      </c>
      <c r="D176" s="563"/>
      <c r="E176" s="120"/>
      <c r="F176" s="563">
        <v>36820.559999999998</v>
      </c>
      <c r="G176" s="120">
        <v>6.6778232271746084E-5</v>
      </c>
      <c r="H176" s="563">
        <v>108322.56</v>
      </c>
      <c r="I176" s="120">
        <v>3.9647068069463445E-4</v>
      </c>
      <c r="J176" s="563"/>
      <c r="K176" s="120"/>
      <c r="L176" s="563">
        <v>40971.51</v>
      </c>
      <c r="M176" s="120">
        <v>2.8391890759805371E-4</v>
      </c>
      <c r="N176" s="563">
        <v>210019.28</v>
      </c>
      <c r="O176" s="120">
        <v>2.8435239690138549E-4</v>
      </c>
      <c r="P176" s="124">
        <v>396133.91000000003</v>
      </c>
      <c r="Q176" s="124"/>
      <c r="R176" s="563"/>
      <c r="S176" s="120"/>
      <c r="T176" s="373"/>
      <c r="U176" s="541">
        <v>382</v>
      </c>
      <c r="V176" s="540" t="s">
        <v>223</v>
      </c>
      <c r="W176" s="442" t="s">
        <v>13</v>
      </c>
      <c r="X176" s="552" t="s">
        <v>222</v>
      </c>
      <c r="Y176" s="563"/>
      <c r="Z176" s="563">
        <v>215529.85</v>
      </c>
      <c r="AA176" s="563">
        <v>111471.12</v>
      </c>
      <c r="AB176" s="563"/>
      <c r="AC176" s="563"/>
      <c r="AD176" s="563">
        <v>327000.96999999997</v>
      </c>
      <c r="AE176" s="124"/>
      <c r="AF176" s="541">
        <v>382</v>
      </c>
      <c r="AG176" s="540" t="s">
        <v>223</v>
      </c>
      <c r="AH176" s="442" t="s">
        <v>13</v>
      </c>
      <c r="AI176" s="552" t="s">
        <v>222</v>
      </c>
      <c r="AJ176" s="563"/>
      <c r="AK176" s="563">
        <v>210019.28</v>
      </c>
      <c r="AL176" s="563">
        <v>108322.56</v>
      </c>
      <c r="AM176" s="563"/>
      <c r="AN176" s="563"/>
      <c r="AO176" s="563">
        <v>318341.83999999997</v>
      </c>
      <c r="AR176" s="124">
        <f>+L176</f>
        <v>40971.51</v>
      </c>
      <c r="AS176" s="124">
        <f>+F176</f>
        <v>36820.559999999998</v>
      </c>
      <c r="AV176" s="372">
        <f t="shared" si="7"/>
        <v>77792.070000000007</v>
      </c>
      <c r="AW176" s="124">
        <f>+AV176+AO176-P176</f>
        <v>0</v>
      </c>
      <c r="AZ176" s="563"/>
      <c r="BA176" s="563">
        <v>5211.2700000000004</v>
      </c>
      <c r="BB176" s="563">
        <v>2791.68</v>
      </c>
      <c r="BC176" s="563"/>
      <c r="BD176" s="563"/>
      <c r="BE176" s="563">
        <v>8002.9500000000007</v>
      </c>
      <c r="BF176" s="372"/>
      <c r="BO176" s="563"/>
      <c r="BP176" s="563">
        <v>471731.91000000003</v>
      </c>
      <c r="BQ176" s="563">
        <v>259405.91999999998</v>
      </c>
      <c r="BR176" s="563"/>
      <c r="BS176" s="563"/>
      <c r="BT176" s="563">
        <v>731137.83000000007</v>
      </c>
      <c r="BW176" s="126">
        <v>679</v>
      </c>
      <c r="BX176" s="125">
        <v>24019</v>
      </c>
      <c r="BY176" s="19" t="s">
        <v>55</v>
      </c>
      <c r="BZ176" t="s">
        <v>905</v>
      </c>
    </row>
    <row r="177" spans="1:78" x14ac:dyDescent="0.3">
      <c r="A177" s="436">
        <v>24014</v>
      </c>
      <c r="B177" s="19" t="s">
        <v>55</v>
      </c>
      <c r="C177" t="s">
        <v>334</v>
      </c>
      <c r="D177" s="563"/>
      <c r="E177" s="120"/>
      <c r="F177" s="563">
        <v>27810.799999999999</v>
      </c>
      <c r="G177" s="120">
        <v>5.0438017837400523E-5</v>
      </c>
      <c r="H177" s="563">
        <v>81114.33</v>
      </c>
      <c r="I177" s="120">
        <v>2.9688601921141089E-4</v>
      </c>
      <c r="J177" s="563"/>
      <c r="K177" s="120"/>
      <c r="L177" s="563">
        <v>22089.06</v>
      </c>
      <c r="M177" s="120">
        <v>1.5306982303234281E-4</v>
      </c>
      <c r="N177" s="563">
        <v>113547.20999999999</v>
      </c>
      <c r="O177" s="120">
        <v>1.5373551097292096E-4</v>
      </c>
      <c r="P177" s="124">
        <v>244561.4</v>
      </c>
      <c r="Q177" s="124"/>
      <c r="R177" s="563"/>
      <c r="S177" s="120"/>
      <c r="T177" s="373"/>
      <c r="U177" s="541">
        <v>637</v>
      </c>
      <c r="V177" s="540" t="s">
        <v>335</v>
      </c>
      <c r="W177" s="442" t="s">
        <v>55</v>
      </c>
      <c r="X177" s="552" t="s">
        <v>334</v>
      </c>
      <c r="Y177" s="563"/>
      <c r="Z177" s="563">
        <v>103911.07</v>
      </c>
      <c r="AA177" s="563">
        <v>77608.650000000009</v>
      </c>
      <c r="AB177" s="563"/>
      <c r="AC177" s="563"/>
      <c r="AD177" s="563">
        <v>181519.72000000003</v>
      </c>
      <c r="AE177" s="124"/>
      <c r="AF177" s="541">
        <v>637</v>
      </c>
      <c r="AG177" s="540" t="s">
        <v>335</v>
      </c>
      <c r="AH177" s="442" t="s">
        <v>55</v>
      </c>
      <c r="AI177" s="552" t="s">
        <v>334</v>
      </c>
      <c r="AJ177" s="563"/>
      <c r="AK177" s="563">
        <v>113547.20999999999</v>
      </c>
      <c r="AL177" s="563">
        <v>81114.33</v>
      </c>
      <c r="AM177" s="563"/>
      <c r="AN177" s="563"/>
      <c r="AO177" s="563">
        <v>194661.53999999998</v>
      </c>
      <c r="AR177" s="124">
        <f>+L177</f>
        <v>22089.06</v>
      </c>
      <c r="AS177" s="124">
        <f>+F177</f>
        <v>27810.799999999999</v>
      </c>
      <c r="AV177" s="372">
        <f t="shared" si="7"/>
        <v>49899.86</v>
      </c>
      <c r="AW177" s="124">
        <f>+AV177+AO177-P177</f>
        <v>0</v>
      </c>
      <c r="AZ177" s="563"/>
      <c r="BA177" s="563">
        <v>2816.92</v>
      </c>
      <c r="BB177" s="563">
        <v>2090.31</v>
      </c>
      <c r="BC177" s="563"/>
      <c r="BD177" s="563"/>
      <c r="BE177" s="563">
        <v>4907.2299999999996</v>
      </c>
      <c r="BF177" s="372"/>
      <c r="BO177" s="563"/>
      <c r="BP177" s="563">
        <v>242364.25999999998</v>
      </c>
      <c r="BQ177" s="563">
        <v>188624.09</v>
      </c>
      <c r="BR177" s="563"/>
      <c r="BS177" s="563"/>
      <c r="BT177" s="563">
        <v>430988.35</v>
      </c>
      <c r="BW177" s="126">
        <v>670</v>
      </c>
      <c r="BX177" s="125">
        <v>24105</v>
      </c>
      <c r="BY177" s="19" t="s">
        <v>55</v>
      </c>
      <c r="BZ177" t="s">
        <v>903</v>
      </c>
    </row>
    <row r="178" spans="1:78" x14ac:dyDescent="0.3">
      <c r="A178" s="436">
        <v>24019</v>
      </c>
      <c r="B178" s="19" t="s">
        <v>55</v>
      </c>
      <c r="C178" t="s">
        <v>382</v>
      </c>
      <c r="D178" s="563"/>
      <c r="E178" s="120"/>
      <c r="F178" s="563">
        <v>193235.51</v>
      </c>
      <c r="G178" s="120">
        <v>3.504543594646392E-4</v>
      </c>
      <c r="H178" s="563">
        <v>563443.84000000008</v>
      </c>
      <c r="I178" s="120">
        <v>2.0622570476362331E-3</v>
      </c>
      <c r="J178" s="563">
        <v>20298.98</v>
      </c>
      <c r="K178" s="120">
        <v>1.4066516530522648E-4</v>
      </c>
      <c r="L178" s="563">
        <v>468195.44000000006</v>
      </c>
      <c r="M178" s="120">
        <v>3.2444383394019428E-3</v>
      </c>
      <c r="N178" s="563">
        <v>2403309.2599999998</v>
      </c>
      <c r="O178" s="120">
        <v>3.2539238710669561E-3</v>
      </c>
      <c r="P178" s="124">
        <v>3648483.03</v>
      </c>
      <c r="Q178" s="124"/>
      <c r="R178" s="563"/>
      <c r="S178" s="120"/>
      <c r="T178" s="373"/>
      <c r="U178" s="541">
        <v>679</v>
      </c>
      <c r="V178" s="540" t="s">
        <v>383</v>
      </c>
      <c r="W178" s="442" t="s">
        <v>55</v>
      </c>
      <c r="X178" s="552" t="s">
        <v>382</v>
      </c>
      <c r="Y178" s="563">
        <v>12646.12</v>
      </c>
      <c r="Z178" s="563">
        <v>2349854.7999999998</v>
      </c>
      <c r="AA178" s="563">
        <v>533951.86</v>
      </c>
      <c r="AB178" s="563"/>
      <c r="AC178" s="563"/>
      <c r="AD178" s="563">
        <v>2896452.78</v>
      </c>
      <c r="AE178" s="124"/>
      <c r="AF178" s="541">
        <v>679</v>
      </c>
      <c r="AG178" s="540" t="s">
        <v>383</v>
      </c>
      <c r="AH178" s="442" t="s">
        <v>55</v>
      </c>
      <c r="AI178" s="552" t="s">
        <v>382</v>
      </c>
      <c r="AJ178" s="563">
        <v>20298.98</v>
      </c>
      <c r="AK178" s="563">
        <v>2403309.2599999998</v>
      </c>
      <c r="AL178" s="563">
        <v>563443.84000000008</v>
      </c>
      <c r="AM178" s="563"/>
      <c r="AN178" s="563"/>
      <c r="AO178" s="563">
        <v>2987052.08</v>
      </c>
      <c r="AR178" s="124">
        <f>+L178</f>
        <v>468195.44000000006</v>
      </c>
      <c r="AS178" s="124">
        <f>+F178</f>
        <v>193235.51</v>
      </c>
      <c r="AV178" s="372">
        <f t="shared" si="7"/>
        <v>661430.95000000007</v>
      </c>
      <c r="AW178" s="124">
        <f>+AV178+AO178-P178</f>
        <v>0</v>
      </c>
      <c r="AZ178" s="563">
        <v>421.36</v>
      </c>
      <c r="BA178" s="563">
        <v>59625.91</v>
      </c>
      <c r="BB178" s="563">
        <v>14524.27</v>
      </c>
      <c r="BC178" s="563"/>
      <c r="BD178" s="563"/>
      <c r="BE178" s="563">
        <v>74571.540000000008</v>
      </c>
      <c r="BF178" s="372"/>
      <c r="BO178" s="563">
        <v>33366.46</v>
      </c>
      <c r="BP178" s="563">
        <v>5280985.41</v>
      </c>
      <c r="BQ178" s="563">
        <v>1305155.48</v>
      </c>
      <c r="BR178" s="563"/>
      <c r="BS178" s="563"/>
      <c r="BT178" s="563">
        <v>6619507.3499999996</v>
      </c>
      <c r="BW178" s="126">
        <v>84</v>
      </c>
      <c r="BX178" s="125">
        <v>24111</v>
      </c>
      <c r="BY178" s="19" t="s">
        <v>55</v>
      </c>
      <c r="BZ178" t="s">
        <v>748</v>
      </c>
    </row>
    <row r="179" spans="1:78" x14ac:dyDescent="0.3">
      <c r="A179" s="436">
        <v>24105</v>
      </c>
      <c r="B179" s="19" t="s">
        <v>55</v>
      </c>
      <c r="C179" t="s">
        <v>376</v>
      </c>
      <c r="D179" s="563"/>
      <c r="E179" s="120"/>
      <c r="F179" s="563">
        <v>99820.200000000012</v>
      </c>
      <c r="G179" s="120">
        <v>1.8103517439746028E-4</v>
      </c>
      <c r="H179" s="563">
        <v>295206.43000000005</v>
      </c>
      <c r="I179" s="120">
        <v>1.080483089095503E-3</v>
      </c>
      <c r="J179" s="563">
        <v>0</v>
      </c>
      <c r="K179" s="120">
        <v>0</v>
      </c>
      <c r="L179" s="563">
        <v>121947.31</v>
      </c>
      <c r="M179" s="120">
        <v>8.4505421058977829E-4</v>
      </c>
      <c r="N179" s="563">
        <v>620193.99</v>
      </c>
      <c r="O179" s="120">
        <v>8.3970218162986697E-4</v>
      </c>
      <c r="P179" s="124">
        <v>1137167.9300000002</v>
      </c>
      <c r="Q179" s="124"/>
      <c r="R179" s="563"/>
      <c r="S179" s="120"/>
      <c r="T179" s="373"/>
      <c r="U179" s="541">
        <v>670</v>
      </c>
      <c r="V179" s="540" t="s">
        <v>377</v>
      </c>
      <c r="W179" s="442" t="s">
        <v>55</v>
      </c>
      <c r="X179" s="552" t="s">
        <v>376</v>
      </c>
      <c r="Y179" s="563">
        <v>0</v>
      </c>
      <c r="Z179" s="563">
        <v>586325.92999999993</v>
      </c>
      <c r="AA179" s="563">
        <v>276816.81999999995</v>
      </c>
      <c r="AB179" s="563"/>
      <c r="AC179" s="563"/>
      <c r="AD179" s="563">
        <v>863142.74999999988</v>
      </c>
      <c r="AE179" s="124"/>
      <c r="AF179" s="541">
        <v>670</v>
      </c>
      <c r="AG179" s="540" t="s">
        <v>377</v>
      </c>
      <c r="AH179" s="442" t="s">
        <v>55</v>
      </c>
      <c r="AI179" s="552" t="s">
        <v>376</v>
      </c>
      <c r="AJ179" s="563">
        <v>0</v>
      </c>
      <c r="AK179" s="563">
        <v>620193.99</v>
      </c>
      <c r="AL179" s="563">
        <v>295206.43000000005</v>
      </c>
      <c r="AM179" s="563"/>
      <c r="AN179" s="563"/>
      <c r="AO179" s="563">
        <v>915400.42</v>
      </c>
      <c r="AR179" s="124">
        <f>+L179</f>
        <v>121947.31</v>
      </c>
      <c r="AS179" s="124">
        <f>+F179</f>
        <v>99820.200000000012</v>
      </c>
      <c r="AV179" s="372">
        <f t="shared" si="7"/>
        <v>221767.51</v>
      </c>
      <c r="AW179" s="124">
        <f>+AV179+AO179-P179</f>
        <v>0</v>
      </c>
      <c r="AZ179" s="563">
        <v>0</v>
      </c>
      <c r="BA179" s="563">
        <v>15384.26</v>
      </c>
      <c r="BB179" s="563">
        <v>7608.0599999999995</v>
      </c>
      <c r="BC179" s="563"/>
      <c r="BD179" s="563"/>
      <c r="BE179" s="563">
        <v>22992.32</v>
      </c>
      <c r="BF179" s="372"/>
      <c r="BO179" s="563">
        <v>0</v>
      </c>
      <c r="BP179" s="563">
        <v>1343851.49</v>
      </c>
      <c r="BQ179" s="563">
        <v>679451.51</v>
      </c>
      <c r="BR179" s="563"/>
      <c r="BS179" s="563"/>
      <c r="BT179" s="563">
        <v>2023303</v>
      </c>
      <c r="BW179" s="126">
        <v>710</v>
      </c>
      <c r="BX179" s="125">
        <v>24122</v>
      </c>
      <c r="BY179" s="19" t="s">
        <v>55</v>
      </c>
      <c r="BZ179" t="s">
        <v>918</v>
      </c>
    </row>
    <row r="180" spans="1:78" x14ac:dyDescent="0.3">
      <c r="A180" s="436">
        <v>24111</v>
      </c>
      <c r="B180" s="19" t="s">
        <v>55</v>
      </c>
      <c r="C180" t="s">
        <v>53</v>
      </c>
      <c r="D180" s="563"/>
      <c r="E180" s="120"/>
      <c r="F180" s="563">
        <v>82869.13</v>
      </c>
      <c r="G180" s="120">
        <v>1.5029249993203585E-4</v>
      </c>
      <c r="H180" s="563">
        <v>244499.49</v>
      </c>
      <c r="I180" s="120">
        <v>8.9489095558479192E-4</v>
      </c>
      <c r="J180" s="563">
        <v>0</v>
      </c>
      <c r="K180" s="120">
        <v>0</v>
      </c>
      <c r="L180" s="563">
        <v>98699.82</v>
      </c>
      <c r="M180" s="120">
        <v>6.8395685378753502E-4</v>
      </c>
      <c r="N180" s="563">
        <v>506992.84</v>
      </c>
      <c r="O180" s="120">
        <v>6.8643521330918108E-4</v>
      </c>
      <c r="P180" s="124">
        <v>933061.28</v>
      </c>
      <c r="Q180" s="124"/>
      <c r="R180" s="563"/>
      <c r="S180" s="120"/>
      <c r="T180" s="373"/>
      <c r="U180" s="541">
        <v>84</v>
      </c>
      <c r="V180" s="540" t="s">
        <v>54</v>
      </c>
      <c r="W180" s="442" t="s">
        <v>55</v>
      </c>
      <c r="X180" s="552" t="s">
        <v>53</v>
      </c>
      <c r="Y180" s="563">
        <v>0</v>
      </c>
      <c r="Z180" s="563">
        <v>496523.7</v>
      </c>
      <c r="AA180" s="563">
        <v>211954.91999999998</v>
      </c>
      <c r="AB180" s="563"/>
      <c r="AC180" s="563"/>
      <c r="AD180" s="563">
        <v>708478.62</v>
      </c>
      <c r="AE180" s="124"/>
      <c r="AF180" s="541">
        <v>84</v>
      </c>
      <c r="AG180" s="540" t="s">
        <v>54</v>
      </c>
      <c r="AH180" s="442" t="s">
        <v>55</v>
      </c>
      <c r="AI180" s="552" t="s">
        <v>53</v>
      </c>
      <c r="AJ180" s="563">
        <v>0</v>
      </c>
      <c r="AK180" s="563">
        <v>506992.84</v>
      </c>
      <c r="AL180" s="563">
        <v>244499.49</v>
      </c>
      <c r="AM180" s="563"/>
      <c r="AN180" s="563"/>
      <c r="AO180" s="563">
        <v>751492.33000000007</v>
      </c>
      <c r="AR180" s="124">
        <f>+L180</f>
        <v>98699.82</v>
      </c>
      <c r="AS180" s="124">
        <f>+F180</f>
        <v>82869.13</v>
      </c>
      <c r="AV180" s="372">
        <f t="shared" si="7"/>
        <v>181568.95</v>
      </c>
      <c r="AW180" s="124">
        <f>+AV180+AO180-P180</f>
        <v>0</v>
      </c>
      <c r="AZ180" s="563">
        <v>0</v>
      </c>
      <c r="BA180" s="563">
        <v>12580.3</v>
      </c>
      <c r="BB180" s="563">
        <v>6299.25</v>
      </c>
      <c r="BC180" s="563"/>
      <c r="BD180" s="563"/>
      <c r="BE180" s="563">
        <v>18879.55</v>
      </c>
      <c r="BF180" s="372"/>
      <c r="BO180" s="563">
        <v>0</v>
      </c>
      <c r="BP180" s="563">
        <v>1114796.6599999999</v>
      </c>
      <c r="BQ180" s="563">
        <v>545622.79</v>
      </c>
      <c r="BR180" s="563"/>
      <c r="BS180" s="563"/>
      <c r="BT180" s="563">
        <v>1660419.45</v>
      </c>
      <c r="BW180" s="126">
        <v>588</v>
      </c>
      <c r="BX180" s="125">
        <v>24350</v>
      </c>
      <c r="BY180" s="19" t="s">
        <v>55</v>
      </c>
      <c r="BZ180" t="s">
        <v>871</v>
      </c>
    </row>
    <row r="181" spans="1:78" x14ac:dyDescent="0.3">
      <c r="A181" s="436">
        <v>24122</v>
      </c>
      <c r="B181" s="19" t="s">
        <v>55</v>
      </c>
      <c r="C181" t="s">
        <v>408</v>
      </c>
      <c r="D181" s="563"/>
      <c r="E181" s="120"/>
      <c r="F181" s="563">
        <v>23607.38</v>
      </c>
      <c r="G181" s="120">
        <v>4.2814642280491474E-5</v>
      </c>
      <c r="H181" s="563">
        <v>69283.570000000007</v>
      </c>
      <c r="I181" s="120">
        <v>2.5358433329912398E-4</v>
      </c>
      <c r="J181" s="563"/>
      <c r="K181" s="120"/>
      <c r="L181" s="563">
        <v>34003.35</v>
      </c>
      <c r="M181" s="120">
        <v>2.3563188143845023E-4</v>
      </c>
      <c r="N181" s="563">
        <v>175679.99</v>
      </c>
      <c r="O181" s="120">
        <v>2.3785923960938931E-4</v>
      </c>
      <c r="P181" s="124">
        <v>302574.29000000004</v>
      </c>
      <c r="Q181" s="124"/>
      <c r="R181" s="563"/>
      <c r="S181" s="120"/>
      <c r="T181" s="373"/>
      <c r="U181" s="541">
        <v>710</v>
      </c>
      <c r="V181" s="540" t="s">
        <v>409</v>
      </c>
      <c r="W181" s="442" t="s">
        <v>55</v>
      </c>
      <c r="X181" s="552" t="s">
        <v>408</v>
      </c>
      <c r="Y181" s="563"/>
      <c r="Z181" s="563">
        <v>164802.76</v>
      </c>
      <c r="AA181" s="563">
        <v>60582.240000000005</v>
      </c>
      <c r="AB181" s="563"/>
      <c r="AC181" s="563"/>
      <c r="AD181" s="563">
        <v>225385</v>
      </c>
      <c r="AE181" s="124"/>
      <c r="AF181" s="541">
        <v>710</v>
      </c>
      <c r="AG181" s="540" t="s">
        <v>409</v>
      </c>
      <c r="AH181" s="442" t="s">
        <v>55</v>
      </c>
      <c r="AI181" s="552" t="s">
        <v>408</v>
      </c>
      <c r="AJ181" s="563"/>
      <c r="AK181" s="563">
        <v>175679.99</v>
      </c>
      <c r="AL181" s="563">
        <v>69283.570000000007</v>
      </c>
      <c r="AM181" s="563"/>
      <c r="AN181" s="563"/>
      <c r="AO181" s="563">
        <v>244963.56</v>
      </c>
      <c r="AR181" s="124">
        <f>+L181</f>
        <v>34003.35</v>
      </c>
      <c r="AS181" s="124">
        <f>+F181</f>
        <v>23607.38</v>
      </c>
      <c r="AV181" s="372">
        <f t="shared" si="7"/>
        <v>57610.729999999996</v>
      </c>
      <c r="AW181" s="124">
        <f>+AV181+AO181-P181</f>
        <v>0</v>
      </c>
      <c r="AZ181" s="563"/>
      <c r="BA181" s="563">
        <v>4359.12</v>
      </c>
      <c r="BB181" s="563">
        <v>1785.54</v>
      </c>
      <c r="BC181" s="563"/>
      <c r="BD181" s="563"/>
      <c r="BE181" s="563">
        <v>6144.66</v>
      </c>
      <c r="BF181" s="372"/>
      <c r="BO181" s="563"/>
      <c r="BP181" s="563">
        <v>378845.22</v>
      </c>
      <c r="BQ181" s="563">
        <v>155258.72999999998</v>
      </c>
      <c r="BR181" s="563"/>
      <c r="BS181" s="563"/>
      <c r="BT181" s="563">
        <v>534103.94999999995</v>
      </c>
      <c r="BW181" s="126">
        <v>989</v>
      </c>
      <c r="BX181" s="125">
        <v>24404</v>
      </c>
      <c r="BY181" s="19" t="s">
        <v>55</v>
      </c>
      <c r="BZ181" t="s">
        <v>986</v>
      </c>
    </row>
    <row r="182" spans="1:78" x14ac:dyDescent="0.3">
      <c r="A182" s="436">
        <v>24350</v>
      </c>
      <c r="B182" s="19" t="s">
        <v>55</v>
      </c>
      <c r="C182" t="s">
        <v>304</v>
      </c>
      <c r="D182" s="563"/>
      <c r="E182" s="120"/>
      <c r="F182" s="563">
        <v>71508.600000000006</v>
      </c>
      <c r="G182" s="120">
        <v>1.2968889936023197E-4</v>
      </c>
      <c r="H182" s="563">
        <v>209237.53</v>
      </c>
      <c r="I182" s="120">
        <v>7.6582889054656756E-4</v>
      </c>
      <c r="J182" s="563"/>
      <c r="K182" s="120"/>
      <c r="L182" s="563">
        <v>87778.16</v>
      </c>
      <c r="M182" s="120">
        <v>6.0827339041610059E-4</v>
      </c>
      <c r="N182" s="563">
        <v>446389.22</v>
      </c>
      <c r="O182" s="120">
        <v>6.0438186750254481E-4</v>
      </c>
      <c r="P182" s="124">
        <v>814913.51</v>
      </c>
      <c r="Q182" s="124"/>
      <c r="R182" s="563"/>
      <c r="S182" s="120"/>
      <c r="T182" s="373"/>
      <c r="U182" s="541">
        <v>588</v>
      </c>
      <c r="V182" s="540" t="s">
        <v>305</v>
      </c>
      <c r="W182" s="442" t="s">
        <v>55</v>
      </c>
      <c r="X182" s="552" t="s">
        <v>304</v>
      </c>
      <c r="Y182" s="563"/>
      <c r="Z182" s="563">
        <v>475343.91</v>
      </c>
      <c r="AA182" s="563">
        <v>201986.21</v>
      </c>
      <c r="AB182" s="563"/>
      <c r="AC182" s="563"/>
      <c r="AD182" s="563">
        <v>677330.12</v>
      </c>
      <c r="AE182" s="124"/>
      <c r="AF182" s="541">
        <v>588</v>
      </c>
      <c r="AG182" s="540" t="s">
        <v>305</v>
      </c>
      <c r="AH182" s="442" t="s">
        <v>55</v>
      </c>
      <c r="AI182" s="552" t="s">
        <v>304</v>
      </c>
      <c r="AJ182" s="563"/>
      <c r="AK182" s="563">
        <v>446389.22</v>
      </c>
      <c r="AL182" s="563">
        <v>209237.53</v>
      </c>
      <c r="AM182" s="563"/>
      <c r="AN182" s="563"/>
      <c r="AO182" s="563">
        <v>655626.75</v>
      </c>
      <c r="AR182" s="124">
        <f>+L182</f>
        <v>87778.16</v>
      </c>
      <c r="AS182" s="124">
        <f>+F182</f>
        <v>71508.600000000006</v>
      </c>
      <c r="AV182" s="372">
        <f t="shared" si="7"/>
        <v>159286.76</v>
      </c>
      <c r="AW182" s="124">
        <f>+AV182+AO182-P182</f>
        <v>0</v>
      </c>
      <c r="AZ182" s="563"/>
      <c r="BA182" s="563">
        <v>11070.13</v>
      </c>
      <c r="BB182" s="563">
        <v>5392.1399999999994</v>
      </c>
      <c r="BC182" s="563"/>
      <c r="BD182" s="563"/>
      <c r="BE182" s="563">
        <v>16462.269999999997</v>
      </c>
      <c r="BF182" s="372"/>
      <c r="BO182" s="563"/>
      <c r="BP182" s="563">
        <v>1020581.42</v>
      </c>
      <c r="BQ182" s="563">
        <v>488124.48</v>
      </c>
      <c r="BR182" s="563"/>
      <c r="BS182" s="563"/>
      <c r="BT182" s="563">
        <v>1508705.9</v>
      </c>
      <c r="BW182" s="126">
        <v>687</v>
      </c>
      <c r="BX182" s="125">
        <v>24410</v>
      </c>
      <c r="BY182" s="19" t="s">
        <v>55</v>
      </c>
      <c r="BZ182" t="s">
        <v>912</v>
      </c>
    </row>
    <row r="183" spans="1:78" x14ac:dyDescent="0.3">
      <c r="A183" s="436">
        <v>24404</v>
      </c>
      <c r="B183" s="19" t="s">
        <v>55</v>
      </c>
      <c r="C183" t="s">
        <v>552</v>
      </c>
      <c r="D183" s="563"/>
      <c r="E183" s="120"/>
      <c r="F183" s="563">
        <v>88722.84</v>
      </c>
      <c r="G183" s="120">
        <v>1.609088622587208E-4</v>
      </c>
      <c r="H183" s="563">
        <v>258895.22</v>
      </c>
      <c r="I183" s="120">
        <v>9.4758067111769826E-4</v>
      </c>
      <c r="J183" s="563"/>
      <c r="K183" s="120"/>
      <c r="L183" s="563">
        <v>117419.29000000001</v>
      </c>
      <c r="M183" s="120">
        <v>8.1367654127805075E-4</v>
      </c>
      <c r="N183" s="563">
        <v>608630.78</v>
      </c>
      <c r="O183" s="120">
        <v>8.2404635003491028E-4</v>
      </c>
      <c r="P183" s="124">
        <v>1073668.1299999999</v>
      </c>
      <c r="Q183" s="124"/>
      <c r="R183" s="563"/>
      <c r="S183" s="120"/>
      <c r="T183" s="373"/>
      <c r="U183" s="541">
        <v>989</v>
      </c>
      <c r="V183" s="540" t="s">
        <v>553</v>
      </c>
      <c r="W183" s="442" t="s">
        <v>55</v>
      </c>
      <c r="X183" s="552" t="s">
        <v>552</v>
      </c>
      <c r="Y183" s="563"/>
      <c r="Z183" s="563">
        <v>563225.61</v>
      </c>
      <c r="AA183" s="563">
        <v>227044.03</v>
      </c>
      <c r="AB183" s="563"/>
      <c r="AC183" s="563"/>
      <c r="AD183" s="563">
        <v>790269.64</v>
      </c>
      <c r="AE183" s="124"/>
      <c r="AF183" s="541">
        <v>989</v>
      </c>
      <c r="AG183" s="540" t="s">
        <v>553</v>
      </c>
      <c r="AH183" s="442" t="s">
        <v>55</v>
      </c>
      <c r="AI183" s="552" t="s">
        <v>552</v>
      </c>
      <c r="AJ183" s="563"/>
      <c r="AK183" s="563">
        <v>608630.78</v>
      </c>
      <c r="AL183" s="563">
        <v>258895.22</v>
      </c>
      <c r="AM183" s="563"/>
      <c r="AN183" s="563"/>
      <c r="AO183" s="563">
        <v>867526</v>
      </c>
      <c r="AR183" s="124">
        <f>+L183</f>
        <v>117419.29000000001</v>
      </c>
      <c r="AS183" s="124">
        <f>+F183</f>
        <v>88722.84</v>
      </c>
      <c r="AV183" s="372">
        <f t="shared" si="7"/>
        <v>206142.13</v>
      </c>
      <c r="AW183" s="124">
        <f>+AV183+AO183-P183</f>
        <v>0</v>
      </c>
      <c r="AZ183" s="563"/>
      <c r="BA183" s="563">
        <v>15101.900000000001</v>
      </c>
      <c r="BB183" s="563">
        <v>6672.41</v>
      </c>
      <c r="BC183" s="563"/>
      <c r="BD183" s="563"/>
      <c r="BE183" s="563">
        <v>21774.31</v>
      </c>
      <c r="BF183" s="372"/>
      <c r="BO183" s="563"/>
      <c r="BP183" s="563">
        <v>1304377.58</v>
      </c>
      <c r="BQ183" s="563">
        <v>581334.5</v>
      </c>
      <c r="BR183" s="563"/>
      <c r="BS183" s="563"/>
      <c r="BT183" s="563">
        <v>1885712.08</v>
      </c>
      <c r="BW183" s="126">
        <v>661</v>
      </c>
      <c r="BX183" s="125">
        <v>25101</v>
      </c>
      <c r="BY183" s="19" t="s">
        <v>34</v>
      </c>
      <c r="BZ183" t="s">
        <v>900</v>
      </c>
    </row>
    <row r="184" spans="1:78" x14ac:dyDescent="0.3">
      <c r="A184" s="436">
        <v>24410</v>
      </c>
      <c r="B184" s="19" t="s">
        <v>55</v>
      </c>
      <c r="C184" t="s">
        <v>396</v>
      </c>
      <c r="D184" s="563"/>
      <c r="E184" s="120"/>
      <c r="F184" s="563">
        <v>38206.35</v>
      </c>
      <c r="G184" s="120">
        <v>6.9291518503673656E-5</v>
      </c>
      <c r="H184" s="563">
        <v>112941.04</v>
      </c>
      <c r="I184" s="120">
        <v>4.1337474859493657E-4</v>
      </c>
      <c r="J184" s="563"/>
      <c r="K184" s="120"/>
      <c r="L184" s="563">
        <v>61905.11</v>
      </c>
      <c r="M184" s="120">
        <v>4.2898177797052995E-4</v>
      </c>
      <c r="N184" s="563">
        <v>317707.31</v>
      </c>
      <c r="O184" s="120">
        <v>4.3015496059024442E-4</v>
      </c>
      <c r="P184" s="124">
        <v>530759.81000000006</v>
      </c>
      <c r="Q184" s="124"/>
      <c r="R184" s="563"/>
      <c r="S184" s="120"/>
      <c r="T184" s="373"/>
      <c r="U184" s="541">
        <v>687</v>
      </c>
      <c r="V184" s="540" t="s">
        <v>397</v>
      </c>
      <c r="W184" s="442" t="s">
        <v>55</v>
      </c>
      <c r="X184" s="552" t="s">
        <v>396</v>
      </c>
      <c r="Y184" s="563"/>
      <c r="Z184" s="563">
        <v>294678.76</v>
      </c>
      <c r="AA184" s="563">
        <v>110323.18</v>
      </c>
      <c r="AB184" s="563"/>
      <c r="AC184" s="563"/>
      <c r="AD184" s="563">
        <v>405001.94</v>
      </c>
      <c r="AE184" s="124"/>
      <c r="AF184" s="541">
        <v>687</v>
      </c>
      <c r="AG184" s="540" t="s">
        <v>397</v>
      </c>
      <c r="AH184" s="442" t="s">
        <v>55</v>
      </c>
      <c r="AI184" s="552" t="s">
        <v>396</v>
      </c>
      <c r="AJ184" s="563"/>
      <c r="AK184" s="563">
        <v>317707.31</v>
      </c>
      <c r="AL184" s="563">
        <v>112941.04</v>
      </c>
      <c r="AM184" s="563"/>
      <c r="AN184" s="563"/>
      <c r="AO184" s="563">
        <v>430648.35</v>
      </c>
      <c r="AR184" s="124">
        <f>+L184</f>
        <v>61905.11</v>
      </c>
      <c r="AS184" s="124">
        <f>+F184</f>
        <v>38206.35</v>
      </c>
      <c r="AV184" s="372">
        <f t="shared" si="7"/>
        <v>100111.45999999999</v>
      </c>
      <c r="AW184" s="124">
        <f>+AV184+AO184-P184</f>
        <v>0</v>
      </c>
      <c r="AZ184" s="563"/>
      <c r="BA184" s="563">
        <v>7883.25</v>
      </c>
      <c r="BB184" s="563">
        <v>2910.73</v>
      </c>
      <c r="BC184" s="563"/>
      <c r="BD184" s="563"/>
      <c r="BE184" s="563">
        <v>10793.98</v>
      </c>
      <c r="BF184" s="372"/>
      <c r="BO184" s="563"/>
      <c r="BP184" s="563">
        <v>682174.43</v>
      </c>
      <c r="BQ184" s="563">
        <v>264381.30000000005</v>
      </c>
      <c r="BR184" s="563"/>
      <c r="BS184" s="563"/>
      <c r="BT184" s="563">
        <v>946555.7300000001</v>
      </c>
      <c r="BW184" s="126">
        <v>797</v>
      </c>
      <c r="BX184" s="125">
        <v>25116</v>
      </c>
      <c r="BY184" s="19" t="s">
        <v>13</v>
      </c>
      <c r="BZ184" t="s">
        <v>936</v>
      </c>
    </row>
    <row r="185" spans="1:78" x14ac:dyDescent="0.3">
      <c r="A185" s="436">
        <v>25101</v>
      </c>
      <c r="B185" s="19" t="s">
        <v>34</v>
      </c>
      <c r="C185" t="s">
        <v>370</v>
      </c>
      <c r="D185" s="563">
        <v>397.37</v>
      </c>
      <c r="E185" s="120">
        <v>7.2067524659656841E-7</v>
      </c>
      <c r="F185" s="563">
        <v>76375.53</v>
      </c>
      <c r="G185" s="120">
        <v>1.3851562502628181E-4</v>
      </c>
      <c r="H185" s="563">
        <v>225944.16999999998</v>
      </c>
      <c r="I185" s="120">
        <v>8.2697675238550675E-4</v>
      </c>
      <c r="J185" s="563"/>
      <c r="K185" s="120"/>
      <c r="L185" s="563">
        <v>90911.790000000008</v>
      </c>
      <c r="M185" s="120">
        <v>6.2998840180856553E-4</v>
      </c>
      <c r="N185" s="563">
        <v>466445.51</v>
      </c>
      <c r="O185" s="120">
        <v>6.315367750636473E-4</v>
      </c>
      <c r="P185" s="124">
        <v>860074.37</v>
      </c>
      <c r="Q185" s="124"/>
      <c r="R185" s="563"/>
      <c r="S185" s="120"/>
      <c r="T185" s="373"/>
      <c r="U185" s="541">
        <v>661</v>
      </c>
      <c r="V185" s="540" t="s">
        <v>371</v>
      </c>
      <c r="W185" s="442" t="s">
        <v>34</v>
      </c>
      <c r="X185" s="552" t="s">
        <v>370</v>
      </c>
      <c r="Y185" s="563"/>
      <c r="Z185" s="563">
        <v>438518.48</v>
      </c>
      <c r="AA185" s="563">
        <v>215600.61</v>
      </c>
      <c r="AB185" s="563">
        <v>255.52</v>
      </c>
      <c r="AC185" s="563"/>
      <c r="AD185" s="563">
        <v>654374.61</v>
      </c>
      <c r="AE185" s="124"/>
      <c r="AF185" s="541">
        <v>661</v>
      </c>
      <c r="AG185" s="540" t="s">
        <v>371</v>
      </c>
      <c r="AH185" s="442" t="s">
        <v>34</v>
      </c>
      <c r="AI185" s="552" t="s">
        <v>370</v>
      </c>
      <c r="AJ185" s="563"/>
      <c r="AK185" s="563">
        <v>466445.51</v>
      </c>
      <c r="AL185" s="563">
        <v>225944.16999999998</v>
      </c>
      <c r="AM185" s="563">
        <v>397.37</v>
      </c>
      <c r="AN185" s="563"/>
      <c r="AO185" s="563">
        <v>692787.05</v>
      </c>
      <c r="AR185" s="124">
        <f>+L185</f>
        <v>90911.790000000008</v>
      </c>
      <c r="AS185" s="124">
        <f>+F185</f>
        <v>76375.53</v>
      </c>
      <c r="AV185" s="372">
        <f t="shared" si="7"/>
        <v>167287.32</v>
      </c>
      <c r="AW185" s="124">
        <f>+AV185+AO185-P185</f>
        <v>0</v>
      </c>
      <c r="AZ185" s="563"/>
      <c r="BA185" s="563">
        <v>11574.009999999998</v>
      </c>
      <c r="BB185" s="563">
        <v>5823.18</v>
      </c>
      <c r="BC185" s="563">
        <v>8.5</v>
      </c>
      <c r="BD185" s="563"/>
      <c r="BE185" s="563">
        <v>17405.689999999999</v>
      </c>
      <c r="BF185" s="372"/>
      <c r="BO185" s="563"/>
      <c r="BP185" s="563">
        <v>1007449.7899999999</v>
      </c>
      <c r="BQ185" s="563">
        <v>523743.49</v>
      </c>
      <c r="BR185" s="563">
        <v>661.39</v>
      </c>
      <c r="BS185" s="563"/>
      <c r="BT185" s="563">
        <v>1531854.67</v>
      </c>
      <c r="BW185" s="126">
        <v>908</v>
      </c>
      <c r="BX185" s="125">
        <v>25118</v>
      </c>
      <c r="BY185" s="19" t="s">
        <v>13</v>
      </c>
      <c r="BZ185" t="s">
        <v>965</v>
      </c>
    </row>
    <row r="186" spans="1:78" x14ac:dyDescent="0.3">
      <c r="A186" s="436">
        <v>25116</v>
      </c>
      <c r="B186" s="19" t="s">
        <v>13</v>
      </c>
      <c r="C186" t="s">
        <v>446</v>
      </c>
      <c r="D186" s="563"/>
      <c r="E186" s="120"/>
      <c r="F186" s="563">
        <v>40494.06</v>
      </c>
      <c r="G186" s="120">
        <v>7.3440538229348556E-5</v>
      </c>
      <c r="H186" s="563">
        <v>119135.5</v>
      </c>
      <c r="I186" s="120">
        <v>4.3604705040109487E-4</v>
      </c>
      <c r="J186" s="563">
        <v>0</v>
      </c>
      <c r="K186" s="120">
        <v>0</v>
      </c>
      <c r="L186" s="563">
        <v>62514.039999999994</v>
      </c>
      <c r="M186" s="120">
        <v>4.332014599008196E-4</v>
      </c>
      <c r="N186" s="563">
        <v>311006.36</v>
      </c>
      <c r="O186" s="120">
        <v>4.2108231166955326E-4</v>
      </c>
      <c r="P186" s="124">
        <v>533149.96</v>
      </c>
      <c r="Q186" s="124"/>
      <c r="R186" s="563"/>
      <c r="S186" s="120"/>
      <c r="T186" s="373"/>
      <c r="U186" s="541">
        <v>797</v>
      </c>
      <c r="V186" s="540" t="s">
        <v>447</v>
      </c>
      <c r="W186" s="442" t="s">
        <v>13</v>
      </c>
      <c r="X186" s="552" t="s">
        <v>446</v>
      </c>
      <c r="Y186" s="563">
        <v>0</v>
      </c>
      <c r="Z186" s="563">
        <v>300550.32999999996</v>
      </c>
      <c r="AA186" s="563">
        <v>113341.43</v>
      </c>
      <c r="AB186" s="563"/>
      <c r="AC186" s="563"/>
      <c r="AD186" s="563">
        <v>413891.75999999995</v>
      </c>
      <c r="AE186" s="124"/>
      <c r="AF186" s="541">
        <v>797</v>
      </c>
      <c r="AG186" s="540" t="s">
        <v>447</v>
      </c>
      <c r="AH186" s="442" t="s">
        <v>13</v>
      </c>
      <c r="AI186" s="552" t="s">
        <v>446</v>
      </c>
      <c r="AJ186" s="563">
        <v>0</v>
      </c>
      <c r="AK186" s="563">
        <v>311006.36</v>
      </c>
      <c r="AL186" s="563">
        <v>119135.5</v>
      </c>
      <c r="AM186" s="563"/>
      <c r="AN186" s="563"/>
      <c r="AO186" s="563">
        <v>430141.86</v>
      </c>
      <c r="AR186" s="124">
        <f>+L186</f>
        <v>62514.039999999994</v>
      </c>
      <c r="AS186" s="124">
        <f>+F186</f>
        <v>40494.06</v>
      </c>
      <c r="AV186" s="372">
        <f t="shared" si="7"/>
        <v>103008.09999999999</v>
      </c>
      <c r="AW186" s="124">
        <f>+AV186+AO186-P186</f>
        <v>0</v>
      </c>
      <c r="AZ186" s="563">
        <v>0</v>
      </c>
      <c r="BA186" s="563">
        <v>7709.43</v>
      </c>
      <c r="BB186" s="563">
        <v>3068.14</v>
      </c>
      <c r="BC186" s="563"/>
      <c r="BD186" s="563"/>
      <c r="BE186" s="563">
        <v>10777.57</v>
      </c>
      <c r="BF186" s="372"/>
      <c r="BO186" s="563">
        <v>0</v>
      </c>
      <c r="BP186" s="563">
        <v>681780.15999999992</v>
      </c>
      <c r="BQ186" s="563">
        <v>276039.13</v>
      </c>
      <c r="BR186" s="563"/>
      <c r="BS186" s="563"/>
      <c r="BT186" s="563">
        <v>957819.28999999992</v>
      </c>
      <c r="BW186" s="126">
        <v>634</v>
      </c>
      <c r="BX186" s="125">
        <v>25155</v>
      </c>
      <c r="BY186" s="19" t="s">
        <v>34</v>
      </c>
      <c r="BZ186" t="s">
        <v>1122</v>
      </c>
    </row>
    <row r="187" spans="1:78" x14ac:dyDescent="0.3">
      <c r="A187" s="436">
        <v>25118</v>
      </c>
      <c r="B187" s="19" t="s">
        <v>13</v>
      </c>
      <c r="C187" t="s">
        <v>504</v>
      </c>
      <c r="D187" s="563"/>
      <c r="E187" s="120"/>
      <c r="F187" s="563">
        <v>63694.58</v>
      </c>
      <c r="G187" s="120">
        <v>1.1551729407948475E-4</v>
      </c>
      <c r="H187" s="563">
        <v>186016.18000000002</v>
      </c>
      <c r="I187" s="120">
        <v>6.8083658200854605E-4</v>
      </c>
      <c r="J187" s="563"/>
      <c r="K187" s="120"/>
      <c r="L187" s="563">
        <v>68748.31</v>
      </c>
      <c r="M187" s="120">
        <v>4.7640287298203921E-4</v>
      </c>
      <c r="N187" s="563">
        <v>356342.74</v>
      </c>
      <c r="O187" s="120">
        <v>4.8246481102785994E-4</v>
      </c>
      <c r="P187" s="124">
        <v>674801.81</v>
      </c>
      <c r="Q187" s="124"/>
      <c r="R187" s="563"/>
      <c r="S187" s="120"/>
      <c r="T187" s="373"/>
      <c r="U187" s="541">
        <v>908</v>
      </c>
      <c r="V187" s="540" t="s">
        <v>505</v>
      </c>
      <c r="W187" s="442" t="s">
        <v>13</v>
      </c>
      <c r="X187" s="552" t="s">
        <v>504</v>
      </c>
      <c r="Y187" s="563"/>
      <c r="Z187" s="563">
        <v>344113.16000000003</v>
      </c>
      <c r="AA187" s="563">
        <v>179351.06</v>
      </c>
      <c r="AB187" s="563"/>
      <c r="AC187" s="563"/>
      <c r="AD187" s="563">
        <v>523464.22000000003</v>
      </c>
      <c r="AE187" s="124"/>
      <c r="AF187" s="541">
        <v>908</v>
      </c>
      <c r="AG187" s="540" t="s">
        <v>505</v>
      </c>
      <c r="AH187" s="442" t="s">
        <v>13</v>
      </c>
      <c r="AI187" s="552" t="s">
        <v>504</v>
      </c>
      <c r="AJ187" s="563"/>
      <c r="AK187" s="563">
        <v>356342.74</v>
      </c>
      <c r="AL187" s="563">
        <v>186016.18000000002</v>
      </c>
      <c r="AM187" s="563"/>
      <c r="AN187" s="563"/>
      <c r="AO187" s="563">
        <v>542358.92000000004</v>
      </c>
      <c r="AR187" s="124">
        <f>+L187</f>
        <v>68748.31</v>
      </c>
      <c r="AS187" s="124">
        <f>+F187</f>
        <v>63694.58</v>
      </c>
      <c r="AV187" s="372">
        <f t="shared" si="7"/>
        <v>132442.89000000001</v>
      </c>
      <c r="AW187" s="124">
        <f>+AV187+AO187-P187</f>
        <v>0</v>
      </c>
      <c r="AZ187" s="563"/>
      <c r="BA187" s="563">
        <v>8842.09</v>
      </c>
      <c r="BB187" s="563">
        <v>4794.12</v>
      </c>
      <c r="BC187" s="563"/>
      <c r="BD187" s="563"/>
      <c r="BE187" s="563">
        <v>13636.21</v>
      </c>
      <c r="BF187" s="372"/>
      <c r="BO187" s="563"/>
      <c r="BP187" s="563">
        <v>778046.3</v>
      </c>
      <c r="BQ187" s="563">
        <v>433855.94</v>
      </c>
      <c r="BR187" s="563"/>
      <c r="BS187" s="563"/>
      <c r="BT187" s="563">
        <v>1211902.24</v>
      </c>
      <c r="BW187" s="126">
        <v>1102</v>
      </c>
      <c r="BX187" s="125">
        <v>25160</v>
      </c>
      <c r="BY187" s="19" t="s">
        <v>13</v>
      </c>
      <c r="BZ187" t="s">
        <v>1014</v>
      </c>
    </row>
    <row r="188" spans="1:78" x14ac:dyDescent="0.3">
      <c r="A188" s="436">
        <v>25155</v>
      </c>
      <c r="B188" s="19" t="s">
        <v>34</v>
      </c>
      <c r="C188" t="s">
        <v>332</v>
      </c>
      <c r="D188" s="563"/>
      <c r="E188" s="120"/>
      <c r="F188" s="563">
        <v>26118.489999999998</v>
      </c>
      <c r="G188" s="120">
        <v>4.736882306535472E-5</v>
      </c>
      <c r="H188" s="563">
        <v>77359.16</v>
      </c>
      <c r="I188" s="120">
        <v>2.8314174649459112E-4</v>
      </c>
      <c r="J188" s="563"/>
      <c r="K188" s="120"/>
      <c r="L188" s="563">
        <v>33878.54</v>
      </c>
      <c r="M188" s="120">
        <v>2.3476698974035775E-4</v>
      </c>
      <c r="N188" s="563">
        <v>174155.99</v>
      </c>
      <c r="O188" s="120">
        <v>2.3579584308275751E-4</v>
      </c>
      <c r="P188" s="124">
        <v>311512.18</v>
      </c>
      <c r="Q188" s="124"/>
      <c r="R188" s="563"/>
      <c r="S188" s="120"/>
      <c r="T188" s="373"/>
      <c r="U188" s="541">
        <v>634</v>
      </c>
      <c r="V188" s="540" t="s">
        <v>333</v>
      </c>
      <c r="W188" s="442" t="s">
        <v>34</v>
      </c>
      <c r="X188" s="552" t="s">
        <v>332</v>
      </c>
      <c r="Y188" s="563"/>
      <c r="Z188" s="563">
        <v>176699.75</v>
      </c>
      <c r="AA188" s="563">
        <v>68572.160000000003</v>
      </c>
      <c r="AB188" s="563"/>
      <c r="AC188" s="563"/>
      <c r="AD188" s="563">
        <v>245271.91</v>
      </c>
      <c r="AE188" s="124"/>
      <c r="AF188" s="541">
        <v>634</v>
      </c>
      <c r="AG188" s="540" t="s">
        <v>333</v>
      </c>
      <c r="AH188" s="442" t="s">
        <v>34</v>
      </c>
      <c r="AI188" s="552" t="s">
        <v>332</v>
      </c>
      <c r="AJ188" s="563"/>
      <c r="AK188" s="563">
        <v>174155.99</v>
      </c>
      <c r="AL188" s="563">
        <v>77359.16</v>
      </c>
      <c r="AM188" s="563"/>
      <c r="AN188" s="563"/>
      <c r="AO188" s="563">
        <v>251515.15</v>
      </c>
      <c r="AR188" s="124">
        <f>+L188</f>
        <v>33878.54</v>
      </c>
      <c r="AS188" s="124">
        <f>+F188</f>
        <v>26118.489999999998</v>
      </c>
      <c r="AV188" s="372">
        <f t="shared" si="7"/>
        <v>59997.03</v>
      </c>
      <c r="AW188" s="124">
        <f>+AV188+AO188-P188</f>
        <v>0</v>
      </c>
      <c r="AZ188" s="563"/>
      <c r="BA188" s="563">
        <v>4321.38</v>
      </c>
      <c r="BB188" s="563">
        <v>1993.68</v>
      </c>
      <c r="BC188" s="563"/>
      <c r="BD188" s="563"/>
      <c r="BE188" s="563">
        <v>6315.06</v>
      </c>
      <c r="BF188" s="372"/>
      <c r="BO188" s="563"/>
      <c r="BP188" s="563">
        <v>389055.66000000003</v>
      </c>
      <c r="BQ188" s="563">
        <v>174043.49</v>
      </c>
      <c r="BR188" s="563"/>
      <c r="BS188" s="563"/>
      <c r="BT188" s="563">
        <v>563099.15</v>
      </c>
      <c r="BW188" s="126">
        <v>641</v>
      </c>
      <c r="BX188" s="125">
        <v>25200</v>
      </c>
      <c r="BY188" s="19" t="s">
        <v>13</v>
      </c>
      <c r="BZ188" t="s">
        <v>889</v>
      </c>
    </row>
    <row r="189" spans="1:78" x14ac:dyDescent="0.3">
      <c r="A189" s="436">
        <v>25160</v>
      </c>
      <c r="B189" s="19" t="s">
        <v>13</v>
      </c>
      <c r="C189" t="s">
        <v>610</v>
      </c>
      <c r="D189" s="563"/>
      <c r="E189" s="120"/>
      <c r="F189" s="563">
        <v>31425.239999999998</v>
      </c>
      <c r="G189" s="120">
        <v>5.6993211833697422E-5</v>
      </c>
      <c r="H189" s="563">
        <v>92593.16</v>
      </c>
      <c r="I189" s="120">
        <v>3.3889960847368451E-4</v>
      </c>
      <c r="J189" s="563"/>
      <c r="K189" s="120"/>
      <c r="L189" s="563">
        <v>38293.020000000004</v>
      </c>
      <c r="M189" s="120">
        <v>2.6535786469745494E-4</v>
      </c>
      <c r="N189" s="563">
        <v>195093.41999999998</v>
      </c>
      <c r="O189" s="120">
        <v>2.6414375669076045E-4</v>
      </c>
      <c r="P189" s="124">
        <v>357404.83999999997</v>
      </c>
      <c r="Q189" s="124"/>
      <c r="R189" s="563"/>
      <c r="S189" s="120"/>
      <c r="T189" s="373"/>
      <c r="U189" s="541">
        <v>1102</v>
      </c>
      <c r="V189" s="540" t="s">
        <v>611</v>
      </c>
      <c r="W189" s="442" t="s">
        <v>13</v>
      </c>
      <c r="X189" s="552" t="s">
        <v>610</v>
      </c>
      <c r="Y189" s="563"/>
      <c r="Z189" s="563">
        <v>185177.72</v>
      </c>
      <c r="AA189" s="563">
        <v>87365.99</v>
      </c>
      <c r="AB189" s="563"/>
      <c r="AC189" s="563"/>
      <c r="AD189" s="563">
        <v>272543.71000000002</v>
      </c>
      <c r="AE189" s="124"/>
      <c r="AF189" s="541">
        <v>1102</v>
      </c>
      <c r="AG189" s="540" t="s">
        <v>611</v>
      </c>
      <c r="AH189" s="442" t="s">
        <v>13</v>
      </c>
      <c r="AI189" s="552" t="s">
        <v>610</v>
      </c>
      <c r="AJ189" s="563"/>
      <c r="AK189" s="563">
        <v>195093.41999999998</v>
      </c>
      <c r="AL189" s="563">
        <v>92593.16</v>
      </c>
      <c r="AM189" s="563"/>
      <c r="AN189" s="563"/>
      <c r="AO189" s="563">
        <v>287686.57999999996</v>
      </c>
      <c r="AR189" s="124">
        <f>+L189</f>
        <v>38293.020000000004</v>
      </c>
      <c r="AS189" s="124">
        <f>+F189</f>
        <v>31425.239999999998</v>
      </c>
      <c r="AV189" s="372">
        <f t="shared" si="7"/>
        <v>69718.260000000009</v>
      </c>
      <c r="AW189" s="124">
        <f>+AV189+AO189-P189</f>
        <v>0</v>
      </c>
      <c r="AZ189" s="563"/>
      <c r="BA189" s="563">
        <v>4839.37</v>
      </c>
      <c r="BB189" s="563">
        <v>2386.5</v>
      </c>
      <c r="BC189" s="563"/>
      <c r="BD189" s="563"/>
      <c r="BE189" s="563">
        <v>7225.87</v>
      </c>
      <c r="BF189" s="372"/>
      <c r="BO189" s="563"/>
      <c r="BP189" s="563">
        <v>423403.53</v>
      </c>
      <c r="BQ189" s="563">
        <v>213770.89</v>
      </c>
      <c r="BR189" s="563"/>
      <c r="BS189" s="563"/>
      <c r="BT189" s="563">
        <v>637174.42000000004</v>
      </c>
      <c r="BW189" s="126">
        <v>639</v>
      </c>
      <c r="BX189" s="125">
        <v>26056</v>
      </c>
      <c r="BY189" s="19" t="s">
        <v>18</v>
      </c>
      <c r="BZ189" t="s">
        <v>887</v>
      </c>
    </row>
    <row r="190" spans="1:78" x14ac:dyDescent="0.3">
      <c r="A190" s="436">
        <v>25200</v>
      </c>
      <c r="B190" s="19" t="s">
        <v>13</v>
      </c>
      <c r="C190" t="s">
        <v>352</v>
      </c>
      <c r="D190" s="563"/>
      <c r="E190" s="120"/>
      <c r="F190" s="563">
        <v>15534.92</v>
      </c>
      <c r="G190" s="120">
        <v>2.8174326954369887E-5</v>
      </c>
      <c r="H190" s="563">
        <v>46081.770000000004</v>
      </c>
      <c r="I190" s="120">
        <v>1.6866357958594762E-4</v>
      </c>
      <c r="J190" s="563">
        <v>10629.24</v>
      </c>
      <c r="K190" s="120">
        <v>7.3657090241427181E-5</v>
      </c>
      <c r="L190" s="563">
        <v>9370.0499999999993</v>
      </c>
      <c r="M190" s="120">
        <v>6.4931323257042328E-5</v>
      </c>
      <c r="N190" s="563">
        <v>48234.96</v>
      </c>
      <c r="O190" s="120">
        <v>6.5306987484398818E-5</v>
      </c>
      <c r="P190" s="124">
        <v>129850.94</v>
      </c>
      <c r="Q190" s="124"/>
      <c r="R190" s="563"/>
      <c r="S190" s="120"/>
      <c r="T190" s="373"/>
      <c r="U190" s="541">
        <v>641</v>
      </c>
      <c r="V190" s="540" t="s">
        <v>353</v>
      </c>
      <c r="W190" s="442" t="s">
        <v>13</v>
      </c>
      <c r="X190" s="552" t="s">
        <v>352</v>
      </c>
      <c r="Y190" s="563">
        <v>6622.12</v>
      </c>
      <c r="Z190" s="563">
        <v>44847.770000000004</v>
      </c>
      <c r="AA190" s="563">
        <v>39828.9</v>
      </c>
      <c r="AB190" s="563"/>
      <c r="AC190" s="563"/>
      <c r="AD190" s="563">
        <v>91298.790000000008</v>
      </c>
      <c r="AE190" s="124"/>
      <c r="AF190" s="541">
        <v>641</v>
      </c>
      <c r="AG190" s="540" t="s">
        <v>353</v>
      </c>
      <c r="AH190" s="442" t="s">
        <v>13</v>
      </c>
      <c r="AI190" s="552" t="s">
        <v>352</v>
      </c>
      <c r="AJ190" s="563">
        <v>10629.24</v>
      </c>
      <c r="AK190" s="563">
        <v>48234.96</v>
      </c>
      <c r="AL190" s="563">
        <v>46081.770000000004</v>
      </c>
      <c r="AM190" s="563"/>
      <c r="AN190" s="563"/>
      <c r="AO190" s="563">
        <v>104945.97</v>
      </c>
      <c r="AR190" s="124">
        <f>+L190</f>
        <v>9370.0499999999993</v>
      </c>
      <c r="AS190" s="124">
        <f>+F190</f>
        <v>15534.92</v>
      </c>
      <c r="AV190" s="372">
        <f t="shared" si="7"/>
        <v>24904.97</v>
      </c>
      <c r="AW190" s="124">
        <f>+AV190+AO190-P190</f>
        <v>0</v>
      </c>
      <c r="AZ190" s="563">
        <v>220.67</v>
      </c>
      <c r="BA190" s="563">
        <v>1196.82</v>
      </c>
      <c r="BB190" s="563">
        <v>1187.54</v>
      </c>
      <c r="BC190" s="563"/>
      <c r="BD190" s="563"/>
      <c r="BE190" s="563">
        <v>2605.0299999999997</v>
      </c>
      <c r="BF190" s="372"/>
      <c r="BO190" s="563">
        <v>17472.03</v>
      </c>
      <c r="BP190" s="563">
        <v>103649.60000000001</v>
      </c>
      <c r="BQ190" s="563">
        <v>102633.12999999999</v>
      </c>
      <c r="BR190" s="563"/>
      <c r="BS190" s="563"/>
      <c r="BT190" s="563">
        <v>223754.76</v>
      </c>
      <c r="BW190" s="126">
        <v>215</v>
      </c>
      <c r="BX190" s="125">
        <v>26059</v>
      </c>
      <c r="BY190" s="19" t="s">
        <v>18</v>
      </c>
      <c r="BZ190" t="s">
        <v>783</v>
      </c>
    </row>
    <row r="191" spans="1:78" x14ac:dyDescent="0.3">
      <c r="A191" s="436">
        <v>26056</v>
      </c>
      <c r="B191" s="19" t="s">
        <v>18</v>
      </c>
      <c r="C191" t="s">
        <v>336</v>
      </c>
      <c r="D191" s="563"/>
      <c r="E191" s="120"/>
      <c r="F191" s="563">
        <v>76966.899999999994</v>
      </c>
      <c r="G191" s="120">
        <v>1.3958814112105446E-4</v>
      </c>
      <c r="H191" s="563">
        <v>226555.96</v>
      </c>
      <c r="I191" s="120">
        <v>8.2921596089149268E-4</v>
      </c>
      <c r="J191" s="563"/>
      <c r="K191" s="120"/>
      <c r="L191" s="563">
        <v>126165.25</v>
      </c>
      <c r="M191" s="120">
        <v>8.7428312885796348E-4</v>
      </c>
      <c r="N191" s="563">
        <v>646801.51</v>
      </c>
      <c r="O191" s="120">
        <v>8.757270270040705E-4</v>
      </c>
      <c r="P191" s="124">
        <v>1076489.6200000001</v>
      </c>
      <c r="Q191" s="124"/>
      <c r="R191" s="563"/>
      <c r="S191" s="120"/>
      <c r="T191" s="373"/>
      <c r="U191" s="541">
        <v>639</v>
      </c>
      <c r="V191" s="540" t="s">
        <v>337</v>
      </c>
      <c r="W191" s="442" t="s">
        <v>18</v>
      </c>
      <c r="X191" s="552" t="s">
        <v>336</v>
      </c>
      <c r="Y191" s="563"/>
      <c r="Z191" s="563">
        <v>641972.85000000009</v>
      </c>
      <c r="AA191" s="563">
        <v>206336.72</v>
      </c>
      <c r="AB191" s="563"/>
      <c r="AC191" s="563"/>
      <c r="AD191" s="563">
        <v>848309.57000000007</v>
      </c>
      <c r="AE191" s="124"/>
      <c r="AF191" s="541">
        <v>639</v>
      </c>
      <c r="AG191" s="540" t="s">
        <v>337</v>
      </c>
      <c r="AH191" s="442" t="s">
        <v>18</v>
      </c>
      <c r="AI191" s="552" t="s">
        <v>336</v>
      </c>
      <c r="AJ191" s="563"/>
      <c r="AK191" s="563">
        <v>646801.51</v>
      </c>
      <c r="AL191" s="563">
        <v>226555.96</v>
      </c>
      <c r="AM191" s="563"/>
      <c r="AN191" s="563"/>
      <c r="AO191" s="563">
        <v>873357.47</v>
      </c>
      <c r="AR191" s="124">
        <f>+L191</f>
        <v>126165.25</v>
      </c>
      <c r="AS191" s="124">
        <f>+F191</f>
        <v>76966.899999999994</v>
      </c>
      <c r="AV191" s="372">
        <f t="shared" si="7"/>
        <v>203132.15</v>
      </c>
      <c r="AW191" s="124">
        <f>+AV191+AO191-P191</f>
        <v>0</v>
      </c>
      <c r="AZ191" s="563"/>
      <c r="BA191" s="563">
        <v>16049.5</v>
      </c>
      <c r="BB191" s="563">
        <v>5834.47</v>
      </c>
      <c r="BC191" s="563"/>
      <c r="BD191" s="563"/>
      <c r="BE191" s="563">
        <v>21883.97</v>
      </c>
      <c r="BF191" s="372"/>
      <c r="BO191" s="563"/>
      <c r="BP191" s="563">
        <v>1430989.1099999999</v>
      </c>
      <c r="BQ191" s="563">
        <v>515694.05</v>
      </c>
      <c r="BR191" s="563"/>
      <c r="BS191" s="563"/>
      <c r="BT191" s="563">
        <v>1946683.16</v>
      </c>
      <c r="BW191" s="126">
        <v>851</v>
      </c>
      <c r="BX191" s="125">
        <v>26070</v>
      </c>
      <c r="BY191" s="19" t="s">
        <v>18</v>
      </c>
      <c r="BZ191" t="s">
        <v>954</v>
      </c>
    </row>
    <row r="192" spans="1:78" x14ac:dyDescent="0.3">
      <c r="A192" s="436">
        <v>26059</v>
      </c>
      <c r="B192" s="19" t="s">
        <v>18</v>
      </c>
      <c r="C192" t="s">
        <v>124</v>
      </c>
      <c r="D192" s="563"/>
      <c r="E192" s="120"/>
      <c r="F192" s="563">
        <v>40673.800000000003</v>
      </c>
      <c r="G192" s="120">
        <v>7.3766516961571097E-5</v>
      </c>
      <c r="H192" s="563">
        <v>118313.82</v>
      </c>
      <c r="I192" s="120">
        <v>4.3303962490345925E-4</v>
      </c>
      <c r="J192" s="563"/>
      <c r="K192" s="120"/>
      <c r="L192" s="563">
        <v>45966.119999999995</v>
      </c>
      <c r="M192" s="120">
        <v>3.1852989008511148E-4</v>
      </c>
      <c r="N192" s="563">
        <v>237783.5</v>
      </c>
      <c r="O192" s="120">
        <v>3.2194333857634685E-4</v>
      </c>
      <c r="P192" s="124">
        <v>442737.24</v>
      </c>
      <c r="Q192" s="124"/>
      <c r="R192" s="563"/>
      <c r="S192" s="120"/>
      <c r="T192" s="373"/>
      <c r="U192" s="541">
        <v>215</v>
      </c>
      <c r="V192" s="540" t="s">
        <v>125</v>
      </c>
      <c r="W192" s="442" t="s">
        <v>18</v>
      </c>
      <c r="X192" s="552" t="s">
        <v>124</v>
      </c>
      <c r="Y192" s="563"/>
      <c r="Z192" s="563">
        <v>241745.58</v>
      </c>
      <c r="AA192" s="563">
        <v>113423.4</v>
      </c>
      <c r="AB192" s="563"/>
      <c r="AC192" s="563"/>
      <c r="AD192" s="563">
        <v>355168.98</v>
      </c>
      <c r="AE192" s="124"/>
      <c r="AF192" s="541">
        <v>215</v>
      </c>
      <c r="AG192" s="540" t="s">
        <v>125</v>
      </c>
      <c r="AH192" s="442" t="s">
        <v>18</v>
      </c>
      <c r="AI192" s="552" t="s">
        <v>124</v>
      </c>
      <c r="AJ192" s="563"/>
      <c r="AK192" s="563">
        <v>237783.5</v>
      </c>
      <c r="AL192" s="563">
        <v>118313.82</v>
      </c>
      <c r="AM192" s="563"/>
      <c r="AN192" s="563"/>
      <c r="AO192" s="563">
        <v>356097.32</v>
      </c>
      <c r="AR192" s="124">
        <f>+L192</f>
        <v>45966.119999999995</v>
      </c>
      <c r="AS192" s="124">
        <f>+F192</f>
        <v>40673.800000000003</v>
      </c>
      <c r="AV192" s="372">
        <f t="shared" si="7"/>
        <v>86639.92</v>
      </c>
      <c r="AW192" s="124">
        <f>+AV192+AO192-P192</f>
        <v>0</v>
      </c>
      <c r="AZ192" s="563"/>
      <c r="BA192" s="563">
        <v>5899.99</v>
      </c>
      <c r="BB192" s="563">
        <v>3049.17</v>
      </c>
      <c r="BC192" s="563"/>
      <c r="BD192" s="563"/>
      <c r="BE192" s="563">
        <v>8949.16</v>
      </c>
      <c r="BF192" s="372"/>
      <c r="BO192" s="563"/>
      <c r="BP192" s="563">
        <v>531395.19000000006</v>
      </c>
      <c r="BQ192" s="563">
        <v>275460.19</v>
      </c>
      <c r="BR192" s="563"/>
      <c r="BS192" s="563"/>
      <c r="BT192" s="563">
        <v>806855.38000000012</v>
      </c>
      <c r="BW192" s="126">
        <v>943</v>
      </c>
      <c r="BX192" s="125">
        <v>27001</v>
      </c>
      <c r="BY192" s="19" t="s">
        <v>29</v>
      </c>
      <c r="BZ192" t="s">
        <v>973</v>
      </c>
    </row>
    <row r="193" spans="1:78" x14ac:dyDescent="0.3">
      <c r="A193" s="436">
        <v>26070</v>
      </c>
      <c r="B193" s="19" t="s">
        <v>18</v>
      </c>
      <c r="C193" t="s">
        <v>484</v>
      </c>
      <c r="D193" s="563"/>
      <c r="E193" s="120"/>
      <c r="F193" s="563">
        <v>34691.74</v>
      </c>
      <c r="G193" s="120">
        <v>6.291737745517788E-5</v>
      </c>
      <c r="H193" s="563">
        <v>102764.35</v>
      </c>
      <c r="I193" s="120">
        <v>3.7612711327761881E-4</v>
      </c>
      <c r="J193" s="563">
        <v>0</v>
      </c>
      <c r="K193" s="120">
        <v>0</v>
      </c>
      <c r="L193" s="563">
        <v>30972.589999999997</v>
      </c>
      <c r="M193" s="120">
        <v>2.1462972485716049E-4</v>
      </c>
      <c r="N193" s="563">
        <v>159172.08000000002</v>
      </c>
      <c r="O193" s="120">
        <v>2.1550860696112798E-4</v>
      </c>
      <c r="P193" s="124">
        <v>327600.76</v>
      </c>
      <c r="Q193" s="124"/>
      <c r="R193" s="563"/>
      <c r="S193" s="120"/>
      <c r="T193" s="373"/>
      <c r="U193" s="541">
        <v>851</v>
      </c>
      <c r="V193" s="540" t="s">
        <v>485</v>
      </c>
      <c r="W193" s="442" t="s">
        <v>18</v>
      </c>
      <c r="X193" s="552" t="s">
        <v>484</v>
      </c>
      <c r="Y193" s="563">
        <v>0</v>
      </c>
      <c r="Z193" s="563">
        <v>180794.78999999998</v>
      </c>
      <c r="AA193" s="563">
        <v>96484.06</v>
      </c>
      <c r="AB193" s="563"/>
      <c r="AC193" s="563"/>
      <c r="AD193" s="563">
        <v>277278.84999999998</v>
      </c>
      <c r="AE193" s="124"/>
      <c r="AF193" s="541">
        <v>851</v>
      </c>
      <c r="AG193" s="540" t="s">
        <v>485</v>
      </c>
      <c r="AH193" s="442" t="s">
        <v>18</v>
      </c>
      <c r="AI193" s="552" t="s">
        <v>484</v>
      </c>
      <c r="AJ193" s="563">
        <v>0</v>
      </c>
      <c r="AK193" s="563">
        <v>159172.08000000002</v>
      </c>
      <c r="AL193" s="563">
        <v>102764.35</v>
      </c>
      <c r="AM193" s="563"/>
      <c r="AN193" s="563"/>
      <c r="AO193" s="563">
        <v>261936.43000000002</v>
      </c>
      <c r="AR193" s="124">
        <f>+L193</f>
        <v>30972.589999999997</v>
      </c>
      <c r="AS193" s="124">
        <f>+F193</f>
        <v>34691.74</v>
      </c>
      <c r="AV193" s="372">
        <f t="shared" si="7"/>
        <v>65664.329999999987</v>
      </c>
      <c r="AW193" s="124">
        <f>+AV193+AO193-P193</f>
        <v>0</v>
      </c>
      <c r="AZ193" s="563">
        <v>0</v>
      </c>
      <c r="BA193" s="563">
        <v>3949.4500000000003</v>
      </c>
      <c r="BB193" s="563">
        <v>2648.05</v>
      </c>
      <c r="BC193" s="563"/>
      <c r="BD193" s="563"/>
      <c r="BE193" s="563">
        <v>6597.5</v>
      </c>
      <c r="BF193" s="372"/>
      <c r="BO193" s="563">
        <v>0</v>
      </c>
      <c r="BP193" s="563">
        <v>374888.91000000003</v>
      </c>
      <c r="BQ193" s="563">
        <v>236588.2</v>
      </c>
      <c r="BR193" s="563"/>
      <c r="BS193" s="563"/>
      <c r="BT193" s="563">
        <v>611477.1100000001</v>
      </c>
      <c r="BW193" s="126">
        <v>784</v>
      </c>
      <c r="BX193" s="125">
        <v>27003</v>
      </c>
      <c r="BY193" s="19" t="s">
        <v>29</v>
      </c>
      <c r="BZ193" t="s">
        <v>929</v>
      </c>
    </row>
    <row r="194" spans="1:78" x14ac:dyDescent="0.3">
      <c r="A194" s="436">
        <v>27001</v>
      </c>
      <c r="B194" s="19" t="s">
        <v>29</v>
      </c>
      <c r="C194" t="s">
        <v>524</v>
      </c>
      <c r="D194" s="563"/>
      <c r="E194" s="120"/>
      <c r="F194" s="563">
        <v>179282.16</v>
      </c>
      <c r="G194" s="120">
        <v>3.251483878208356E-4</v>
      </c>
      <c r="H194" s="563">
        <v>530775.10000000009</v>
      </c>
      <c r="I194" s="120">
        <v>1.9426864098555528E-3</v>
      </c>
      <c r="J194" s="563">
        <v>0</v>
      </c>
      <c r="K194" s="120">
        <v>0</v>
      </c>
      <c r="L194" s="563">
        <v>359932.59</v>
      </c>
      <c r="M194" s="120">
        <v>2.4942128752818275E-3</v>
      </c>
      <c r="N194" s="563">
        <v>1847958.93</v>
      </c>
      <c r="O194" s="120">
        <v>2.5020157726510614E-3</v>
      </c>
      <c r="P194" s="124">
        <v>2917948.7800000003</v>
      </c>
      <c r="Q194" s="124"/>
      <c r="R194" s="563"/>
      <c r="S194" s="120"/>
      <c r="T194" s="373"/>
      <c r="U194" s="541">
        <v>943</v>
      </c>
      <c r="V194" s="540" t="s">
        <v>525</v>
      </c>
      <c r="W194" s="442" t="s">
        <v>29</v>
      </c>
      <c r="X194" s="552" t="s">
        <v>524</v>
      </c>
      <c r="Y194" s="563">
        <v>0</v>
      </c>
      <c r="Z194" s="563">
        <v>1772754.51</v>
      </c>
      <c r="AA194" s="563">
        <v>520313.67000000004</v>
      </c>
      <c r="AB194" s="563"/>
      <c r="AC194" s="563"/>
      <c r="AD194" s="563">
        <v>2293068.1800000002</v>
      </c>
      <c r="AE194" s="124"/>
      <c r="AF194" s="541">
        <v>943</v>
      </c>
      <c r="AG194" s="540" t="s">
        <v>525</v>
      </c>
      <c r="AH194" s="442" t="s">
        <v>29</v>
      </c>
      <c r="AI194" s="552" t="s">
        <v>524</v>
      </c>
      <c r="AJ194" s="563">
        <v>0</v>
      </c>
      <c r="AK194" s="563">
        <v>1847958.93</v>
      </c>
      <c r="AL194" s="563">
        <v>530775.10000000009</v>
      </c>
      <c r="AM194" s="563"/>
      <c r="AN194" s="563"/>
      <c r="AO194" s="563">
        <v>2378734.0300000003</v>
      </c>
      <c r="AR194" s="124">
        <f>+L194</f>
        <v>359932.59</v>
      </c>
      <c r="AS194" s="124">
        <f>+F194</f>
        <v>179282.16</v>
      </c>
      <c r="AV194" s="372">
        <f t="shared" si="7"/>
        <v>539214.75</v>
      </c>
      <c r="AW194" s="124">
        <f>+AV194+AO194-P194</f>
        <v>0</v>
      </c>
      <c r="AZ194" s="563">
        <v>0</v>
      </c>
      <c r="BA194" s="563">
        <v>45854.69</v>
      </c>
      <c r="BB194" s="563">
        <v>13679.61</v>
      </c>
      <c r="BC194" s="563"/>
      <c r="BD194" s="563"/>
      <c r="BE194" s="563">
        <v>59534.3</v>
      </c>
      <c r="BF194" s="372"/>
      <c r="BO194" s="563">
        <v>0</v>
      </c>
      <c r="BP194" s="563">
        <v>4026500.72</v>
      </c>
      <c r="BQ194" s="563">
        <v>1244050.54</v>
      </c>
      <c r="BR194" s="563"/>
      <c r="BS194" s="563"/>
      <c r="BT194" s="563">
        <v>5270551.26</v>
      </c>
      <c r="BW194" s="126">
        <v>966</v>
      </c>
      <c r="BX194" s="125">
        <v>27010</v>
      </c>
      <c r="BY194" s="19" t="s">
        <v>29</v>
      </c>
      <c r="BZ194" t="s">
        <v>979</v>
      </c>
    </row>
    <row r="195" spans="1:78" x14ac:dyDescent="0.3">
      <c r="A195" s="436">
        <v>27003</v>
      </c>
      <c r="B195" s="19" t="s">
        <v>29</v>
      </c>
      <c r="C195" t="s">
        <v>432</v>
      </c>
      <c r="D195" s="563">
        <v>12992.72</v>
      </c>
      <c r="E195" s="120">
        <v>2.356376095316749E-5</v>
      </c>
      <c r="F195" s="563">
        <v>1975954.72</v>
      </c>
      <c r="G195" s="120">
        <v>3.5836164156822438E-3</v>
      </c>
      <c r="H195" s="563">
        <v>5744331.1699999999</v>
      </c>
      <c r="I195" s="120">
        <v>2.1024788272224232E-2</v>
      </c>
      <c r="J195" s="563">
        <v>2026.39</v>
      </c>
      <c r="K195" s="120">
        <v>1.4042207259815906E-5</v>
      </c>
      <c r="L195" s="563">
        <v>2866014.37</v>
      </c>
      <c r="M195" s="120">
        <v>1.9860524278717675E-2</v>
      </c>
      <c r="N195" s="563">
        <v>14784428.119999999</v>
      </c>
      <c r="O195" s="120">
        <v>2.0017150676539048E-2</v>
      </c>
      <c r="P195" s="124">
        <v>25385747.489999998</v>
      </c>
      <c r="Q195" s="124"/>
      <c r="R195" s="563"/>
      <c r="S195" s="120"/>
      <c r="T195" s="373"/>
      <c r="U195" s="541">
        <v>784</v>
      </c>
      <c r="V195" s="540" t="s">
        <v>433</v>
      </c>
      <c r="W195" s="442" t="s">
        <v>29</v>
      </c>
      <c r="X195" s="552" t="s">
        <v>432</v>
      </c>
      <c r="Y195" s="563">
        <v>1473.56</v>
      </c>
      <c r="Z195" s="563">
        <v>14085571.27</v>
      </c>
      <c r="AA195" s="563">
        <v>5285863.99</v>
      </c>
      <c r="AB195" s="563">
        <v>8698.99</v>
      </c>
      <c r="AC195" s="563"/>
      <c r="AD195" s="563">
        <v>19381607.809999999</v>
      </c>
      <c r="AE195" s="124"/>
      <c r="AF195" s="541">
        <v>784</v>
      </c>
      <c r="AG195" s="540" t="s">
        <v>433</v>
      </c>
      <c r="AH195" s="442" t="s">
        <v>29</v>
      </c>
      <c r="AI195" s="552" t="s">
        <v>432</v>
      </c>
      <c r="AJ195" s="563">
        <v>2026.39</v>
      </c>
      <c r="AK195" s="563">
        <v>14784428.119999999</v>
      </c>
      <c r="AL195" s="563">
        <v>5744331.1699999999</v>
      </c>
      <c r="AM195" s="563">
        <v>12992.72</v>
      </c>
      <c r="AN195" s="563"/>
      <c r="AO195" s="563">
        <v>20543778.399999999</v>
      </c>
      <c r="AR195" s="124">
        <f>+L195</f>
        <v>2866014.37</v>
      </c>
      <c r="AS195" s="124">
        <f>+F195</f>
        <v>1975954.72</v>
      </c>
      <c r="AV195" s="372">
        <f t="shared" si="7"/>
        <v>4841969.09</v>
      </c>
      <c r="AW195" s="124">
        <f>+AV195+AO195-P195</f>
        <v>0</v>
      </c>
      <c r="AZ195" s="563">
        <v>49.81</v>
      </c>
      <c r="BA195" s="563">
        <v>366864.76</v>
      </c>
      <c r="BB195" s="563">
        <v>148083.19</v>
      </c>
      <c r="BC195" s="563">
        <v>289.94</v>
      </c>
      <c r="BD195" s="563"/>
      <c r="BE195" s="563">
        <v>515287.7</v>
      </c>
      <c r="BF195" s="372"/>
      <c r="BO195" s="563">
        <v>3549.76</v>
      </c>
      <c r="BP195" s="563">
        <v>32102878.52</v>
      </c>
      <c r="BQ195" s="563">
        <v>13154233.07</v>
      </c>
      <c r="BR195" s="563">
        <v>21981.65</v>
      </c>
      <c r="BS195" s="563"/>
      <c r="BT195" s="563">
        <v>45282643</v>
      </c>
      <c r="BW195" s="126">
        <v>99</v>
      </c>
      <c r="BX195" s="125">
        <v>27019</v>
      </c>
      <c r="BY195" s="19" t="s">
        <v>29</v>
      </c>
      <c r="BZ195" t="s">
        <v>754</v>
      </c>
    </row>
    <row r="196" spans="1:78" x14ac:dyDescent="0.3">
      <c r="A196" s="436">
        <v>27010</v>
      </c>
      <c r="B196" s="19" t="s">
        <v>29</v>
      </c>
      <c r="C196" t="s">
        <v>538</v>
      </c>
      <c r="D196" s="563">
        <v>8714.9</v>
      </c>
      <c r="E196" s="120">
        <v>1.5805452617370296E-5</v>
      </c>
      <c r="F196" s="563">
        <v>2648503.6799999997</v>
      </c>
      <c r="G196" s="120">
        <v>4.8033596967459015E-3</v>
      </c>
      <c r="H196" s="563">
        <v>7831507.1799999997</v>
      </c>
      <c r="I196" s="120">
        <v>2.866404729097537E-2</v>
      </c>
      <c r="J196" s="563">
        <v>10453.92</v>
      </c>
      <c r="K196" s="120">
        <v>7.2442181079424345E-5</v>
      </c>
      <c r="L196" s="563">
        <v>4168153.2</v>
      </c>
      <c r="M196" s="120">
        <v>2.8883912339216489E-2</v>
      </c>
      <c r="N196" s="563">
        <v>21931855.420000002</v>
      </c>
      <c r="O196" s="120">
        <v>2.9694300719303686E-2</v>
      </c>
      <c r="P196" s="124">
        <v>36599188.299999997</v>
      </c>
      <c r="Q196" s="124"/>
      <c r="R196" s="563"/>
      <c r="S196" s="120"/>
      <c r="T196" s="373"/>
      <c r="U196" s="541">
        <v>966</v>
      </c>
      <c r="V196" s="540" t="s">
        <v>539</v>
      </c>
      <c r="W196" s="442" t="s">
        <v>29</v>
      </c>
      <c r="X196" s="552" t="s">
        <v>538</v>
      </c>
      <c r="Y196" s="563">
        <v>6499.39</v>
      </c>
      <c r="Z196" s="563">
        <v>20485075.73</v>
      </c>
      <c r="AA196" s="563">
        <v>7034135.2299999995</v>
      </c>
      <c r="AB196" s="563">
        <v>5763.27</v>
      </c>
      <c r="AC196" s="563"/>
      <c r="AD196" s="563">
        <v>27531473.619999997</v>
      </c>
      <c r="AE196" s="124"/>
      <c r="AF196" s="541">
        <v>966</v>
      </c>
      <c r="AG196" s="540" t="s">
        <v>539</v>
      </c>
      <c r="AH196" s="442" t="s">
        <v>29</v>
      </c>
      <c r="AI196" s="552" t="s">
        <v>538</v>
      </c>
      <c r="AJ196" s="563">
        <v>10453.92</v>
      </c>
      <c r="AK196" s="563">
        <v>21931855.420000002</v>
      </c>
      <c r="AL196" s="563">
        <v>7831507.1799999997</v>
      </c>
      <c r="AM196" s="563">
        <v>8714.9</v>
      </c>
      <c r="AN196" s="563"/>
      <c r="AO196" s="563">
        <v>29782531.420000002</v>
      </c>
      <c r="AR196" s="124">
        <f>+L196</f>
        <v>4168153.2</v>
      </c>
      <c r="AS196" s="124">
        <f>+F196</f>
        <v>2648503.6799999997</v>
      </c>
      <c r="AV196" s="372">
        <f t="shared" si="7"/>
        <v>6816656.8799999999</v>
      </c>
      <c r="AW196" s="124">
        <f>+AV196+AO196-P196</f>
        <v>0</v>
      </c>
      <c r="AZ196" s="563">
        <v>216.07</v>
      </c>
      <c r="BA196" s="563">
        <v>544569.55000000005</v>
      </c>
      <c r="BB196" s="563">
        <v>201952.52000000002</v>
      </c>
      <c r="BC196" s="563">
        <v>192.13</v>
      </c>
      <c r="BD196" s="563"/>
      <c r="BE196" s="563">
        <v>746930.27</v>
      </c>
      <c r="BF196" s="372"/>
      <c r="BO196" s="563">
        <v>17169.38</v>
      </c>
      <c r="BP196" s="563">
        <v>47129653.899999999</v>
      </c>
      <c r="BQ196" s="563">
        <v>17716098.609999999</v>
      </c>
      <c r="BR196" s="563">
        <v>14670.3</v>
      </c>
      <c r="BS196" s="563"/>
      <c r="BT196" s="563">
        <v>64877592.189999998</v>
      </c>
      <c r="BW196" s="126">
        <v>1020</v>
      </c>
      <c r="BX196" s="125">
        <v>27083</v>
      </c>
      <c r="BY196" s="19" t="s">
        <v>29</v>
      </c>
      <c r="BZ196" t="s">
        <v>993</v>
      </c>
    </row>
    <row r="197" spans="1:78" x14ac:dyDescent="0.3">
      <c r="A197" s="436">
        <v>27019</v>
      </c>
      <c r="B197" s="19" t="s">
        <v>29</v>
      </c>
      <c r="C197" t="s">
        <v>66</v>
      </c>
      <c r="D197" s="563"/>
      <c r="E197" s="120"/>
      <c r="F197" s="563">
        <v>13590.300000000001</v>
      </c>
      <c r="G197" s="120">
        <v>2.4647539582307031E-5</v>
      </c>
      <c r="H197" s="563">
        <v>39556.71</v>
      </c>
      <c r="I197" s="120">
        <v>1.4478125092077081E-4</v>
      </c>
      <c r="J197" s="563"/>
      <c r="K197" s="120"/>
      <c r="L197" s="563">
        <v>23964.93</v>
      </c>
      <c r="M197" s="120">
        <v>1.6606897686377253E-4</v>
      </c>
      <c r="N197" s="563">
        <v>111026.45000000001</v>
      </c>
      <c r="O197" s="120">
        <v>1.5032256646604938E-4</v>
      </c>
      <c r="P197" s="124">
        <v>188138.39</v>
      </c>
      <c r="Q197" s="124"/>
      <c r="R197" s="563"/>
      <c r="S197" s="120"/>
      <c r="T197" s="373"/>
      <c r="U197" s="541">
        <v>99</v>
      </c>
      <c r="V197" s="540" t="s">
        <v>67</v>
      </c>
      <c r="W197" s="442" t="s">
        <v>29</v>
      </c>
      <c r="X197" s="552" t="s">
        <v>66</v>
      </c>
      <c r="Y197" s="563"/>
      <c r="Z197" s="563">
        <v>124384.87</v>
      </c>
      <c r="AA197" s="563">
        <v>37745.72</v>
      </c>
      <c r="AB197" s="563"/>
      <c r="AC197" s="563"/>
      <c r="AD197" s="563">
        <v>162130.59</v>
      </c>
      <c r="AE197" s="124"/>
      <c r="AF197" s="541">
        <v>99</v>
      </c>
      <c r="AG197" s="540" t="s">
        <v>67</v>
      </c>
      <c r="AH197" s="442" t="s">
        <v>29</v>
      </c>
      <c r="AI197" s="552" t="s">
        <v>66</v>
      </c>
      <c r="AJ197" s="563"/>
      <c r="AK197" s="563">
        <v>111026.45000000001</v>
      </c>
      <c r="AL197" s="563">
        <v>39556.71</v>
      </c>
      <c r="AM197" s="563"/>
      <c r="AN197" s="563"/>
      <c r="AO197" s="563">
        <v>150583.16</v>
      </c>
      <c r="AR197" s="124">
        <f>+L197</f>
        <v>23964.93</v>
      </c>
      <c r="AS197" s="124">
        <f>+F197</f>
        <v>13590.300000000001</v>
      </c>
      <c r="AV197" s="372">
        <f t="shared" si="7"/>
        <v>37555.230000000003</v>
      </c>
      <c r="AW197" s="124">
        <f>+AV197+AO197-P197</f>
        <v>0</v>
      </c>
      <c r="AZ197" s="563"/>
      <c r="BA197" s="563">
        <v>2744.77</v>
      </c>
      <c r="BB197" s="563">
        <v>1019.39</v>
      </c>
      <c r="BC197" s="563"/>
      <c r="BD197" s="563"/>
      <c r="BE197" s="563">
        <v>3764.16</v>
      </c>
      <c r="BF197" s="372"/>
      <c r="BO197" s="563"/>
      <c r="BP197" s="563">
        <v>262121.02</v>
      </c>
      <c r="BQ197" s="563">
        <v>91912.12</v>
      </c>
      <c r="BR197" s="563"/>
      <c r="BS197" s="563"/>
      <c r="BT197" s="563">
        <v>354033.14</v>
      </c>
      <c r="BW197" s="126">
        <v>955</v>
      </c>
      <c r="BX197" s="125">
        <v>27320</v>
      </c>
      <c r="BY197" s="19" t="s">
        <v>29</v>
      </c>
      <c r="BZ197" t="s">
        <v>1123</v>
      </c>
    </row>
    <row r="198" spans="1:78" x14ac:dyDescent="0.3">
      <c r="A198" s="436">
        <v>27083</v>
      </c>
      <c r="B198" s="19" t="s">
        <v>29</v>
      </c>
      <c r="C198" t="s">
        <v>568</v>
      </c>
      <c r="D198" s="563"/>
      <c r="E198" s="120"/>
      <c r="F198" s="563">
        <v>367450.15</v>
      </c>
      <c r="G198" s="120">
        <v>6.6641222906408651E-4</v>
      </c>
      <c r="H198" s="563">
        <v>1083262.95</v>
      </c>
      <c r="I198" s="120">
        <v>3.9648435114326853E-3</v>
      </c>
      <c r="J198" s="563">
        <v>0</v>
      </c>
      <c r="K198" s="120">
        <v>0</v>
      </c>
      <c r="L198" s="563">
        <v>682660.88</v>
      </c>
      <c r="M198" s="120">
        <v>4.7306123525719702E-3</v>
      </c>
      <c r="N198" s="563">
        <v>3504551.3499999996</v>
      </c>
      <c r="O198" s="120">
        <v>4.7449337814913289E-3</v>
      </c>
      <c r="P198" s="124">
        <v>5637925.3300000001</v>
      </c>
      <c r="Q198" s="124"/>
      <c r="R198" s="563"/>
      <c r="S198" s="120"/>
      <c r="T198" s="373"/>
      <c r="U198" s="541">
        <v>1020</v>
      </c>
      <c r="V198" s="540" t="s">
        <v>569</v>
      </c>
      <c r="W198" s="442" t="s">
        <v>29</v>
      </c>
      <c r="X198" s="552" t="s">
        <v>568</v>
      </c>
      <c r="Y198" s="563">
        <v>0</v>
      </c>
      <c r="Z198" s="563">
        <v>3522894.49</v>
      </c>
      <c r="AA198" s="563">
        <v>1086251</v>
      </c>
      <c r="AB198" s="563"/>
      <c r="AC198" s="563"/>
      <c r="AD198" s="563">
        <v>4609145.49</v>
      </c>
      <c r="AE198" s="124"/>
      <c r="AF198" s="541">
        <v>1020</v>
      </c>
      <c r="AG198" s="540" t="s">
        <v>569</v>
      </c>
      <c r="AH198" s="442" t="s">
        <v>29</v>
      </c>
      <c r="AI198" s="552" t="s">
        <v>568</v>
      </c>
      <c r="AJ198" s="563">
        <v>0</v>
      </c>
      <c r="AK198" s="563">
        <v>3504551.3499999996</v>
      </c>
      <c r="AL198" s="563">
        <v>1083262.95</v>
      </c>
      <c r="AM198" s="563"/>
      <c r="AN198" s="563"/>
      <c r="AO198" s="563">
        <v>4587814.3</v>
      </c>
      <c r="AR198" s="124">
        <f>+L198</f>
        <v>682660.88</v>
      </c>
      <c r="AS198" s="124">
        <f>+F198</f>
        <v>367450.15</v>
      </c>
      <c r="AV198" s="372">
        <f t="shared" si="7"/>
        <v>1050111.03</v>
      </c>
      <c r="AW198" s="124">
        <f>+AV198+AO198-P198</f>
        <v>0</v>
      </c>
      <c r="AZ198" s="563">
        <v>0</v>
      </c>
      <c r="BA198" s="563">
        <v>86958.510000000009</v>
      </c>
      <c r="BB198" s="563">
        <v>27900.11</v>
      </c>
      <c r="BC198" s="563"/>
      <c r="BD198" s="563"/>
      <c r="BE198" s="563">
        <v>114858.62000000001</v>
      </c>
      <c r="BF198" s="372"/>
      <c r="BO198" s="563">
        <v>0</v>
      </c>
      <c r="BP198" s="563">
        <v>7797065.2299999995</v>
      </c>
      <c r="BQ198" s="563">
        <v>2564864.21</v>
      </c>
      <c r="BR198" s="563"/>
      <c r="BS198" s="563"/>
      <c r="BT198" s="563">
        <v>10361929.439999999</v>
      </c>
      <c r="BW198" s="126">
        <v>231</v>
      </c>
      <c r="BX198" s="125">
        <v>27343</v>
      </c>
      <c r="BY198" s="19" t="s">
        <v>29</v>
      </c>
      <c r="BZ198" t="s">
        <v>789</v>
      </c>
    </row>
    <row r="199" spans="1:78" x14ac:dyDescent="0.3">
      <c r="A199" s="436">
        <v>27320</v>
      </c>
      <c r="B199" s="19" t="s">
        <v>29</v>
      </c>
      <c r="C199" t="s">
        <v>1106</v>
      </c>
      <c r="D199" s="563"/>
      <c r="E199" s="120"/>
      <c r="F199" s="563">
        <v>743088.78</v>
      </c>
      <c r="G199" s="120">
        <v>1.347675188790405E-3</v>
      </c>
      <c r="H199" s="563">
        <v>2175524.5099999998</v>
      </c>
      <c r="I199" s="120">
        <v>7.9626227754177985E-3</v>
      </c>
      <c r="J199" s="563">
        <v>0</v>
      </c>
      <c r="K199" s="120">
        <v>0</v>
      </c>
      <c r="L199" s="563">
        <v>1296396.43</v>
      </c>
      <c r="M199" s="120">
        <v>8.9835951425665458E-3</v>
      </c>
      <c r="N199" s="563">
        <v>6687103.8800000008</v>
      </c>
      <c r="O199" s="120">
        <v>9.0539021779645901E-3</v>
      </c>
      <c r="P199" s="124">
        <v>10902113.600000001</v>
      </c>
      <c r="Q199" s="124"/>
      <c r="R199" s="563"/>
      <c r="S199" s="120"/>
      <c r="T199" s="373"/>
      <c r="U199" s="541">
        <v>955</v>
      </c>
      <c r="V199" s="540" t="s">
        <v>535</v>
      </c>
      <c r="W199" s="442" t="s">
        <v>29</v>
      </c>
      <c r="X199" s="552" t="s">
        <v>1106</v>
      </c>
      <c r="Y199" s="563">
        <v>0</v>
      </c>
      <c r="Z199" s="563">
        <v>6614422.2100000009</v>
      </c>
      <c r="AA199" s="563">
        <v>2024278.51</v>
      </c>
      <c r="AB199" s="563"/>
      <c r="AC199" s="563"/>
      <c r="AD199" s="563">
        <v>8638700.7200000007</v>
      </c>
      <c r="AE199" s="124"/>
      <c r="AF199" s="541">
        <v>955</v>
      </c>
      <c r="AG199" s="540" t="s">
        <v>535</v>
      </c>
      <c r="AH199" s="442" t="s">
        <v>29</v>
      </c>
      <c r="AI199" s="552" t="s">
        <v>1106</v>
      </c>
      <c r="AJ199" s="563">
        <v>0</v>
      </c>
      <c r="AK199" s="563">
        <v>6687103.8800000008</v>
      </c>
      <c r="AL199" s="563">
        <v>2175524.5099999998</v>
      </c>
      <c r="AM199" s="563"/>
      <c r="AN199" s="563"/>
      <c r="AO199" s="563">
        <v>8862628.3900000006</v>
      </c>
      <c r="AR199" s="124">
        <f>+L199</f>
        <v>1296396.43</v>
      </c>
      <c r="AS199" s="124">
        <f>+F199</f>
        <v>743088.78</v>
      </c>
      <c r="AV199" s="372">
        <f t="shared" si="7"/>
        <v>2039485.21</v>
      </c>
      <c r="AW199" s="124">
        <f>+AV199+AO199-P199</f>
        <v>0</v>
      </c>
      <c r="AZ199" s="563">
        <v>0</v>
      </c>
      <c r="BA199" s="563">
        <v>165917.35999999999</v>
      </c>
      <c r="BB199" s="563">
        <v>56070.31</v>
      </c>
      <c r="BC199" s="563"/>
      <c r="BD199" s="563"/>
      <c r="BE199" s="563">
        <v>221987.66999999998</v>
      </c>
      <c r="BF199" s="372"/>
      <c r="BO199" s="563">
        <v>0</v>
      </c>
      <c r="BP199" s="563">
        <v>14763839.880000001</v>
      </c>
      <c r="BQ199" s="563">
        <v>4998962.1100000003</v>
      </c>
      <c r="BR199" s="563"/>
      <c r="BS199" s="563"/>
      <c r="BT199" s="563">
        <v>19762801.990000002</v>
      </c>
      <c r="BW199" s="126">
        <v>691</v>
      </c>
      <c r="BX199" s="125">
        <v>27344</v>
      </c>
      <c r="BY199" s="19" t="s">
        <v>29</v>
      </c>
      <c r="BZ199" t="s">
        <v>913</v>
      </c>
    </row>
    <row r="200" spans="1:78" x14ac:dyDescent="0.3">
      <c r="A200" s="436">
        <v>27343</v>
      </c>
      <c r="B200" s="19" t="s">
        <v>29</v>
      </c>
      <c r="C200" t="s">
        <v>136</v>
      </c>
      <c r="D200" s="563"/>
      <c r="E200" s="120"/>
      <c r="F200" s="563">
        <v>131783.4</v>
      </c>
      <c r="G200" s="120">
        <v>2.3900403727592474E-4</v>
      </c>
      <c r="H200" s="563">
        <v>390566.14</v>
      </c>
      <c r="I200" s="120">
        <v>1.4295085288057805E-3</v>
      </c>
      <c r="J200" s="563">
        <v>0</v>
      </c>
      <c r="K200" s="120">
        <v>0</v>
      </c>
      <c r="L200" s="563">
        <v>197419.34</v>
      </c>
      <c r="M200" s="120">
        <v>1.3680502220086285E-3</v>
      </c>
      <c r="N200" s="563">
        <v>1012271.23</v>
      </c>
      <c r="O200" s="120">
        <v>1.3705491732226376E-3</v>
      </c>
      <c r="P200" s="124">
        <v>1732040.1099999999</v>
      </c>
      <c r="Q200" s="124"/>
      <c r="R200" s="563"/>
      <c r="S200" s="120"/>
      <c r="T200" s="373"/>
      <c r="U200" s="541">
        <v>231</v>
      </c>
      <c r="V200" s="540" t="s">
        <v>137</v>
      </c>
      <c r="W200" s="442" t="s">
        <v>29</v>
      </c>
      <c r="X200" s="552" t="s">
        <v>136</v>
      </c>
      <c r="Y200" s="563">
        <v>0</v>
      </c>
      <c r="Z200" s="563">
        <v>1011503.3999999999</v>
      </c>
      <c r="AA200" s="563">
        <v>386160.89</v>
      </c>
      <c r="AB200" s="563"/>
      <c r="AC200" s="563"/>
      <c r="AD200" s="563">
        <v>1397664.29</v>
      </c>
      <c r="AE200" s="124"/>
      <c r="AF200" s="541">
        <v>231</v>
      </c>
      <c r="AG200" s="540" t="s">
        <v>137</v>
      </c>
      <c r="AH200" s="442" t="s">
        <v>29</v>
      </c>
      <c r="AI200" s="552" t="s">
        <v>136</v>
      </c>
      <c r="AJ200" s="563">
        <v>0</v>
      </c>
      <c r="AK200" s="563">
        <v>1012271.23</v>
      </c>
      <c r="AL200" s="563">
        <v>390566.14</v>
      </c>
      <c r="AM200" s="563"/>
      <c r="AN200" s="563"/>
      <c r="AO200" s="563">
        <v>1402837.37</v>
      </c>
      <c r="AR200" s="124">
        <f>+L200</f>
        <v>197419.34</v>
      </c>
      <c r="AS200" s="124">
        <f>+F200</f>
        <v>131783.4</v>
      </c>
      <c r="AV200" s="372">
        <f t="shared" ref="AV200:AV263" si="8">SUM(AQ200:AU200)</f>
        <v>329202.74</v>
      </c>
      <c r="AW200" s="124">
        <f>+AV200+AO200-P200</f>
        <v>0</v>
      </c>
      <c r="AZ200" s="563">
        <v>0</v>
      </c>
      <c r="BA200" s="563">
        <v>25117.260000000002</v>
      </c>
      <c r="BB200" s="563">
        <v>10065.450000000001</v>
      </c>
      <c r="BC200" s="563"/>
      <c r="BD200" s="563"/>
      <c r="BE200" s="563">
        <v>35182.710000000006</v>
      </c>
      <c r="BF200" s="372"/>
      <c r="BO200" s="563">
        <v>0</v>
      </c>
      <c r="BP200" s="563">
        <v>2246311.23</v>
      </c>
      <c r="BQ200" s="563">
        <v>918575.87999999989</v>
      </c>
      <c r="BR200" s="563"/>
      <c r="BS200" s="563"/>
      <c r="BT200" s="563">
        <v>3164887.11</v>
      </c>
      <c r="BW200" s="126">
        <v>161</v>
      </c>
      <c r="BX200" s="125">
        <v>27400</v>
      </c>
      <c r="BY200" s="19" t="s">
        <v>29</v>
      </c>
      <c r="BZ200" t="s">
        <v>768</v>
      </c>
    </row>
    <row r="201" spans="1:78" x14ac:dyDescent="0.3">
      <c r="A201" s="436">
        <v>27344</v>
      </c>
      <c r="B201" s="19" t="s">
        <v>29</v>
      </c>
      <c r="C201" t="s">
        <v>398</v>
      </c>
      <c r="D201" s="563"/>
      <c r="E201" s="120"/>
      <c r="F201" s="563">
        <v>211283.25</v>
      </c>
      <c r="G201" s="120">
        <v>3.8318596848145158E-4</v>
      </c>
      <c r="H201" s="563">
        <v>625220.25</v>
      </c>
      <c r="I201" s="120">
        <v>2.2883644745985464E-3</v>
      </c>
      <c r="J201" s="563"/>
      <c r="K201" s="120"/>
      <c r="L201" s="563">
        <v>298640.75</v>
      </c>
      <c r="M201" s="120">
        <v>2.0694808539949696E-3</v>
      </c>
      <c r="N201" s="563">
        <v>1533823.84</v>
      </c>
      <c r="O201" s="120">
        <v>2.0766973647775916E-3</v>
      </c>
      <c r="P201" s="124">
        <v>2668968.09</v>
      </c>
      <c r="Q201" s="124"/>
      <c r="R201" s="563"/>
      <c r="S201" s="120"/>
      <c r="T201" s="373"/>
      <c r="U201" s="541">
        <v>691</v>
      </c>
      <c r="V201" s="540" t="s">
        <v>399</v>
      </c>
      <c r="W201" s="442" t="s">
        <v>29</v>
      </c>
      <c r="X201" s="552" t="s">
        <v>398</v>
      </c>
      <c r="Y201" s="563"/>
      <c r="Z201" s="563">
        <v>1419762.86</v>
      </c>
      <c r="AA201" s="563">
        <v>611321.87</v>
      </c>
      <c r="AB201" s="563"/>
      <c r="AC201" s="563"/>
      <c r="AD201" s="563">
        <v>2031084.73</v>
      </c>
      <c r="AE201" s="124"/>
      <c r="AF201" s="541">
        <v>691</v>
      </c>
      <c r="AG201" s="540" t="s">
        <v>399</v>
      </c>
      <c r="AH201" s="442" t="s">
        <v>29</v>
      </c>
      <c r="AI201" s="552" t="s">
        <v>398</v>
      </c>
      <c r="AJ201" s="563"/>
      <c r="AK201" s="563">
        <v>1533823.84</v>
      </c>
      <c r="AL201" s="563">
        <v>625220.25</v>
      </c>
      <c r="AM201" s="563"/>
      <c r="AN201" s="563"/>
      <c r="AO201" s="563">
        <v>2159044.09</v>
      </c>
      <c r="AR201" s="124">
        <f>+L201</f>
        <v>298640.75</v>
      </c>
      <c r="AS201" s="124">
        <f>+F201</f>
        <v>211283.25</v>
      </c>
      <c r="AV201" s="372">
        <f t="shared" si="8"/>
        <v>509924</v>
      </c>
      <c r="AW201" s="124">
        <f>+AV201+AO201-P201</f>
        <v>0</v>
      </c>
      <c r="AZ201" s="563"/>
      <c r="BA201" s="563">
        <v>38058.949999999997</v>
      </c>
      <c r="BB201" s="563">
        <v>16114.74</v>
      </c>
      <c r="BC201" s="563"/>
      <c r="BD201" s="563"/>
      <c r="BE201" s="563">
        <v>54173.689999999995</v>
      </c>
      <c r="BF201" s="372"/>
      <c r="BO201" s="563"/>
      <c r="BP201" s="563">
        <v>3290286.4000000004</v>
      </c>
      <c r="BQ201" s="563">
        <v>1463940.1099999999</v>
      </c>
      <c r="BR201" s="563"/>
      <c r="BS201" s="563"/>
      <c r="BT201" s="563">
        <v>4754226.51</v>
      </c>
      <c r="BW201" s="126">
        <v>718</v>
      </c>
      <c r="BX201" s="125">
        <v>27401</v>
      </c>
      <c r="BY201" s="19" t="s">
        <v>29</v>
      </c>
      <c r="BZ201" t="s">
        <v>921</v>
      </c>
    </row>
    <row r="202" spans="1:78" x14ac:dyDescent="0.3">
      <c r="A202" s="436">
        <v>27400</v>
      </c>
      <c r="B202" s="19" t="s">
        <v>29</v>
      </c>
      <c r="C202" t="s">
        <v>94</v>
      </c>
      <c r="D202" s="563">
        <v>11366.07</v>
      </c>
      <c r="E202" s="120">
        <v>2.0613647985715728E-5</v>
      </c>
      <c r="F202" s="563">
        <v>1313935.95</v>
      </c>
      <c r="G202" s="120">
        <v>2.382970820087944E-3</v>
      </c>
      <c r="H202" s="563">
        <v>3902019.4800000004</v>
      </c>
      <c r="I202" s="120">
        <v>1.4281755520912022E-2</v>
      </c>
      <c r="J202" s="563">
        <v>0</v>
      </c>
      <c r="K202" s="120">
        <v>0</v>
      </c>
      <c r="L202" s="563">
        <v>1769424.73</v>
      </c>
      <c r="M202" s="120">
        <v>1.2261523590870365E-2</v>
      </c>
      <c r="N202" s="563">
        <v>9093283.4900000002</v>
      </c>
      <c r="O202" s="120">
        <v>1.2311712315580245E-2</v>
      </c>
      <c r="P202" s="124">
        <v>16090029.720000001</v>
      </c>
      <c r="Q202" s="124"/>
      <c r="R202" s="563"/>
      <c r="S202" s="120"/>
      <c r="T202" s="373"/>
      <c r="U202" s="541">
        <v>161</v>
      </c>
      <c r="V202" s="540" t="s">
        <v>95</v>
      </c>
      <c r="W202" s="442" t="s">
        <v>29</v>
      </c>
      <c r="X202" s="552" t="s">
        <v>94</v>
      </c>
      <c r="Y202" s="563">
        <v>0</v>
      </c>
      <c r="Z202" s="563">
        <v>8528413.129999999</v>
      </c>
      <c r="AA202" s="563">
        <v>3591407.66</v>
      </c>
      <c r="AB202" s="563">
        <v>7665.12</v>
      </c>
      <c r="AC202" s="563"/>
      <c r="AD202" s="563">
        <v>12127485.91</v>
      </c>
      <c r="AE202" s="124"/>
      <c r="AF202" s="541">
        <v>161</v>
      </c>
      <c r="AG202" s="540" t="s">
        <v>95</v>
      </c>
      <c r="AH202" s="442" t="s">
        <v>29</v>
      </c>
      <c r="AI202" s="552" t="s">
        <v>94</v>
      </c>
      <c r="AJ202" s="563">
        <v>0</v>
      </c>
      <c r="AK202" s="563">
        <v>9093283.4900000002</v>
      </c>
      <c r="AL202" s="563">
        <v>3902019.4800000004</v>
      </c>
      <c r="AM202" s="563">
        <v>11366.07</v>
      </c>
      <c r="AN202" s="563"/>
      <c r="AO202" s="563">
        <v>13006669.040000001</v>
      </c>
      <c r="AR202" s="124">
        <f>+L202</f>
        <v>1769424.73</v>
      </c>
      <c r="AS202" s="124">
        <f>+F202</f>
        <v>1313935.95</v>
      </c>
      <c r="AV202" s="372">
        <f t="shared" si="8"/>
        <v>3083360.6799999997</v>
      </c>
      <c r="AW202" s="124">
        <f>+AV202+AO202-P202</f>
        <v>0</v>
      </c>
      <c r="AZ202" s="563">
        <v>0</v>
      </c>
      <c r="BA202" s="563">
        <v>225678.87</v>
      </c>
      <c r="BB202" s="563">
        <v>100574.92000000001</v>
      </c>
      <c r="BC202" s="563">
        <v>255.45</v>
      </c>
      <c r="BD202" s="563"/>
      <c r="BE202" s="563">
        <v>326509.24</v>
      </c>
      <c r="BF202" s="372"/>
      <c r="BO202" s="563">
        <v>0</v>
      </c>
      <c r="BP202" s="563">
        <v>19616800.219999999</v>
      </c>
      <c r="BQ202" s="563">
        <v>8907938.0099999998</v>
      </c>
      <c r="BR202" s="563">
        <v>19286.64</v>
      </c>
      <c r="BS202" s="563"/>
      <c r="BT202" s="563">
        <v>28544024.869999997</v>
      </c>
      <c r="BW202" s="126">
        <v>319</v>
      </c>
      <c r="BX202" s="125">
        <v>27402</v>
      </c>
      <c r="BY202" s="19" t="s">
        <v>29</v>
      </c>
      <c r="BZ202" t="s">
        <v>814</v>
      </c>
    </row>
    <row r="203" spans="1:78" x14ac:dyDescent="0.3">
      <c r="A203" s="436">
        <v>27401</v>
      </c>
      <c r="B203" s="19" t="s">
        <v>29</v>
      </c>
      <c r="C203" t="s">
        <v>414</v>
      </c>
      <c r="D203" s="563"/>
      <c r="E203" s="120"/>
      <c r="F203" s="563">
        <v>629979.80000000005</v>
      </c>
      <c r="G203" s="120">
        <v>1.1425393152876585E-3</v>
      </c>
      <c r="H203" s="563">
        <v>1868240.7200000002</v>
      </c>
      <c r="I203" s="120">
        <v>6.8379354213917581E-3</v>
      </c>
      <c r="J203" s="563">
        <v>0</v>
      </c>
      <c r="K203" s="120">
        <v>0</v>
      </c>
      <c r="L203" s="563">
        <v>1105577.1200000001</v>
      </c>
      <c r="M203" s="120">
        <v>7.6612809285233159E-3</v>
      </c>
      <c r="N203" s="563">
        <v>5672657.0999999996</v>
      </c>
      <c r="O203" s="120">
        <v>7.680407452042794E-3</v>
      </c>
      <c r="P203" s="124">
        <v>9276454.7400000002</v>
      </c>
      <c r="Q203" s="124"/>
      <c r="R203" s="563"/>
      <c r="S203" s="120"/>
      <c r="T203" s="373"/>
      <c r="U203" s="541">
        <v>718</v>
      </c>
      <c r="V203" s="540" t="s">
        <v>415</v>
      </c>
      <c r="W203" s="442" t="s">
        <v>29</v>
      </c>
      <c r="X203" s="552" t="s">
        <v>414</v>
      </c>
      <c r="Y203" s="563">
        <v>0</v>
      </c>
      <c r="Z203" s="563">
        <v>5522749.9399999995</v>
      </c>
      <c r="AA203" s="563">
        <v>1808817.77</v>
      </c>
      <c r="AB203" s="563"/>
      <c r="AC203" s="563"/>
      <c r="AD203" s="563">
        <v>7331567.709999999</v>
      </c>
      <c r="AE203" s="124"/>
      <c r="AF203" s="541">
        <v>718</v>
      </c>
      <c r="AG203" s="540" t="s">
        <v>415</v>
      </c>
      <c r="AH203" s="442" t="s">
        <v>29</v>
      </c>
      <c r="AI203" s="552" t="s">
        <v>414</v>
      </c>
      <c r="AJ203" s="563">
        <v>0</v>
      </c>
      <c r="AK203" s="563">
        <v>5672657.0999999996</v>
      </c>
      <c r="AL203" s="563">
        <v>1868240.7200000002</v>
      </c>
      <c r="AM203" s="563"/>
      <c r="AN203" s="563"/>
      <c r="AO203" s="563">
        <v>7540897.8200000003</v>
      </c>
      <c r="AR203" s="124">
        <f>+L203</f>
        <v>1105577.1200000001</v>
      </c>
      <c r="AS203" s="124">
        <f>+F203</f>
        <v>629979.80000000005</v>
      </c>
      <c r="AV203" s="372">
        <f t="shared" si="8"/>
        <v>1735556.9200000002</v>
      </c>
      <c r="AW203" s="124">
        <f>+AV203+AO203-P203</f>
        <v>0</v>
      </c>
      <c r="AZ203" s="563">
        <v>0</v>
      </c>
      <c r="BA203" s="563">
        <v>140758.32</v>
      </c>
      <c r="BB203" s="563">
        <v>48151.369999999995</v>
      </c>
      <c r="BC203" s="563"/>
      <c r="BD203" s="563"/>
      <c r="BE203" s="563">
        <v>188909.69</v>
      </c>
      <c r="BF203" s="372"/>
      <c r="BO203" s="563">
        <v>0</v>
      </c>
      <c r="BP203" s="563">
        <v>12441742.48</v>
      </c>
      <c r="BQ203" s="563">
        <v>4355189.66</v>
      </c>
      <c r="BR203" s="563"/>
      <c r="BS203" s="563"/>
      <c r="BT203" s="563">
        <v>16796932.140000001</v>
      </c>
      <c r="BW203" s="126">
        <v>66</v>
      </c>
      <c r="BX203" s="125">
        <v>27403</v>
      </c>
      <c r="BY203" s="19" t="s">
        <v>29</v>
      </c>
      <c r="BZ203" t="s">
        <v>743</v>
      </c>
    </row>
    <row r="204" spans="1:78" x14ac:dyDescent="0.3">
      <c r="A204" s="436">
        <v>27402</v>
      </c>
      <c r="B204" s="19" t="s">
        <v>29</v>
      </c>
      <c r="C204" t="s">
        <v>188</v>
      </c>
      <c r="D204" s="563">
        <v>5450.17</v>
      </c>
      <c r="E204" s="120">
        <v>9.8844970902262868E-6</v>
      </c>
      <c r="F204" s="563">
        <v>660921.16999999993</v>
      </c>
      <c r="G204" s="120">
        <v>1.1986549743831754E-3</v>
      </c>
      <c r="H204" s="563">
        <v>1930015.1</v>
      </c>
      <c r="I204" s="120">
        <v>7.0640354183645858E-3</v>
      </c>
      <c r="J204" s="563">
        <v>12770.76</v>
      </c>
      <c r="K204" s="120">
        <v>8.8497110025891653E-5</v>
      </c>
      <c r="L204" s="563">
        <v>982879.91999999993</v>
      </c>
      <c r="M204" s="120">
        <v>6.8110302301883033E-3</v>
      </c>
      <c r="N204" s="563">
        <v>5025040.5999999996</v>
      </c>
      <c r="O204" s="120">
        <v>6.8035769817741303E-3</v>
      </c>
      <c r="P204" s="124">
        <v>8617077.7199999988</v>
      </c>
      <c r="Q204" s="124"/>
      <c r="R204" s="563"/>
      <c r="S204" s="120"/>
      <c r="T204" s="373"/>
      <c r="U204" s="541">
        <v>319</v>
      </c>
      <c r="V204" s="540" t="s">
        <v>189</v>
      </c>
      <c r="W204" s="442" t="s">
        <v>29</v>
      </c>
      <c r="X204" s="552" t="s">
        <v>188</v>
      </c>
      <c r="Y204" s="563">
        <v>7949.87</v>
      </c>
      <c r="Z204" s="563">
        <v>4988896.74</v>
      </c>
      <c r="AA204" s="563">
        <v>1861834.35</v>
      </c>
      <c r="AB204" s="563">
        <v>3600.94</v>
      </c>
      <c r="AC204" s="563"/>
      <c r="AD204" s="563">
        <v>6862281.9000000004</v>
      </c>
      <c r="AE204" s="124"/>
      <c r="AF204" s="541">
        <v>319</v>
      </c>
      <c r="AG204" s="540" t="s">
        <v>189</v>
      </c>
      <c r="AH204" s="442" t="s">
        <v>29</v>
      </c>
      <c r="AI204" s="552" t="s">
        <v>188</v>
      </c>
      <c r="AJ204" s="563">
        <v>12770.76</v>
      </c>
      <c r="AK204" s="563">
        <v>5025040.5999999996</v>
      </c>
      <c r="AL204" s="563">
        <v>1930015.1</v>
      </c>
      <c r="AM204" s="563">
        <v>5450.17</v>
      </c>
      <c r="AN204" s="563"/>
      <c r="AO204" s="563">
        <v>6973276.6299999999</v>
      </c>
      <c r="AR204" s="124">
        <f>+L204</f>
        <v>982879.91999999993</v>
      </c>
      <c r="AS204" s="124">
        <f>+F204</f>
        <v>660921.16999999993</v>
      </c>
      <c r="AV204" s="372">
        <f t="shared" si="8"/>
        <v>1643801.0899999999</v>
      </c>
      <c r="AW204" s="124">
        <f>+AV204+AO204-P204</f>
        <v>0</v>
      </c>
      <c r="AZ204" s="563">
        <v>264.79000000000002</v>
      </c>
      <c r="BA204" s="563">
        <v>124639.27</v>
      </c>
      <c r="BB204" s="563">
        <v>49742.39</v>
      </c>
      <c r="BC204" s="563">
        <v>119.97</v>
      </c>
      <c r="BD204" s="563"/>
      <c r="BE204" s="563">
        <v>174766.42</v>
      </c>
      <c r="BF204" s="372"/>
      <c r="BO204" s="563">
        <v>20985.42</v>
      </c>
      <c r="BP204" s="563">
        <v>11121456.530000001</v>
      </c>
      <c r="BQ204" s="563">
        <v>4502513.01</v>
      </c>
      <c r="BR204" s="563">
        <v>9171.08</v>
      </c>
      <c r="BS204" s="563"/>
      <c r="BT204" s="563">
        <v>15654126.040000001</v>
      </c>
      <c r="BW204" s="126">
        <v>251</v>
      </c>
      <c r="BX204" s="125">
        <v>27404</v>
      </c>
      <c r="BY204" s="19" t="s">
        <v>29</v>
      </c>
      <c r="BZ204" t="s">
        <v>794</v>
      </c>
    </row>
    <row r="205" spans="1:78" x14ac:dyDescent="0.3">
      <c r="A205" s="436">
        <v>27403</v>
      </c>
      <c r="B205" s="19" t="s">
        <v>29</v>
      </c>
      <c r="C205" t="s">
        <v>41</v>
      </c>
      <c r="D205" s="563"/>
      <c r="E205" s="120"/>
      <c r="F205" s="563">
        <v>1508551.33</v>
      </c>
      <c r="G205" s="120">
        <v>2.7359277291978037E-3</v>
      </c>
      <c r="H205" s="563">
        <v>4469778.59</v>
      </c>
      <c r="I205" s="120">
        <v>1.6359806859546185E-2</v>
      </c>
      <c r="J205" s="563">
        <v>0</v>
      </c>
      <c r="K205" s="120">
        <v>0</v>
      </c>
      <c r="L205" s="563">
        <v>2398384.73</v>
      </c>
      <c r="M205" s="120">
        <v>1.6620006744722197E-2</v>
      </c>
      <c r="N205" s="563">
        <v>12301187.85</v>
      </c>
      <c r="O205" s="120">
        <v>1.6655005435128149E-2</v>
      </c>
      <c r="P205" s="124">
        <v>20677902.5</v>
      </c>
      <c r="Q205" s="124"/>
      <c r="R205" s="563"/>
      <c r="S205" s="120"/>
      <c r="T205" s="373"/>
      <c r="U205" s="541">
        <v>66</v>
      </c>
      <c r="V205" s="540" t="s">
        <v>42</v>
      </c>
      <c r="W205" s="442" t="s">
        <v>29</v>
      </c>
      <c r="X205" s="552" t="s">
        <v>41</v>
      </c>
      <c r="Y205" s="563">
        <v>0</v>
      </c>
      <c r="Z205" s="563">
        <v>11718138.92</v>
      </c>
      <c r="AA205" s="563">
        <v>4138507.42</v>
      </c>
      <c r="AB205" s="563"/>
      <c r="AC205" s="563"/>
      <c r="AD205" s="563">
        <v>15856646.34</v>
      </c>
      <c r="AE205" s="124"/>
      <c r="AF205" s="541">
        <v>66</v>
      </c>
      <c r="AG205" s="540" t="s">
        <v>42</v>
      </c>
      <c r="AH205" s="442" t="s">
        <v>29</v>
      </c>
      <c r="AI205" s="552" t="s">
        <v>41</v>
      </c>
      <c r="AJ205" s="563">
        <v>0</v>
      </c>
      <c r="AK205" s="563">
        <v>12301187.85</v>
      </c>
      <c r="AL205" s="563">
        <v>4469778.59</v>
      </c>
      <c r="AM205" s="563"/>
      <c r="AN205" s="563"/>
      <c r="AO205" s="563">
        <v>16770966.439999999</v>
      </c>
      <c r="AR205" s="124">
        <f>+L205</f>
        <v>2398384.73</v>
      </c>
      <c r="AS205" s="124">
        <f>+F205</f>
        <v>1508551.33</v>
      </c>
      <c r="AV205" s="372">
        <f t="shared" si="8"/>
        <v>3906936.06</v>
      </c>
      <c r="AW205" s="124">
        <f>+AV205+AO205-P205</f>
        <v>0</v>
      </c>
      <c r="AZ205" s="563">
        <v>0</v>
      </c>
      <c r="BA205" s="563">
        <v>305270.21000000002</v>
      </c>
      <c r="BB205" s="563">
        <v>115202.93</v>
      </c>
      <c r="BC205" s="563"/>
      <c r="BD205" s="563"/>
      <c r="BE205" s="563">
        <v>420473.14</v>
      </c>
      <c r="BF205" s="372"/>
      <c r="BO205" s="563">
        <v>0</v>
      </c>
      <c r="BP205" s="563">
        <v>26722981.710000001</v>
      </c>
      <c r="BQ205" s="563">
        <v>10232040.27</v>
      </c>
      <c r="BR205" s="563"/>
      <c r="BS205" s="563"/>
      <c r="BT205" s="563">
        <v>36955021.980000004</v>
      </c>
      <c r="BW205" s="126">
        <v>1092</v>
      </c>
      <c r="BX205" s="125">
        <v>27416</v>
      </c>
      <c r="BY205" s="19" t="s">
        <v>29</v>
      </c>
      <c r="BZ205" t="s">
        <v>1011</v>
      </c>
    </row>
    <row r="206" spans="1:78" x14ac:dyDescent="0.3">
      <c r="A206" s="436">
        <v>27404</v>
      </c>
      <c r="B206" s="19" t="s">
        <v>29</v>
      </c>
      <c r="C206" t="s">
        <v>148</v>
      </c>
      <c r="D206" s="563"/>
      <c r="E206" s="120"/>
      <c r="F206" s="563">
        <v>165690.07</v>
      </c>
      <c r="G206" s="120">
        <v>3.004976018719397E-4</v>
      </c>
      <c r="H206" s="563">
        <v>486753.77</v>
      </c>
      <c r="I206" s="120">
        <v>1.781564232996151E-3</v>
      </c>
      <c r="J206" s="563">
        <v>0</v>
      </c>
      <c r="K206" s="120">
        <v>0</v>
      </c>
      <c r="L206" s="563">
        <v>242741.36</v>
      </c>
      <c r="M206" s="120">
        <v>1.6821167137863818E-3</v>
      </c>
      <c r="N206" s="563">
        <v>1249659.92</v>
      </c>
      <c r="O206" s="120">
        <v>1.6919579648287224E-3</v>
      </c>
      <c r="P206" s="124">
        <v>2144845.12</v>
      </c>
      <c r="Q206" s="124"/>
      <c r="R206" s="563"/>
      <c r="S206" s="120"/>
      <c r="T206" s="373"/>
      <c r="U206" s="541">
        <v>251</v>
      </c>
      <c r="V206" s="540" t="s">
        <v>149</v>
      </c>
      <c r="W206" s="442" t="s">
        <v>29</v>
      </c>
      <c r="X206" s="552" t="s">
        <v>148</v>
      </c>
      <c r="Y206" s="563">
        <v>0</v>
      </c>
      <c r="Z206" s="563">
        <v>1216992.92</v>
      </c>
      <c r="AA206" s="563">
        <v>461041.5</v>
      </c>
      <c r="AB206" s="563"/>
      <c r="AC206" s="563"/>
      <c r="AD206" s="563">
        <v>1678034.42</v>
      </c>
      <c r="AE206" s="124"/>
      <c r="AF206" s="541">
        <v>251</v>
      </c>
      <c r="AG206" s="540" t="s">
        <v>149</v>
      </c>
      <c r="AH206" s="442" t="s">
        <v>29</v>
      </c>
      <c r="AI206" s="552" t="s">
        <v>148</v>
      </c>
      <c r="AJ206" s="563">
        <v>0</v>
      </c>
      <c r="AK206" s="563">
        <v>1249659.92</v>
      </c>
      <c r="AL206" s="563">
        <v>486753.77</v>
      </c>
      <c r="AM206" s="563"/>
      <c r="AN206" s="563"/>
      <c r="AO206" s="563">
        <v>1736413.69</v>
      </c>
      <c r="AR206" s="124">
        <f>+L206</f>
        <v>242741.36</v>
      </c>
      <c r="AS206" s="124">
        <f>+F206</f>
        <v>165690.07</v>
      </c>
      <c r="AV206" s="372">
        <f t="shared" si="8"/>
        <v>408431.43</v>
      </c>
      <c r="AW206" s="124">
        <f>+AV206+AO206-P206</f>
        <v>0</v>
      </c>
      <c r="AZ206" s="563">
        <v>0</v>
      </c>
      <c r="BA206" s="563">
        <v>31008.159999999996</v>
      </c>
      <c r="BB206" s="563">
        <v>12545.05</v>
      </c>
      <c r="BC206" s="563"/>
      <c r="BD206" s="563"/>
      <c r="BE206" s="563">
        <v>43553.209999999992</v>
      </c>
      <c r="BF206" s="372"/>
      <c r="BO206" s="563">
        <v>0</v>
      </c>
      <c r="BP206" s="563">
        <v>2740402.36</v>
      </c>
      <c r="BQ206" s="563">
        <v>1126030.3900000001</v>
      </c>
      <c r="BR206" s="563"/>
      <c r="BS206" s="563"/>
      <c r="BT206" s="563">
        <v>3866432.75</v>
      </c>
      <c r="BW206" s="126">
        <v>303</v>
      </c>
      <c r="BX206" s="125">
        <v>27417</v>
      </c>
      <c r="BY206" s="19" t="s">
        <v>29</v>
      </c>
      <c r="BZ206" t="s">
        <v>812</v>
      </c>
    </row>
    <row r="207" spans="1:78" x14ac:dyDescent="0.3">
      <c r="A207" s="436">
        <v>27416</v>
      </c>
      <c r="B207" s="19" t="s">
        <v>29</v>
      </c>
      <c r="C207" t="s">
        <v>604</v>
      </c>
      <c r="D207" s="563"/>
      <c r="E207" s="120"/>
      <c r="F207" s="563">
        <v>332979.77</v>
      </c>
      <c r="G207" s="120">
        <v>6.0389631289835331E-4</v>
      </c>
      <c r="H207" s="563">
        <v>985944.92</v>
      </c>
      <c r="I207" s="120">
        <v>3.6086504377279942E-3</v>
      </c>
      <c r="J207" s="563">
        <v>0</v>
      </c>
      <c r="K207" s="120">
        <v>0</v>
      </c>
      <c r="L207" s="563">
        <v>489768.66000000003</v>
      </c>
      <c r="M207" s="120">
        <v>3.3939335631750591E-3</v>
      </c>
      <c r="N207" s="563">
        <v>2507604.08</v>
      </c>
      <c r="O207" s="120">
        <v>3.3951322498948361E-3</v>
      </c>
      <c r="P207" s="124">
        <v>4316297.43</v>
      </c>
      <c r="Q207" s="124"/>
      <c r="R207" s="563"/>
      <c r="S207" s="120"/>
      <c r="T207" s="373"/>
      <c r="U207" s="541">
        <v>1092</v>
      </c>
      <c r="V207" s="540" t="s">
        <v>605</v>
      </c>
      <c r="W207" s="442" t="s">
        <v>29</v>
      </c>
      <c r="X207" s="552" t="s">
        <v>604</v>
      </c>
      <c r="Y207" s="563">
        <v>0</v>
      </c>
      <c r="Z207" s="563">
        <v>2397063.1</v>
      </c>
      <c r="AA207" s="563">
        <v>967417.35</v>
      </c>
      <c r="AB207" s="563"/>
      <c r="AC207" s="563"/>
      <c r="AD207" s="563">
        <v>3364480.45</v>
      </c>
      <c r="AE207" s="124"/>
      <c r="AF207" s="541">
        <v>1092</v>
      </c>
      <c r="AG207" s="540" t="s">
        <v>605</v>
      </c>
      <c r="AH207" s="442" t="s">
        <v>29</v>
      </c>
      <c r="AI207" s="552" t="s">
        <v>604</v>
      </c>
      <c r="AJ207" s="563">
        <v>0</v>
      </c>
      <c r="AK207" s="563">
        <v>2507604.08</v>
      </c>
      <c r="AL207" s="563">
        <v>985944.92</v>
      </c>
      <c r="AM207" s="563"/>
      <c r="AN207" s="563"/>
      <c r="AO207" s="563">
        <v>3493549</v>
      </c>
      <c r="AR207" s="124">
        <f>+L207</f>
        <v>489768.66000000003</v>
      </c>
      <c r="AS207" s="124">
        <f>+F207</f>
        <v>332979.77</v>
      </c>
      <c r="AV207" s="372">
        <f t="shared" si="8"/>
        <v>822748.43</v>
      </c>
      <c r="AW207" s="124">
        <f>+AV207+AO207-P207</f>
        <v>0</v>
      </c>
      <c r="AZ207" s="563">
        <v>0</v>
      </c>
      <c r="BA207" s="563">
        <v>62222.82</v>
      </c>
      <c r="BB207" s="563">
        <v>25412.400000000001</v>
      </c>
      <c r="BC207" s="563"/>
      <c r="BD207" s="563"/>
      <c r="BE207" s="563">
        <v>87635.22</v>
      </c>
      <c r="BF207" s="372"/>
      <c r="BO207" s="563">
        <v>0</v>
      </c>
      <c r="BP207" s="563">
        <v>5456658.6600000001</v>
      </c>
      <c r="BQ207" s="563">
        <v>2311754.44</v>
      </c>
      <c r="BR207" s="563"/>
      <c r="BS207" s="563"/>
      <c r="BT207" s="563">
        <v>7768413.0999999996</v>
      </c>
      <c r="BW207" s="126">
        <v>4174</v>
      </c>
      <c r="BX207" s="125">
        <v>27901</v>
      </c>
      <c r="BY207" s="19" t="s">
        <v>1039</v>
      </c>
      <c r="BZ207" s="374" t="s">
        <v>1155</v>
      </c>
    </row>
    <row r="208" spans="1:78" x14ac:dyDescent="0.3">
      <c r="A208" s="436">
        <v>27417</v>
      </c>
      <c r="B208" s="19" t="s">
        <v>29</v>
      </c>
      <c r="C208" t="s">
        <v>184</v>
      </c>
      <c r="D208" s="563">
        <v>11353.54</v>
      </c>
      <c r="E208" s="120">
        <v>2.059092341959384E-5</v>
      </c>
      <c r="F208" s="563">
        <v>278277.08999999997</v>
      </c>
      <c r="G208" s="120">
        <v>5.0468684213183037E-4</v>
      </c>
      <c r="H208" s="563">
        <v>824727.54</v>
      </c>
      <c r="I208" s="120">
        <v>3.0185797785005392E-3</v>
      </c>
      <c r="J208" s="563">
        <v>0</v>
      </c>
      <c r="K208" s="120">
        <v>0</v>
      </c>
      <c r="L208" s="563">
        <v>516175.57999999996</v>
      </c>
      <c r="M208" s="120">
        <v>3.5769247167700617E-3</v>
      </c>
      <c r="N208" s="563">
        <v>2648367.5099999998</v>
      </c>
      <c r="O208" s="120">
        <v>3.585716746311357E-3</v>
      </c>
      <c r="P208" s="124">
        <v>4278901.26</v>
      </c>
      <c r="Q208" s="124"/>
      <c r="R208" s="563"/>
      <c r="S208" s="120"/>
      <c r="T208" s="373"/>
      <c r="U208" s="541">
        <v>303</v>
      </c>
      <c r="V208" s="540" t="s">
        <v>185</v>
      </c>
      <c r="W208" s="442" t="s">
        <v>29</v>
      </c>
      <c r="X208" s="552" t="s">
        <v>184</v>
      </c>
      <c r="Y208" s="563">
        <v>0</v>
      </c>
      <c r="Z208" s="563">
        <v>2625312.19</v>
      </c>
      <c r="AA208" s="563">
        <v>769731.99</v>
      </c>
      <c r="AB208" s="563">
        <v>7637.92</v>
      </c>
      <c r="AC208" s="563"/>
      <c r="AD208" s="563">
        <v>3402682.1</v>
      </c>
      <c r="AE208" s="124"/>
      <c r="AF208" s="541">
        <v>303</v>
      </c>
      <c r="AG208" s="540" t="s">
        <v>185</v>
      </c>
      <c r="AH208" s="442" t="s">
        <v>29</v>
      </c>
      <c r="AI208" s="552" t="s">
        <v>184</v>
      </c>
      <c r="AJ208" s="563">
        <v>0</v>
      </c>
      <c r="AK208" s="563">
        <v>2648367.5099999998</v>
      </c>
      <c r="AL208" s="563">
        <v>824727.54</v>
      </c>
      <c r="AM208" s="563">
        <v>11353.54</v>
      </c>
      <c r="AN208" s="563"/>
      <c r="AO208" s="563">
        <v>3484448.59</v>
      </c>
      <c r="AR208" s="124">
        <f>+L208</f>
        <v>516175.57999999996</v>
      </c>
      <c r="AS208" s="124">
        <f>+F208</f>
        <v>278277.08999999997</v>
      </c>
      <c r="AV208" s="372">
        <f t="shared" si="8"/>
        <v>794452.66999999993</v>
      </c>
      <c r="AW208" s="124">
        <f>+AV208+AO208-P208</f>
        <v>0</v>
      </c>
      <c r="AZ208" s="563">
        <v>0</v>
      </c>
      <c r="BA208" s="563">
        <v>65715.75</v>
      </c>
      <c r="BB208" s="563">
        <v>21255.68</v>
      </c>
      <c r="BC208" s="563">
        <v>254.55</v>
      </c>
      <c r="BD208" s="563"/>
      <c r="BE208" s="563">
        <v>87225.98</v>
      </c>
      <c r="BF208" s="372"/>
      <c r="BO208" s="563">
        <v>0</v>
      </c>
      <c r="BP208" s="563">
        <v>5855571.0300000003</v>
      </c>
      <c r="BQ208" s="563">
        <v>1893992.2999999998</v>
      </c>
      <c r="BR208" s="563">
        <v>19246.009999999998</v>
      </c>
      <c r="BS208" s="563"/>
      <c r="BT208" s="563">
        <v>7768809.3399999999</v>
      </c>
      <c r="BW208" s="126">
        <v>2631</v>
      </c>
      <c r="BX208" s="125">
        <v>27904</v>
      </c>
      <c r="BY208" s="19" t="s">
        <v>1039</v>
      </c>
      <c r="BZ208" t="s">
        <v>1024</v>
      </c>
    </row>
    <row r="209" spans="1:78" x14ac:dyDescent="0.3">
      <c r="A209" s="439">
        <v>27901</v>
      </c>
      <c r="B209" s="19" t="s">
        <v>1039</v>
      </c>
      <c r="C209" t="s">
        <v>1150</v>
      </c>
      <c r="D209" s="563">
        <v>5766.63</v>
      </c>
      <c r="E209" s="120">
        <v>1.045843293978199E-5</v>
      </c>
      <c r="F209" s="563">
        <v>213766.63</v>
      </c>
      <c r="G209" s="120">
        <v>3.8768985778837709E-4</v>
      </c>
      <c r="H209" s="563">
        <v>634112.91999999993</v>
      </c>
      <c r="I209" s="120">
        <v>2.3209124768622737E-3</v>
      </c>
      <c r="J209" s="563"/>
      <c r="K209" s="120"/>
      <c r="L209" s="563">
        <v>148640.47</v>
      </c>
      <c r="M209" s="120">
        <v>1.0300289119747179E-3</v>
      </c>
      <c r="N209" s="563">
        <v>754778.15</v>
      </c>
      <c r="O209" s="120">
        <v>1.0219203497949972E-3</v>
      </c>
      <c r="P209" s="124">
        <v>1757064.7999999998</v>
      </c>
      <c r="Q209" s="124"/>
      <c r="R209" s="563"/>
      <c r="S209" s="120"/>
      <c r="T209" s="373"/>
      <c r="U209" s="545">
        <v>4174</v>
      </c>
      <c r="V209" s="540" t="s">
        <v>1134</v>
      </c>
      <c r="W209" s="442" t="s">
        <v>1039</v>
      </c>
      <c r="X209" s="552" t="s">
        <v>1150</v>
      </c>
      <c r="Y209" s="563"/>
      <c r="Z209" s="563">
        <v>743021.08000000007</v>
      </c>
      <c r="AA209" s="563">
        <v>579098.23</v>
      </c>
      <c r="AB209" s="563">
        <v>3853.46</v>
      </c>
      <c r="AC209" s="563"/>
      <c r="AD209" s="563">
        <v>1325972.77</v>
      </c>
      <c r="AE209" s="124"/>
      <c r="AF209" s="545">
        <v>4174</v>
      </c>
      <c r="AG209" s="540" t="s">
        <v>1134</v>
      </c>
      <c r="AH209" s="442" t="s">
        <v>1039</v>
      </c>
      <c r="AI209" s="552" t="s">
        <v>1150</v>
      </c>
      <c r="AJ209" s="563"/>
      <c r="AK209" s="563">
        <v>754778.15</v>
      </c>
      <c r="AL209" s="563">
        <v>634112.91999999993</v>
      </c>
      <c r="AM209" s="563">
        <v>5766.63</v>
      </c>
      <c r="AN209" s="563"/>
      <c r="AO209" s="563">
        <v>1394657.7</v>
      </c>
      <c r="AR209" s="124">
        <f>+L209</f>
        <v>148640.47</v>
      </c>
      <c r="AS209" s="124">
        <f>+F209</f>
        <v>213766.63</v>
      </c>
      <c r="AV209" s="372">
        <f t="shared" si="8"/>
        <v>362407.1</v>
      </c>
      <c r="AW209" s="124">
        <f>+AV209+AO209-P209</f>
        <v>0</v>
      </c>
      <c r="AZ209" s="563"/>
      <c r="BA209" s="563">
        <v>18724.2</v>
      </c>
      <c r="BB209" s="563">
        <v>16339.89</v>
      </c>
      <c r="BC209" s="563">
        <v>128.30000000000001</v>
      </c>
      <c r="BD209" s="563"/>
      <c r="BE209" s="563">
        <v>35192.39</v>
      </c>
      <c r="BF209" s="372"/>
      <c r="BO209" s="563"/>
      <c r="BP209" s="563">
        <v>1665163.9</v>
      </c>
      <c r="BQ209" s="563">
        <v>1443317.67</v>
      </c>
      <c r="BR209" s="563">
        <v>9748.39</v>
      </c>
      <c r="BS209" s="563"/>
      <c r="BT209" s="563">
        <v>3118229.96</v>
      </c>
      <c r="BW209" s="126">
        <v>860</v>
      </c>
      <c r="BX209" s="125">
        <v>28010</v>
      </c>
      <c r="BY209" s="19" t="s">
        <v>21</v>
      </c>
      <c r="BZ209" t="s">
        <v>956</v>
      </c>
    </row>
    <row r="210" spans="1:78" x14ac:dyDescent="0.3">
      <c r="A210" s="436">
        <v>27904</v>
      </c>
      <c r="B210" s="19" t="s">
        <v>1039</v>
      </c>
      <c r="C210" t="s">
        <v>1085</v>
      </c>
      <c r="D210" s="563"/>
      <c r="E210" s="120"/>
      <c r="F210" s="563">
        <v>24364.800000000003</v>
      </c>
      <c r="G210" s="120">
        <v>4.4188308750726203E-5</v>
      </c>
      <c r="H210" s="563">
        <v>71564.009999999995</v>
      </c>
      <c r="I210" s="120">
        <v>2.6193095656101205E-4</v>
      </c>
      <c r="J210" s="563"/>
      <c r="K210" s="120"/>
      <c r="L210" s="563">
        <v>26367.449999999997</v>
      </c>
      <c r="M210" s="120">
        <v>1.8271763965121859E-4</v>
      </c>
      <c r="N210" s="563">
        <v>136478.96</v>
      </c>
      <c r="O210" s="120">
        <v>1.8478360368918658E-4</v>
      </c>
      <c r="P210" s="124">
        <v>258775.21999999997</v>
      </c>
      <c r="Q210" s="124"/>
      <c r="R210" s="563"/>
      <c r="S210" s="120"/>
      <c r="T210" s="373"/>
      <c r="U210" s="541">
        <v>2631</v>
      </c>
      <c r="V210" s="540" t="s">
        <v>1060</v>
      </c>
      <c r="W210" s="442" t="s">
        <v>1039</v>
      </c>
      <c r="X210" s="552" t="s">
        <v>1085</v>
      </c>
      <c r="Y210" s="563"/>
      <c r="Z210" s="563">
        <v>116297.57999999999</v>
      </c>
      <c r="AA210" s="563">
        <v>65995.94</v>
      </c>
      <c r="AB210" s="563"/>
      <c r="AC210" s="563"/>
      <c r="AD210" s="563">
        <v>182293.52</v>
      </c>
      <c r="AE210" s="124"/>
      <c r="AF210" s="541">
        <v>2631</v>
      </c>
      <c r="AG210" s="540" t="s">
        <v>1060</v>
      </c>
      <c r="AH210" s="442" t="s">
        <v>1039</v>
      </c>
      <c r="AI210" s="552" t="s">
        <v>1085</v>
      </c>
      <c r="AJ210" s="563"/>
      <c r="AK210" s="563">
        <v>136478.96</v>
      </c>
      <c r="AL210" s="563">
        <v>71564.009999999995</v>
      </c>
      <c r="AM210" s="563"/>
      <c r="AN210" s="563"/>
      <c r="AO210" s="563">
        <v>208042.96999999997</v>
      </c>
      <c r="AR210" s="124">
        <f>+L210</f>
        <v>26367.449999999997</v>
      </c>
      <c r="AS210" s="124">
        <f>+F210</f>
        <v>24364.800000000003</v>
      </c>
      <c r="AV210" s="372">
        <f t="shared" si="8"/>
        <v>50732.25</v>
      </c>
      <c r="AW210" s="124">
        <f>+AV210+AO210-P210</f>
        <v>0</v>
      </c>
      <c r="AZ210" s="563"/>
      <c r="BA210" s="563">
        <v>3386.42</v>
      </c>
      <c r="BB210" s="563">
        <v>1844.29</v>
      </c>
      <c r="BC210" s="563"/>
      <c r="BD210" s="563"/>
      <c r="BE210" s="563">
        <v>5230.71</v>
      </c>
      <c r="BF210" s="372"/>
      <c r="BO210" s="563"/>
      <c r="BP210" s="563">
        <v>282530.40999999997</v>
      </c>
      <c r="BQ210" s="563">
        <v>163769.03999999998</v>
      </c>
      <c r="BR210" s="563"/>
      <c r="BS210" s="563"/>
      <c r="BT210" s="563">
        <v>446299.44999999995</v>
      </c>
      <c r="BW210" s="126">
        <v>682</v>
      </c>
      <c r="BX210" s="125">
        <v>28137</v>
      </c>
      <c r="BY210" s="19" t="s">
        <v>21</v>
      </c>
      <c r="BZ210" t="s">
        <v>908</v>
      </c>
    </row>
    <row r="211" spans="1:78" x14ac:dyDescent="0.3">
      <c r="A211" s="436">
        <v>28010</v>
      </c>
      <c r="B211" s="19" t="s">
        <v>21</v>
      </c>
      <c r="C211" t="s">
        <v>488</v>
      </c>
      <c r="D211" s="563"/>
      <c r="E211" s="120"/>
      <c r="F211" s="563">
        <v>2286.38</v>
      </c>
      <c r="G211" s="120">
        <v>4.1466076208910138E-6</v>
      </c>
      <c r="H211" s="563">
        <v>6824.08</v>
      </c>
      <c r="I211" s="120">
        <v>2.49767697764403E-5</v>
      </c>
      <c r="J211" s="563">
        <v>0</v>
      </c>
      <c r="K211" s="120">
        <v>0</v>
      </c>
      <c r="L211" s="563">
        <v>2073.9499999999998</v>
      </c>
      <c r="M211" s="120">
        <v>1.437178220702589E-5</v>
      </c>
      <c r="N211" s="563">
        <v>10787.04</v>
      </c>
      <c r="O211" s="120">
        <v>1.4604948076534314E-5</v>
      </c>
      <c r="P211" s="124">
        <v>21971.45</v>
      </c>
      <c r="Q211" s="124"/>
      <c r="R211" s="563"/>
      <c r="S211" s="120"/>
      <c r="T211" s="373"/>
      <c r="U211" s="541">
        <v>860</v>
      </c>
      <c r="V211" s="540" t="s">
        <v>489</v>
      </c>
      <c r="W211" s="442" t="s">
        <v>21</v>
      </c>
      <c r="X211" s="552" t="s">
        <v>488</v>
      </c>
      <c r="Y211" s="563">
        <v>0</v>
      </c>
      <c r="Z211" s="563">
        <v>7447.41</v>
      </c>
      <c r="AA211" s="563">
        <v>6823.96</v>
      </c>
      <c r="AB211" s="563"/>
      <c r="AC211" s="563"/>
      <c r="AD211" s="563">
        <v>14271.369999999999</v>
      </c>
      <c r="AE211" s="124"/>
      <c r="AF211" s="541">
        <v>860</v>
      </c>
      <c r="AG211" s="540" t="s">
        <v>489</v>
      </c>
      <c r="AH211" s="442" t="s">
        <v>21</v>
      </c>
      <c r="AI211" s="552" t="s">
        <v>488</v>
      </c>
      <c r="AJ211" s="563">
        <v>0</v>
      </c>
      <c r="AK211" s="563">
        <v>10787.04</v>
      </c>
      <c r="AL211" s="563">
        <v>6824.08</v>
      </c>
      <c r="AM211" s="563"/>
      <c r="AN211" s="563"/>
      <c r="AO211" s="563">
        <v>17611.120000000003</v>
      </c>
      <c r="AR211" s="124">
        <f>+L211</f>
        <v>2073.9499999999998</v>
      </c>
      <c r="AS211" s="124">
        <f>+F211</f>
        <v>2286.38</v>
      </c>
      <c r="AV211" s="372">
        <f t="shared" si="8"/>
        <v>4360.33</v>
      </c>
      <c r="AW211" s="124">
        <f>+AV211+AO211-P211</f>
        <v>0</v>
      </c>
      <c r="AZ211" s="563">
        <v>0</v>
      </c>
      <c r="BA211" s="563">
        <v>267.58999999999997</v>
      </c>
      <c r="BB211" s="563">
        <v>175.82</v>
      </c>
      <c r="BC211" s="563"/>
      <c r="BD211" s="563"/>
      <c r="BE211" s="563">
        <v>443.40999999999997</v>
      </c>
      <c r="BF211" s="372"/>
      <c r="BO211" s="563">
        <v>0</v>
      </c>
      <c r="BP211" s="563">
        <v>20575.989999999998</v>
      </c>
      <c r="BQ211" s="563">
        <v>16110.24</v>
      </c>
      <c r="BR211" s="563"/>
      <c r="BS211" s="563"/>
      <c r="BT211" s="563">
        <v>36686.229999999996</v>
      </c>
      <c r="BW211" s="126">
        <v>552</v>
      </c>
      <c r="BX211" s="125">
        <v>28144</v>
      </c>
      <c r="BY211" s="19" t="s">
        <v>21</v>
      </c>
      <c r="BZ211" t="s">
        <v>857</v>
      </c>
    </row>
    <row r="212" spans="1:78" x14ac:dyDescent="0.3">
      <c r="A212" s="436">
        <v>28137</v>
      </c>
      <c r="B212" s="19" t="s">
        <v>21</v>
      </c>
      <c r="C212" t="s">
        <v>388</v>
      </c>
      <c r="D212" s="563"/>
      <c r="E212" s="120"/>
      <c r="F212" s="563">
        <v>64295.08</v>
      </c>
      <c r="G212" s="120">
        <v>1.1660636845747312E-4</v>
      </c>
      <c r="H212" s="563">
        <v>190485.89</v>
      </c>
      <c r="I212" s="120">
        <v>6.971961378222899E-4</v>
      </c>
      <c r="J212" s="563"/>
      <c r="K212" s="120"/>
      <c r="L212" s="563">
        <v>89635.13</v>
      </c>
      <c r="M212" s="120">
        <v>6.2114157354731443E-4</v>
      </c>
      <c r="N212" s="563">
        <v>459532.35000000003</v>
      </c>
      <c r="O212" s="120">
        <v>6.2217680765416577E-4</v>
      </c>
      <c r="P212" s="124">
        <v>803948.45000000007</v>
      </c>
      <c r="Q212" s="124"/>
      <c r="R212" s="563"/>
      <c r="S212" s="120"/>
      <c r="T212" s="373"/>
      <c r="U212" s="541">
        <v>682</v>
      </c>
      <c r="V212" s="540" t="s">
        <v>389</v>
      </c>
      <c r="W212" s="442" t="s">
        <v>21</v>
      </c>
      <c r="X212" s="552" t="s">
        <v>388</v>
      </c>
      <c r="Y212" s="563"/>
      <c r="Z212" s="563">
        <v>438039.95999999996</v>
      </c>
      <c r="AA212" s="563">
        <v>196144.59</v>
      </c>
      <c r="AB212" s="563"/>
      <c r="AC212" s="563"/>
      <c r="AD212" s="563">
        <v>634184.54999999993</v>
      </c>
      <c r="AE212" s="124"/>
      <c r="AF212" s="541">
        <v>682</v>
      </c>
      <c r="AG212" s="540" t="s">
        <v>389</v>
      </c>
      <c r="AH212" s="442" t="s">
        <v>21</v>
      </c>
      <c r="AI212" s="552" t="s">
        <v>388</v>
      </c>
      <c r="AJ212" s="563"/>
      <c r="AK212" s="563">
        <v>459532.35000000003</v>
      </c>
      <c r="AL212" s="563">
        <v>190485.89</v>
      </c>
      <c r="AM212" s="563"/>
      <c r="AN212" s="563"/>
      <c r="AO212" s="563">
        <v>650018.24</v>
      </c>
      <c r="AR212" s="124">
        <f>+L212</f>
        <v>89635.13</v>
      </c>
      <c r="AS212" s="124">
        <f>+F212</f>
        <v>64295.08</v>
      </c>
      <c r="AV212" s="372">
        <f t="shared" si="8"/>
        <v>153930.21000000002</v>
      </c>
      <c r="AW212" s="124">
        <f>+AV212+AO212-P212</f>
        <v>0</v>
      </c>
      <c r="AZ212" s="563"/>
      <c r="BA212" s="563">
        <v>11402.66</v>
      </c>
      <c r="BB212" s="563">
        <v>4909.2700000000004</v>
      </c>
      <c r="BC212" s="563"/>
      <c r="BD212" s="563"/>
      <c r="BE212" s="563">
        <v>16311.93</v>
      </c>
      <c r="BF212" s="372"/>
      <c r="BO212" s="563"/>
      <c r="BP212" s="563">
        <v>998610.1</v>
      </c>
      <c r="BQ212" s="563">
        <v>455834.83</v>
      </c>
      <c r="BR212" s="563"/>
      <c r="BS212" s="563"/>
      <c r="BT212" s="563">
        <v>1454444.93</v>
      </c>
      <c r="BW212" s="126">
        <v>833</v>
      </c>
      <c r="BX212" s="125">
        <v>28149</v>
      </c>
      <c r="BY212" s="19" t="s">
        <v>21</v>
      </c>
      <c r="BZ212" t="s">
        <v>949</v>
      </c>
    </row>
    <row r="213" spans="1:78" x14ac:dyDescent="0.3">
      <c r="A213" s="436">
        <v>28144</v>
      </c>
      <c r="B213" s="19" t="s">
        <v>21</v>
      </c>
      <c r="C213" t="s">
        <v>276</v>
      </c>
      <c r="D213" s="563"/>
      <c r="E213" s="120"/>
      <c r="F213" s="563">
        <v>24019.96</v>
      </c>
      <c r="G213" s="120">
        <v>4.3562902575030097E-5</v>
      </c>
      <c r="H213" s="563">
        <v>70777.11</v>
      </c>
      <c r="I213" s="120">
        <v>2.5905082910982732E-4</v>
      </c>
      <c r="J213" s="563"/>
      <c r="K213" s="120"/>
      <c r="L213" s="563">
        <v>31248.9</v>
      </c>
      <c r="M213" s="120">
        <v>2.1654446105698373E-4</v>
      </c>
      <c r="N213" s="563">
        <v>161394.10999999999</v>
      </c>
      <c r="O213" s="120">
        <v>2.1851709054647678E-4</v>
      </c>
      <c r="P213" s="124">
        <v>287440.07999999996</v>
      </c>
      <c r="Q213" s="124"/>
      <c r="R213" s="563"/>
      <c r="S213" s="120"/>
      <c r="T213" s="373"/>
      <c r="U213" s="541">
        <v>552</v>
      </c>
      <c r="V213" s="540" t="s">
        <v>277</v>
      </c>
      <c r="W213" s="442" t="s">
        <v>21</v>
      </c>
      <c r="X213" s="552" t="s">
        <v>276</v>
      </c>
      <c r="Y213" s="563"/>
      <c r="Z213" s="563">
        <v>155638.57</v>
      </c>
      <c r="AA213" s="563">
        <v>65848.67</v>
      </c>
      <c r="AB213" s="563"/>
      <c r="AC213" s="563"/>
      <c r="AD213" s="563">
        <v>221487.24</v>
      </c>
      <c r="AE213" s="124"/>
      <c r="AF213" s="541">
        <v>552</v>
      </c>
      <c r="AG213" s="540" t="s">
        <v>277</v>
      </c>
      <c r="AH213" s="442" t="s">
        <v>21</v>
      </c>
      <c r="AI213" s="552" t="s">
        <v>276</v>
      </c>
      <c r="AJ213" s="563"/>
      <c r="AK213" s="563">
        <v>161394.10999999999</v>
      </c>
      <c r="AL213" s="563">
        <v>70777.11</v>
      </c>
      <c r="AM213" s="563"/>
      <c r="AN213" s="563"/>
      <c r="AO213" s="563">
        <v>232171.21999999997</v>
      </c>
      <c r="AR213" s="124">
        <f>+L213</f>
        <v>31248.9</v>
      </c>
      <c r="AS213" s="124">
        <f>+F213</f>
        <v>24019.96</v>
      </c>
      <c r="AV213" s="372">
        <f t="shared" si="8"/>
        <v>55268.86</v>
      </c>
      <c r="AW213" s="124">
        <f>+AV213+AO213-P213</f>
        <v>0</v>
      </c>
      <c r="AZ213" s="563"/>
      <c r="BA213" s="563">
        <v>4004.69</v>
      </c>
      <c r="BB213" s="563">
        <v>1824.02</v>
      </c>
      <c r="BC213" s="563"/>
      <c r="BD213" s="563"/>
      <c r="BE213" s="563">
        <v>5828.71</v>
      </c>
      <c r="BF213" s="372"/>
      <c r="BO213" s="563"/>
      <c r="BP213" s="563">
        <v>352286.27</v>
      </c>
      <c r="BQ213" s="563">
        <v>162469.76000000001</v>
      </c>
      <c r="BR213" s="563"/>
      <c r="BS213" s="563"/>
      <c r="BT213" s="563">
        <v>514756.03</v>
      </c>
      <c r="BW213" s="126">
        <v>181</v>
      </c>
      <c r="BX213" s="125">
        <v>29011</v>
      </c>
      <c r="BY213" s="19" t="s">
        <v>21</v>
      </c>
      <c r="BZ213" t="s">
        <v>775</v>
      </c>
    </row>
    <row r="214" spans="1:78" x14ac:dyDescent="0.3">
      <c r="A214" s="436">
        <v>28149</v>
      </c>
      <c r="B214" s="19" t="s">
        <v>21</v>
      </c>
      <c r="C214" t="s">
        <v>474</v>
      </c>
      <c r="D214" s="563"/>
      <c r="E214" s="120"/>
      <c r="F214" s="563">
        <v>70783.67</v>
      </c>
      <c r="G214" s="120">
        <v>1.2837415716400363E-4</v>
      </c>
      <c r="H214" s="563">
        <v>209675.03</v>
      </c>
      <c r="I214" s="120">
        <v>7.6743018138389547E-4</v>
      </c>
      <c r="J214" s="563">
        <v>0</v>
      </c>
      <c r="K214" s="120">
        <v>0</v>
      </c>
      <c r="L214" s="563">
        <v>109517.25</v>
      </c>
      <c r="M214" s="120">
        <v>7.5891803800111205E-4</v>
      </c>
      <c r="N214" s="563">
        <v>557024.4</v>
      </c>
      <c r="O214" s="120">
        <v>7.5417467992727196E-4</v>
      </c>
      <c r="P214" s="124">
        <v>947000.35000000009</v>
      </c>
      <c r="Q214" s="124"/>
      <c r="R214" s="563"/>
      <c r="S214" s="120"/>
      <c r="T214" s="373"/>
      <c r="U214" s="541">
        <v>833</v>
      </c>
      <c r="V214" s="540" t="s">
        <v>475</v>
      </c>
      <c r="W214" s="442" t="s">
        <v>21</v>
      </c>
      <c r="X214" s="552" t="s">
        <v>474</v>
      </c>
      <c r="Y214" s="563">
        <v>0</v>
      </c>
      <c r="Z214" s="563">
        <v>531240.04</v>
      </c>
      <c r="AA214" s="563">
        <v>192518.08</v>
      </c>
      <c r="AB214" s="563"/>
      <c r="AC214" s="563"/>
      <c r="AD214" s="563">
        <v>723758.12</v>
      </c>
      <c r="AE214" s="124"/>
      <c r="AF214" s="541">
        <v>833</v>
      </c>
      <c r="AG214" s="540" t="s">
        <v>475</v>
      </c>
      <c r="AH214" s="442" t="s">
        <v>21</v>
      </c>
      <c r="AI214" s="552" t="s">
        <v>474</v>
      </c>
      <c r="AJ214" s="563">
        <v>0</v>
      </c>
      <c r="AK214" s="563">
        <v>557024.4</v>
      </c>
      <c r="AL214" s="563">
        <v>209675.03</v>
      </c>
      <c r="AM214" s="563"/>
      <c r="AN214" s="563"/>
      <c r="AO214" s="563">
        <v>766699.43</v>
      </c>
      <c r="AR214" s="124">
        <f>+L214</f>
        <v>109517.25</v>
      </c>
      <c r="AS214" s="124">
        <f>+F214</f>
        <v>70783.67</v>
      </c>
      <c r="AV214" s="372">
        <f t="shared" si="8"/>
        <v>180300.91999999998</v>
      </c>
      <c r="AW214" s="124">
        <f>+AV214+AO214-P214</f>
        <v>0</v>
      </c>
      <c r="AZ214" s="563">
        <v>0</v>
      </c>
      <c r="BA214" s="563">
        <v>13818.02</v>
      </c>
      <c r="BB214" s="563">
        <v>5403.8600000000006</v>
      </c>
      <c r="BC214" s="563"/>
      <c r="BD214" s="563"/>
      <c r="BE214" s="563">
        <v>19221.88</v>
      </c>
      <c r="BF214" s="372"/>
      <c r="BO214" s="563">
        <v>0</v>
      </c>
      <c r="BP214" s="563">
        <v>1211599.71</v>
      </c>
      <c r="BQ214" s="563">
        <v>478380.64</v>
      </c>
      <c r="BR214" s="563"/>
      <c r="BS214" s="563"/>
      <c r="BT214" s="563">
        <v>1689980.35</v>
      </c>
      <c r="BW214" s="126">
        <v>94</v>
      </c>
      <c r="BX214" s="125">
        <v>29100</v>
      </c>
      <c r="BY214" s="19" t="s">
        <v>21</v>
      </c>
      <c r="BZ214" t="s">
        <v>751</v>
      </c>
    </row>
    <row r="215" spans="1:78" x14ac:dyDescent="0.3">
      <c r="A215" s="436">
        <v>29011</v>
      </c>
      <c r="B215" s="19" t="s">
        <v>21</v>
      </c>
      <c r="C215" t="s">
        <v>108</v>
      </c>
      <c r="D215" s="563"/>
      <c r="E215" s="120"/>
      <c r="F215" s="563">
        <v>68740.510000000009</v>
      </c>
      <c r="G215" s="120">
        <v>1.2466865640441875E-4</v>
      </c>
      <c r="H215" s="563">
        <v>203352.1</v>
      </c>
      <c r="I215" s="120">
        <v>7.4428766738603093E-4</v>
      </c>
      <c r="J215" s="563"/>
      <c r="K215" s="120"/>
      <c r="L215" s="563">
        <v>65770.100000000006</v>
      </c>
      <c r="M215" s="120">
        <v>4.5576487038468321E-4</v>
      </c>
      <c r="N215" s="563">
        <v>333249.57</v>
      </c>
      <c r="O215" s="120">
        <v>4.5119816616767775E-4</v>
      </c>
      <c r="P215" s="124">
        <v>671112.28</v>
      </c>
      <c r="Q215" s="124"/>
      <c r="R215" s="563"/>
      <c r="S215" s="120"/>
      <c r="T215" s="373"/>
      <c r="U215" s="541">
        <v>181</v>
      </c>
      <c r="V215" s="540" t="s">
        <v>109</v>
      </c>
      <c r="W215" s="442" t="s">
        <v>21</v>
      </c>
      <c r="X215" s="552" t="s">
        <v>108</v>
      </c>
      <c r="Y215" s="563"/>
      <c r="Z215" s="563">
        <v>327069.33999999997</v>
      </c>
      <c r="AA215" s="563">
        <v>220673.51</v>
      </c>
      <c r="AB215" s="563"/>
      <c r="AC215" s="563"/>
      <c r="AD215" s="563">
        <v>547742.85</v>
      </c>
      <c r="AE215" s="124"/>
      <c r="AF215" s="541">
        <v>181</v>
      </c>
      <c r="AG215" s="540" t="s">
        <v>109</v>
      </c>
      <c r="AH215" s="442" t="s">
        <v>21</v>
      </c>
      <c r="AI215" s="552" t="s">
        <v>108</v>
      </c>
      <c r="AJ215" s="563"/>
      <c r="AK215" s="563">
        <v>333249.57</v>
      </c>
      <c r="AL215" s="563">
        <v>203352.1</v>
      </c>
      <c r="AM215" s="563"/>
      <c r="AN215" s="563"/>
      <c r="AO215" s="563">
        <v>536601.67000000004</v>
      </c>
      <c r="AR215" s="124">
        <f>+L215</f>
        <v>65770.100000000006</v>
      </c>
      <c r="AS215" s="124">
        <f>+F215</f>
        <v>68740.510000000009</v>
      </c>
      <c r="AV215" s="372">
        <f t="shared" si="8"/>
        <v>134510.61000000002</v>
      </c>
      <c r="AW215" s="124">
        <f>+AV215+AO215-P215</f>
        <v>0</v>
      </c>
      <c r="AZ215" s="563"/>
      <c r="BA215" s="563">
        <v>8265.68</v>
      </c>
      <c r="BB215" s="563">
        <v>5240.93</v>
      </c>
      <c r="BC215" s="563"/>
      <c r="BD215" s="563"/>
      <c r="BE215" s="563">
        <v>13506.61</v>
      </c>
      <c r="BF215" s="372"/>
      <c r="BO215" s="563"/>
      <c r="BP215" s="563">
        <v>734354.69</v>
      </c>
      <c r="BQ215" s="563">
        <v>498007.05</v>
      </c>
      <c r="BR215" s="563"/>
      <c r="BS215" s="563"/>
      <c r="BT215" s="563">
        <v>1232361.74</v>
      </c>
      <c r="BW215" s="126">
        <v>848</v>
      </c>
      <c r="BX215" s="125">
        <v>29101</v>
      </c>
      <c r="BY215" s="19" t="s">
        <v>21</v>
      </c>
      <c r="BZ215" t="s">
        <v>952</v>
      </c>
    </row>
    <row r="216" spans="1:78" x14ac:dyDescent="0.3">
      <c r="A216" s="436">
        <v>29100</v>
      </c>
      <c r="B216" s="19" t="s">
        <v>21</v>
      </c>
      <c r="C216" t="s">
        <v>60</v>
      </c>
      <c r="D216" s="563"/>
      <c r="E216" s="120"/>
      <c r="F216" s="563">
        <v>315509.36</v>
      </c>
      <c r="G216" s="120">
        <v>5.7221175685513617E-4</v>
      </c>
      <c r="H216" s="563">
        <v>934753.1100000001</v>
      </c>
      <c r="I216" s="120">
        <v>3.421283634758323E-3</v>
      </c>
      <c r="J216" s="563">
        <v>0</v>
      </c>
      <c r="K216" s="120">
        <v>0</v>
      </c>
      <c r="L216" s="563">
        <v>512864.97000000003</v>
      </c>
      <c r="M216" s="120">
        <v>3.5539832929689088E-3</v>
      </c>
      <c r="N216" s="563">
        <v>2624517.29</v>
      </c>
      <c r="O216" s="120">
        <v>3.5534251051647669E-3</v>
      </c>
      <c r="P216" s="124">
        <v>4387644.7300000004</v>
      </c>
      <c r="Q216" s="124"/>
      <c r="R216" s="563"/>
      <c r="S216" s="120"/>
      <c r="T216" s="373"/>
      <c r="U216" s="541">
        <v>94</v>
      </c>
      <c r="V216" s="540" t="s">
        <v>61</v>
      </c>
      <c r="W216" s="442" t="s">
        <v>21</v>
      </c>
      <c r="X216" s="552" t="s">
        <v>60</v>
      </c>
      <c r="Y216" s="563">
        <v>0</v>
      </c>
      <c r="Z216" s="563">
        <v>2674330.21</v>
      </c>
      <c r="AA216" s="563">
        <v>931935.12</v>
      </c>
      <c r="AB216" s="563"/>
      <c r="AC216" s="563"/>
      <c r="AD216" s="563">
        <v>3606265.33</v>
      </c>
      <c r="AE216" s="124"/>
      <c r="AF216" s="541">
        <v>94</v>
      </c>
      <c r="AG216" s="540" t="s">
        <v>61</v>
      </c>
      <c r="AH216" s="442" t="s">
        <v>21</v>
      </c>
      <c r="AI216" s="552" t="s">
        <v>60</v>
      </c>
      <c r="AJ216" s="563">
        <v>0</v>
      </c>
      <c r="AK216" s="563">
        <v>2624517.29</v>
      </c>
      <c r="AL216" s="563">
        <v>934753.1100000001</v>
      </c>
      <c r="AM216" s="563"/>
      <c r="AN216" s="563"/>
      <c r="AO216" s="563">
        <v>3559270.4000000004</v>
      </c>
      <c r="AR216" s="124">
        <f>+L216</f>
        <v>512864.97000000003</v>
      </c>
      <c r="AS216" s="124">
        <f>+F216</f>
        <v>315509.36</v>
      </c>
      <c r="AV216" s="372">
        <f t="shared" si="8"/>
        <v>828374.33000000007</v>
      </c>
      <c r="AW216" s="124">
        <f>+AV216+AO216-P216</f>
        <v>0</v>
      </c>
      <c r="AZ216" s="563">
        <v>0</v>
      </c>
      <c r="BA216" s="563">
        <v>65117.840000000004</v>
      </c>
      <c r="BB216" s="563">
        <v>24091.439999999999</v>
      </c>
      <c r="BC216" s="563"/>
      <c r="BD216" s="563"/>
      <c r="BE216" s="563">
        <v>89209.279999999999</v>
      </c>
      <c r="BF216" s="372"/>
      <c r="BO216" s="563">
        <v>0</v>
      </c>
      <c r="BP216" s="563">
        <v>5876830.3100000005</v>
      </c>
      <c r="BQ216" s="563">
        <v>2206289.0300000003</v>
      </c>
      <c r="BR216" s="563"/>
      <c r="BS216" s="563"/>
      <c r="BT216" s="563">
        <v>8083119.3400000008</v>
      </c>
      <c r="BW216" s="126">
        <v>20</v>
      </c>
      <c r="BX216" s="125">
        <v>29103</v>
      </c>
      <c r="BY216" s="19" t="s">
        <v>21</v>
      </c>
      <c r="BZ216" t="s">
        <v>734</v>
      </c>
    </row>
    <row r="217" spans="1:78" x14ac:dyDescent="0.3">
      <c r="A217" s="436">
        <v>29101</v>
      </c>
      <c r="B217" s="19" t="s">
        <v>21</v>
      </c>
      <c r="C217" t="s">
        <v>480</v>
      </c>
      <c r="D217" s="563">
        <v>645.54999999999995</v>
      </c>
      <c r="E217" s="120">
        <v>1.170777626495243E-6</v>
      </c>
      <c r="F217" s="563">
        <v>463286.36</v>
      </c>
      <c r="G217" s="120">
        <v>8.4022198892172678E-4</v>
      </c>
      <c r="H217" s="563">
        <v>1371486.4300000002</v>
      </c>
      <c r="I217" s="120">
        <v>5.0197683517224315E-3</v>
      </c>
      <c r="J217" s="563">
        <v>0</v>
      </c>
      <c r="K217" s="120">
        <v>0</v>
      </c>
      <c r="L217" s="563">
        <v>599768.82000000007</v>
      </c>
      <c r="M217" s="120">
        <v>4.1561980065116886E-3</v>
      </c>
      <c r="N217" s="563">
        <v>3057824.11</v>
      </c>
      <c r="O217" s="120">
        <v>4.1400942569717681E-3</v>
      </c>
      <c r="P217" s="124">
        <v>5493011.2699999996</v>
      </c>
      <c r="Q217" s="124"/>
      <c r="R217" s="563"/>
      <c r="S217" s="120"/>
      <c r="T217" s="373"/>
      <c r="U217" s="541">
        <v>848</v>
      </c>
      <c r="V217" s="540" t="s">
        <v>481</v>
      </c>
      <c r="W217" s="442" t="s">
        <v>21</v>
      </c>
      <c r="X217" s="552" t="s">
        <v>480</v>
      </c>
      <c r="Y217" s="563">
        <v>0</v>
      </c>
      <c r="Z217" s="563">
        <v>3031089.46</v>
      </c>
      <c r="AA217" s="563">
        <v>1328535.96</v>
      </c>
      <c r="AB217" s="563">
        <v>416.42</v>
      </c>
      <c r="AC217" s="563"/>
      <c r="AD217" s="563">
        <v>4360041.84</v>
      </c>
      <c r="AE217" s="124"/>
      <c r="AF217" s="541">
        <v>848</v>
      </c>
      <c r="AG217" s="540" t="s">
        <v>481</v>
      </c>
      <c r="AH217" s="442" t="s">
        <v>21</v>
      </c>
      <c r="AI217" s="552" t="s">
        <v>480</v>
      </c>
      <c r="AJ217" s="563">
        <v>0</v>
      </c>
      <c r="AK217" s="563">
        <v>3057824.11</v>
      </c>
      <c r="AL217" s="563">
        <v>1371486.4300000002</v>
      </c>
      <c r="AM217" s="563">
        <v>645.54999999999995</v>
      </c>
      <c r="AN217" s="563"/>
      <c r="AO217" s="563">
        <v>4429956.09</v>
      </c>
      <c r="AR217" s="124">
        <f>+L217</f>
        <v>599768.82000000007</v>
      </c>
      <c r="AS217" s="124">
        <f>+F217</f>
        <v>463286.36</v>
      </c>
      <c r="AV217" s="372">
        <f t="shared" si="8"/>
        <v>1063055.1800000002</v>
      </c>
      <c r="AW217" s="124">
        <f>+AV217+AO217-P217</f>
        <v>0</v>
      </c>
      <c r="AZ217" s="563">
        <v>0</v>
      </c>
      <c r="BA217" s="563">
        <v>75856.66</v>
      </c>
      <c r="BB217" s="563">
        <v>35349.230000000003</v>
      </c>
      <c r="BC217" s="563">
        <v>13.87</v>
      </c>
      <c r="BD217" s="563"/>
      <c r="BE217" s="563">
        <v>111219.76000000001</v>
      </c>
      <c r="BF217" s="372"/>
      <c r="BO217" s="563">
        <v>0</v>
      </c>
      <c r="BP217" s="563">
        <v>6764539.0500000007</v>
      </c>
      <c r="BQ217" s="563">
        <v>3198657.98</v>
      </c>
      <c r="BR217" s="563">
        <v>1075.8399999999999</v>
      </c>
      <c r="BS217" s="563"/>
      <c r="BT217" s="563">
        <v>9964272.870000001</v>
      </c>
      <c r="BW217" s="126">
        <v>508</v>
      </c>
      <c r="BX217" s="125">
        <v>29311</v>
      </c>
      <c r="BY217" s="19" t="s">
        <v>21</v>
      </c>
      <c r="BZ217" t="s">
        <v>847</v>
      </c>
    </row>
    <row r="218" spans="1:78" x14ac:dyDescent="0.3">
      <c r="A218" s="436">
        <v>29103</v>
      </c>
      <c r="B218" s="19" t="s">
        <v>21</v>
      </c>
      <c r="C218" t="s">
        <v>19</v>
      </c>
      <c r="D218" s="563"/>
      <c r="E218" s="120"/>
      <c r="F218" s="563">
        <v>213243.3</v>
      </c>
      <c r="G218" s="120">
        <v>3.8674073989623277E-4</v>
      </c>
      <c r="H218" s="563">
        <v>627461.61</v>
      </c>
      <c r="I218" s="120">
        <v>2.2965680614126108E-3</v>
      </c>
      <c r="J218" s="563">
        <v>0</v>
      </c>
      <c r="K218" s="120">
        <v>0</v>
      </c>
      <c r="L218" s="563">
        <v>349942.05000000005</v>
      </c>
      <c r="M218" s="120">
        <v>2.4249817631476966E-3</v>
      </c>
      <c r="N218" s="563">
        <v>1795159.92</v>
      </c>
      <c r="O218" s="120">
        <v>2.4305293593678608E-3</v>
      </c>
      <c r="P218" s="124">
        <v>2985806.88</v>
      </c>
      <c r="Q218" s="124"/>
      <c r="R218" s="563"/>
      <c r="S218" s="120"/>
      <c r="T218" s="373"/>
      <c r="U218" s="541">
        <v>20</v>
      </c>
      <c r="V218" s="540" t="s">
        <v>20</v>
      </c>
      <c r="W218" s="442" t="s">
        <v>21</v>
      </c>
      <c r="X218" s="552" t="s">
        <v>19</v>
      </c>
      <c r="Y218" s="563">
        <v>0</v>
      </c>
      <c r="Z218" s="563">
        <v>1886428.53</v>
      </c>
      <c r="AA218" s="563">
        <v>577130</v>
      </c>
      <c r="AB218" s="563"/>
      <c r="AC218" s="563"/>
      <c r="AD218" s="563">
        <v>2463558.5300000003</v>
      </c>
      <c r="AE218" s="124"/>
      <c r="AF218" s="541">
        <v>20</v>
      </c>
      <c r="AG218" s="540" t="s">
        <v>20</v>
      </c>
      <c r="AH218" s="442" t="s">
        <v>21</v>
      </c>
      <c r="AI218" s="552" t="s">
        <v>19</v>
      </c>
      <c r="AJ218" s="563">
        <v>0</v>
      </c>
      <c r="AK218" s="563">
        <v>1795159.92</v>
      </c>
      <c r="AL218" s="563">
        <v>627461.61</v>
      </c>
      <c r="AM218" s="563"/>
      <c r="AN218" s="563"/>
      <c r="AO218" s="563">
        <v>2422621.5299999998</v>
      </c>
      <c r="AR218" s="124">
        <f>+L218</f>
        <v>349942.05000000005</v>
      </c>
      <c r="AS218" s="124">
        <f>+F218</f>
        <v>213243.3</v>
      </c>
      <c r="AV218" s="372">
        <f t="shared" si="8"/>
        <v>563185.35000000009</v>
      </c>
      <c r="AW218" s="124">
        <f>+AV218+AO218-P218</f>
        <v>0</v>
      </c>
      <c r="AZ218" s="563">
        <v>0</v>
      </c>
      <c r="BA218" s="563">
        <v>44544.47</v>
      </c>
      <c r="BB218" s="563">
        <v>16162.05</v>
      </c>
      <c r="BC218" s="563"/>
      <c r="BD218" s="563"/>
      <c r="BE218" s="563">
        <v>60706.520000000004</v>
      </c>
      <c r="BF218" s="372"/>
      <c r="BO218" s="563">
        <v>0</v>
      </c>
      <c r="BP218" s="563">
        <v>4076074.9699999997</v>
      </c>
      <c r="BQ218" s="563">
        <v>1433996.96</v>
      </c>
      <c r="BR218" s="563"/>
      <c r="BS218" s="563"/>
      <c r="BT218" s="563">
        <v>5510071.9299999997</v>
      </c>
      <c r="BW218" s="126">
        <v>189</v>
      </c>
      <c r="BX218" s="125">
        <v>29317</v>
      </c>
      <c r="BY218" s="19" t="s">
        <v>21</v>
      </c>
      <c r="BZ218" t="s">
        <v>776</v>
      </c>
    </row>
    <row r="219" spans="1:78" x14ac:dyDescent="0.3">
      <c r="A219" s="436">
        <v>29311</v>
      </c>
      <c r="B219" s="19" t="s">
        <v>21</v>
      </c>
      <c r="C219" t="s">
        <v>254</v>
      </c>
      <c r="D219" s="563"/>
      <c r="E219" s="120"/>
      <c r="F219" s="563">
        <v>60672.259999999995</v>
      </c>
      <c r="G219" s="120">
        <v>1.1003597638742509E-4</v>
      </c>
      <c r="H219" s="563">
        <v>177179.27000000002</v>
      </c>
      <c r="I219" s="120">
        <v>6.4849266654959435E-4</v>
      </c>
      <c r="J219" s="563"/>
      <c r="K219" s="120"/>
      <c r="L219" s="563">
        <v>83145.259999999995</v>
      </c>
      <c r="M219" s="120">
        <v>5.7616893766317492E-4</v>
      </c>
      <c r="N219" s="563">
        <v>429333.35</v>
      </c>
      <c r="O219" s="120">
        <v>5.8128933278031158E-4</v>
      </c>
      <c r="P219" s="124">
        <v>750330.14</v>
      </c>
      <c r="Q219" s="124"/>
      <c r="R219" s="563"/>
      <c r="S219" s="120"/>
      <c r="T219" s="373"/>
      <c r="U219" s="541">
        <v>508</v>
      </c>
      <c r="V219" s="540" t="s">
        <v>255</v>
      </c>
      <c r="W219" s="442" t="s">
        <v>21</v>
      </c>
      <c r="X219" s="552" t="s">
        <v>254</v>
      </c>
      <c r="Y219" s="563"/>
      <c r="Z219" s="563">
        <v>414747.01</v>
      </c>
      <c r="AA219" s="563">
        <v>162687.41</v>
      </c>
      <c r="AB219" s="563"/>
      <c r="AC219" s="563"/>
      <c r="AD219" s="563">
        <v>577434.42000000004</v>
      </c>
      <c r="AE219" s="124"/>
      <c r="AF219" s="541">
        <v>508</v>
      </c>
      <c r="AG219" s="540" t="s">
        <v>255</v>
      </c>
      <c r="AH219" s="442" t="s">
        <v>21</v>
      </c>
      <c r="AI219" s="552" t="s">
        <v>254</v>
      </c>
      <c r="AJ219" s="563"/>
      <c r="AK219" s="563">
        <v>429333.35</v>
      </c>
      <c r="AL219" s="563">
        <v>177179.27000000002</v>
      </c>
      <c r="AM219" s="563"/>
      <c r="AN219" s="563"/>
      <c r="AO219" s="563">
        <v>606512.62</v>
      </c>
      <c r="AR219" s="124">
        <f>+L219</f>
        <v>83145.259999999995</v>
      </c>
      <c r="AS219" s="124">
        <f>+F219</f>
        <v>60672.259999999995</v>
      </c>
      <c r="AV219" s="372">
        <f t="shared" si="8"/>
        <v>143817.51999999999</v>
      </c>
      <c r="AW219" s="124">
        <f>+AV219+AO219-P219</f>
        <v>0</v>
      </c>
      <c r="AZ219" s="563"/>
      <c r="BA219" s="563">
        <v>10653.32</v>
      </c>
      <c r="BB219" s="563">
        <v>4566.3600000000006</v>
      </c>
      <c r="BC219" s="563"/>
      <c r="BD219" s="563"/>
      <c r="BE219" s="563">
        <v>15219.68</v>
      </c>
      <c r="BF219" s="372"/>
      <c r="BO219" s="563"/>
      <c r="BP219" s="563">
        <v>937878.94</v>
      </c>
      <c r="BQ219" s="563">
        <v>405105.3</v>
      </c>
      <c r="BR219" s="563"/>
      <c r="BS219" s="563"/>
      <c r="BT219" s="563">
        <v>1342984.24</v>
      </c>
      <c r="BW219" s="126">
        <v>618</v>
      </c>
      <c r="BX219" s="125">
        <v>29320</v>
      </c>
      <c r="BY219" s="19" t="s">
        <v>21</v>
      </c>
      <c r="BZ219" t="s">
        <v>881</v>
      </c>
    </row>
    <row r="220" spans="1:78" x14ac:dyDescent="0.3">
      <c r="A220" s="436">
        <v>29317</v>
      </c>
      <c r="B220" s="19" t="s">
        <v>21</v>
      </c>
      <c r="C220" t="s">
        <v>110</v>
      </c>
      <c r="D220" s="563"/>
      <c r="E220" s="120"/>
      <c r="F220" s="563">
        <v>26765.23</v>
      </c>
      <c r="G220" s="120">
        <v>4.8541758890867128E-5</v>
      </c>
      <c r="H220" s="563">
        <v>79008.42</v>
      </c>
      <c r="I220" s="120">
        <v>2.8917819204058294E-4</v>
      </c>
      <c r="J220" s="563">
        <v>0</v>
      </c>
      <c r="K220" s="120">
        <v>0</v>
      </c>
      <c r="L220" s="563">
        <v>55287.19</v>
      </c>
      <c r="M220" s="120">
        <v>3.83121798268261E-4</v>
      </c>
      <c r="N220" s="563">
        <v>287078.15999999997</v>
      </c>
      <c r="O220" s="120">
        <v>3.8868509069281372E-4</v>
      </c>
      <c r="P220" s="124">
        <v>448139</v>
      </c>
      <c r="Q220" s="124"/>
      <c r="R220" s="563"/>
      <c r="S220" s="120"/>
      <c r="T220" s="373"/>
      <c r="U220" s="541">
        <v>189</v>
      </c>
      <c r="V220" s="540" t="s">
        <v>111</v>
      </c>
      <c r="W220" s="442" t="s">
        <v>21</v>
      </c>
      <c r="X220" s="552" t="s">
        <v>110</v>
      </c>
      <c r="Y220" s="563">
        <v>0</v>
      </c>
      <c r="Z220" s="563">
        <v>282262.91000000003</v>
      </c>
      <c r="AA220" s="563">
        <v>82269.41</v>
      </c>
      <c r="AB220" s="563"/>
      <c r="AC220" s="563"/>
      <c r="AD220" s="563">
        <v>364532.32000000007</v>
      </c>
      <c r="AE220" s="124"/>
      <c r="AF220" s="541">
        <v>189</v>
      </c>
      <c r="AG220" s="540" t="s">
        <v>111</v>
      </c>
      <c r="AH220" s="442" t="s">
        <v>21</v>
      </c>
      <c r="AI220" s="552" t="s">
        <v>110</v>
      </c>
      <c r="AJ220" s="563">
        <v>0</v>
      </c>
      <c r="AK220" s="563">
        <v>287078.15999999997</v>
      </c>
      <c r="AL220" s="563">
        <v>79008.42</v>
      </c>
      <c r="AM220" s="563"/>
      <c r="AN220" s="563"/>
      <c r="AO220" s="563">
        <v>366086.57999999996</v>
      </c>
      <c r="AR220" s="124">
        <f>+L220</f>
        <v>55287.19</v>
      </c>
      <c r="AS220" s="124">
        <f>+F220</f>
        <v>26765.23</v>
      </c>
      <c r="AV220" s="372">
        <f t="shared" si="8"/>
        <v>82052.42</v>
      </c>
      <c r="AW220" s="124">
        <f>+AV220+AO220-P220</f>
        <v>0</v>
      </c>
      <c r="AZ220" s="563">
        <v>0</v>
      </c>
      <c r="BA220" s="563">
        <v>7126.39</v>
      </c>
      <c r="BB220" s="563">
        <v>2036.18</v>
      </c>
      <c r="BC220" s="563"/>
      <c r="BD220" s="563"/>
      <c r="BE220" s="563">
        <v>9162.57</v>
      </c>
      <c r="BF220" s="372"/>
      <c r="BO220" s="563">
        <v>0</v>
      </c>
      <c r="BP220" s="563">
        <v>631754.65</v>
      </c>
      <c r="BQ220" s="563">
        <v>190079.24</v>
      </c>
      <c r="BR220" s="563"/>
      <c r="BS220" s="563"/>
      <c r="BT220" s="563">
        <v>821833.89</v>
      </c>
      <c r="BW220" s="126">
        <v>267</v>
      </c>
      <c r="BX220" s="125">
        <v>29801</v>
      </c>
      <c r="BY220" s="19" t="s">
        <v>21</v>
      </c>
      <c r="BZ220" t="s">
        <v>1124</v>
      </c>
    </row>
    <row r="221" spans="1:78" x14ac:dyDescent="0.3">
      <c r="A221" s="436">
        <v>29320</v>
      </c>
      <c r="B221" s="19" t="s">
        <v>21</v>
      </c>
      <c r="C221" t="s">
        <v>324</v>
      </c>
      <c r="D221" s="563">
        <v>17412.310000000001</v>
      </c>
      <c r="E221" s="120">
        <v>3.157918515002616E-5</v>
      </c>
      <c r="F221" s="563">
        <v>621543.82000000007</v>
      </c>
      <c r="G221" s="120">
        <v>1.1272397155021093E-3</v>
      </c>
      <c r="H221" s="563">
        <v>1813984.9300000002</v>
      </c>
      <c r="I221" s="120">
        <v>6.639354165622645E-3</v>
      </c>
      <c r="J221" s="563">
        <v>0</v>
      </c>
      <c r="K221" s="120">
        <v>0</v>
      </c>
      <c r="L221" s="563">
        <v>939485.97</v>
      </c>
      <c r="M221" s="120">
        <v>6.5103246208425758E-3</v>
      </c>
      <c r="N221" s="563">
        <v>4859392.9800000004</v>
      </c>
      <c r="O221" s="120">
        <v>6.5793009163195226E-3</v>
      </c>
      <c r="P221" s="124">
        <v>8251820.0100000007</v>
      </c>
      <c r="Q221" s="124"/>
      <c r="R221" s="563"/>
      <c r="S221" s="120"/>
      <c r="T221" s="373"/>
      <c r="U221" s="541">
        <v>618</v>
      </c>
      <c r="V221" s="540" t="s">
        <v>325</v>
      </c>
      <c r="W221" s="442" t="s">
        <v>21</v>
      </c>
      <c r="X221" s="552" t="s">
        <v>324</v>
      </c>
      <c r="Y221" s="563">
        <v>0</v>
      </c>
      <c r="Z221" s="563">
        <v>4992587.6899999995</v>
      </c>
      <c r="AA221" s="563">
        <v>1732099.62</v>
      </c>
      <c r="AB221" s="563">
        <v>11593.78</v>
      </c>
      <c r="AC221" s="563"/>
      <c r="AD221" s="563">
        <v>6736281.0899999999</v>
      </c>
      <c r="AE221" s="124"/>
      <c r="AF221" s="541">
        <v>618</v>
      </c>
      <c r="AG221" s="540" t="s">
        <v>325</v>
      </c>
      <c r="AH221" s="442" t="s">
        <v>21</v>
      </c>
      <c r="AI221" s="552" t="s">
        <v>324</v>
      </c>
      <c r="AJ221" s="563">
        <v>0</v>
      </c>
      <c r="AK221" s="563">
        <v>4859392.9800000004</v>
      </c>
      <c r="AL221" s="563">
        <v>1813984.9300000002</v>
      </c>
      <c r="AM221" s="563">
        <v>17412.310000000001</v>
      </c>
      <c r="AN221" s="563"/>
      <c r="AO221" s="563">
        <v>6690790.2200000007</v>
      </c>
      <c r="AR221" s="124">
        <f>+L221</f>
        <v>939485.97</v>
      </c>
      <c r="AS221" s="124">
        <f>+F221</f>
        <v>621543.82000000007</v>
      </c>
      <c r="AV221" s="372">
        <f t="shared" si="8"/>
        <v>1561029.79</v>
      </c>
      <c r="AW221" s="124">
        <f>+AV221+AO221-P221</f>
        <v>0</v>
      </c>
      <c r="AZ221" s="563">
        <v>0</v>
      </c>
      <c r="BA221" s="563">
        <v>120578.48</v>
      </c>
      <c r="BB221" s="563">
        <v>46751.6</v>
      </c>
      <c r="BC221" s="563">
        <v>386.39</v>
      </c>
      <c r="BD221" s="563"/>
      <c r="BE221" s="563">
        <v>167716.47</v>
      </c>
      <c r="BF221" s="372"/>
      <c r="BO221" s="563">
        <v>0</v>
      </c>
      <c r="BP221" s="563">
        <v>10912045.120000001</v>
      </c>
      <c r="BQ221" s="563">
        <v>4214379.97</v>
      </c>
      <c r="BR221" s="563">
        <v>29392.48</v>
      </c>
      <c r="BS221" s="563"/>
      <c r="BT221" s="563">
        <v>15155817.57</v>
      </c>
      <c r="BW221" s="126">
        <v>877</v>
      </c>
      <c r="BX221" s="125">
        <v>30002</v>
      </c>
      <c r="BY221" s="19" t="s">
        <v>34</v>
      </c>
      <c r="BZ221" t="s">
        <v>959</v>
      </c>
    </row>
    <row r="222" spans="1:78" x14ac:dyDescent="0.3">
      <c r="A222" s="436">
        <v>29801</v>
      </c>
      <c r="B222" s="19" t="s">
        <v>21</v>
      </c>
      <c r="C222" t="s">
        <v>362</v>
      </c>
      <c r="D222" s="563"/>
      <c r="E222" s="120"/>
      <c r="F222" s="563">
        <v>494170.47</v>
      </c>
      <c r="G222" s="120">
        <v>8.9623380055865341E-4</v>
      </c>
      <c r="H222" s="563">
        <v>1469019.8900000001</v>
      </c>
      <c r="I222" s="120">
        <v>5.3767499193358896E-3</v>
      </c>
      <c r="J222" s="563"/>
      <c r="K222" s="120"/>
      <c r="L222" s="563">
        <v>64228.44</v>
      </c>
      <c r="M222" s="120">
        <v>4.4508168045373812E-4</v>
      </c>
      <c r="N222" s="563">
        <v>328785.46999999997</v>
      </c>
      <c r="O222" s="120">
        <v>4.4515406614501564E-4</v>
      </c>
      <c r="P222" s="124">
        <v>2356204.27</v>
      </c>
      <c r="Q222" s="124"/>
      <c r="R222" s="563"/>
      <c r="S222" s="120"/>
      <c r="T222" s="373"/>
      <c r="U222" s="541">
        <v>267</v>
      </c>
      <c r="V222" s="540" t="s">
        <v>363</v>
      </c>
      <c r="W222" s="442" t="s">
        <v>21</v>
      </c>
      <c r="X222" s="552" t="s">
        <v>362</v>
      </c>
      <c r="Y222" s="563"/>
      <c r="Z222" s="563">
        <v>328032.62</v>
      </c>
      <c r="AA222" s="563">
        <v>1408713.4</v>
      </c>
      <c r="AB222" s="563"/>
      <c r="AC222" s="563"/>
      <c r="AD222" s="563">
        <v>1736746.02</v>
      </c>
      <c r="AE222" s="124"/>
      <c r="AF222" s="541">
        <v>267</v>
      </c>
      <c r="AG222" s="540" t="s">
        <v>363</v>
      </c>
      <c r="AH222" s="442" t="s">
        <v>21</v>
      </c>
      <c r="AI222" s="552" t="s">
        <v>362</v>
      </c>
      <c r="AJ222" s="563"/>
      <c r="AK222" s="563">
        <v>328785.46999999997</v>
      </c>
      <c r="AL222" s="563">
        <v>1469019.8900000001</v>
      </c>
      <c r="AM222" s="563"/>
      <c r="AN222" s="563"/>
      <c r="AO222" s="563">
        <v>1797805.36</v>
      </c>
      <c r="AR222" s="124">
        <f>+L222</f>
        <v>64228.44</v>
      </c>
      <c r="AS222" s="124">
        <f>+F222</f>
        <v>494170.47</v>
      </c>
      <c r="AV222" s="372">
        <f t="shared" si="8"/>
        <v>558398.90999999992</v>
      </c>
      <c r="AW222" s="124">
        <f>+AV222+AO222-P222</f>
        <v>0</v>
      </c>
      <c r="AZ222" s="563"/>
      <c r="BA222" s="563">
        <v>8158.3099999999995</v>
      </c>
      <c r="BB222" s="563">
        <v>37861.15</v>
      </c>
      <c r="BC222" s="563"/>
      <c r="BD222" s="563"/>
      <c r="BE222" s="563">
        <v>46019.46</v>
      </c>
      <c r="BF222" s="372"/>
      <c r="BO222" s="563"/>
      <c r="BP222" s="563">
        <v>729204.84</v>
      </c>
      <c r="BQ222" s="563">
        <v>3409764.91</v>
      </c>
      <c r="BR222" s="563"/>
      <c r="BS222" s="563"/>
      <c r="BT222" s="563">
        <v>4138969.75</v>
      </c>
      <c r="BW222" s="126">
        <v>616</v>
      </c>
      <c r="BX222" s="125">
        <v>30029</v>
      </c>
      <c r="BY222" s="19" t="s">
        <v>34</v>
      </c>
      <c r="BZ222" t="s">
        <v>880</v>
      </c>
    </row>
    <row r="223" spans="1:78" x14ac:dyDescent="0.3">
      <c r="A223" s="436">
        <v>30002</v>
      </c>
      <c r="B223" s="19" t="s">
        <v>34</v>
      </c>
      <c r="C223" t="s">
        <v>494</v>
      </c>
      <c r="D223" s="563"/>
      <c r="E223" s="120"/>
      <c r="F223" s="563">
        <v>7177.76</v>
      </c>
      <c r="G223" s="120">
        <v>1.3017676115486788E-5</v>
      </c>
      <c r="H223" s="563">
        <v>21135.379999999997</v>
      </c>
      <c r="I223" s="120">
        <v>7.7357463628442331E-5</v>
      </c>
      <c r="J223" s="563"/>
      <c r="K223" s="120"/>
      <c r="L223" s="563">
        <v>10269.57</v>
      </c>
      <c r="M223" s="120">
        <v>7.1164697027318349E-5</v>
      </c>
      <c r="N223" s="563">
        <v>52532.5</v>
      </c>
      <c r="O223" s="120">
        <v>7.1125576138638473E-5</v>
      </c>
      <c r="P223" s="124">
        <v>91115.209999999992</v>
      </c>
      <c r="Q223" s="124"/>
      <c r="R223" s="563"/>
      <c r="S223" s="120"/>
      <c r="T223" s="373"/>
      <c r="U223" s="541">
        <v>877</v>
      </c>
      <c r="V223" s="540" t="s">
        <v>495</v>
      </c>
      <c r="W223" s="442" t="s">
        <v>34</v>
      </c>
      <c r="X223" s="552" t="s">
        <v>494</v>
      </c>
      <c r="Y223" s="563"/>
      <c r="Z223" s="563">
        <v>56822.03</v>
      </c>
      <c r="AA223" s="563">
        <v>17398.8</v>
      </c>
      <c r="AB223" s="563"/>
      <c r="AC223" s="563"/>
      <c r="AD223" s="563">
        <v>74220.83</v>
      </c>
      <c r="AE223" s="124"/>
      <c r="AF223" s="541">
        <v>877</v>
      </c>
      <c r="AG223" s="540" t="s">
        <v>495</v>
      </c>
      <c r="AH223" s="442" t="s">
        <v>34</v>
      </c>
      <c r="AI223" s="552" t="s">
        <v>494</v>
      </c>
      <c r="AJ223" s="563"/>
      <c r="AK223" s="563">
        <v>52532.5</v>
      </c>
      <c r="AL223" s="563">
        <v>21135.379999999997</v>
      </c>
      <c r="AM223" s="563"/>
      <c r="AN223" s="563"/>
      <c r="AO223" s="563">
        <v>73667.88</v>
      </c>
      <c r="AR223" s="124">
        <f>+L223</f>
        <v>10269.57</v>
      </c>
      <c r="AS223" s="124">
        <f>+F223</f>
        <v>7177.76</v>
      </c>
      <c r="AV223" s="372">
        <f t="shared" si="8"/>
        <v>17447.330000000002</v>
      </c>
      <c r="AW223" s="124">
        <f>+AV223+AO223-P223</f>
        <v>0</v>
      </c>
      <c r="AZ223" s="563"/>
      <c r="BA223" s="563">
        <v>1303.3699999999999</v>
      </c>
      <c r="BB223" s="563">
        <v>544.58999999999992</v>
      </c>
      <c r="BC223" s="563"/>
      <c r="BD223" s="563"/>
      <c r="BE223" s="563">
        <v>1847.9599999999998</v>
      </c>
      <c r="BF223" s="372"/>
      <c r="BO223" s="563"/>
      <c r="BP223" s="563">
        <v>120927.47</v>
      </c>
      <c r="BQ223" s="563">
        <v>46256.53</v>
      </c>
      <c r="BR223" s="563"/>
      <c r="BS223" s="563"/>
      <c r="BT223" s="563">
        <v>167184</v>
      </c>
      <c r="BW223" s="126">
        <v>595</v>
      </c>
      <c r="BX223" s="125">
        <v>30031</v>
      </c>
      <c r="BY223" s="19" t="s">
        <v>34</v>
      </c>
      <c r="BZ223" t="s">
        <v>872</v>
      </c>
    </row>
    <row r="224" spans="1:78" x14ac:dyDescent="0.3">
      <c r="A224" s="436">
        <v>30029</v>
      </c>
      <c r="B224" s="19" t="s">
        <v>34</v>
      </c>
      <c r="C224" t="s">
        <v>322</v>
      </c>
      <c r="D224" s="563"/>
      <c r="E224" s="120"/>
      <c r="F224" s="563">
        <v>3279.44</v>
      </c>
      <c r="G224" s="120">
        <v>5.9476337687763304E-6</v>
      </c>
      <c r="H224" s="563">
        <v>9787.1200000000008</v>
      </c>
      <c r="I224" s="120">
        <v>3.5821772753894214E-5</v>
      </c>
      <c r="J224" s="563"/>
      <c r="K224" s="120"/>
      <c r="L224" s="563">
        <v>8202.42</v>
      </c>
      <c r="M224" s="120">
        <v>5.6840036553703476E-5</v>
      </c>
      <c r="N224" s="563">
        <v>42147.41</v>
      </c>
      <c r="O224" s="120">
        <v>5.7064842126329656E-5</v>
      </c>
      <c r="P224" s="124">
        <v>63416.390000000007</v>
      </c>
      <c r="Q224" s="124"/>
      <c r="R224" s="563"/>
      <c r="S224" s="120"/>
      <c r="T224" s="373"/>
      <c r="U224" s="541">
        <v>616</v>
      </c>
      <c r="V224" s="540" t="s">
        <v>323</v>
      </c>
      <c r="W224" s="442" t="s">
        <v>34</v>
      </c>
      <c r="X224" s="552" t="s">
        <v>322</v>
      </c>
      <c r="Y224" s="563"/>
      <c r="Z224" s="563">
        <v>34887.22</v>
      </c>
      <c r="AA224" s="563">
        <v>13374.07</v>
      </c>
      <c r="AB224" s="563"/>
      <c r="AC224" s="563"/>
      <c r="AD224" s="563">
        <v>48261.29</v>
      </c>
      <c r="AE224" s="124"/>
      <c r="AF224" s="541">
        <v>616</v>
      </c>
      <c r="AG224" s="540" t="s">
        <v>323</v>
      </c>
      <c r="AH224" s="442" t="s">
        <v>34</v>
      </c>
      <c r="AI224" s="552" t="s">
        <v>322</v>
      </c>
      <c r="AJ224" s="563"/>
      <c r="AK224" s="563">
        <v>42147.41</v>
      </c>
      <c r="AL224" s="563">
        <v>9787.1200000000008</v>
      </c>
      <c r="AM224" s="563"/>
      <c r="AN224" s="563"/>
      <c r="AO224" s="563">
        <v>51934.530000000006</v>
      </c>
      <c r="AR224" s="124">
        <f>+L224</f>
        <v>8202.42</v>
      </c>
      <c r="AS224" s="124">
        <f>+F224</f>
        <v>3279.44</v>
      </c>
      <c r="AV224" s="372">
        <f t="shared" si="8"/>
        <v>11481.86</v>
      </c>
      <c r="AW224" s="124">
        <f>+AV224+AO224-P224</f>
        <v>0</v>
      </c>
      <c r="AZ224" s="563"/>
      <c r="BA224" s="563">
        <v>1045.71</v>
      </c>
      <c r="BB224" s="563">
        <v>252.14</v>
      </c>
      <c r="BC224" s="563"/>
      <c r="BD224" s="563"/>
      <c r="BE224" s="563">
        <v>1297.8499999999999</v>
      </c>
      <c r="BF224" s="372"/>
      <c r="BO224" s="563"/>
      <c r="BP224" s="563">
        <v>86282.760000000009</v>
      </c>
      <c r="BQ224" s="563">
        <v>26692.77</v>
      </c>
      <c r="BR224" s="563"/>
      <c r="BS224" s="563"/>
      <c r="BT224" s="563">
        <v>112975.53000000001</v>
      </c>
      <c r="BW224" s="126">
        <v>949</v>
      </c>
      <c r="BX224" s="125">
        <v>30303</v>
      </c>
      <c r="BY224" s="19" t="s">
        <v>34</v>
      </c>
      <c r="BZ224" t="s">
        <v>975</v>
      </c>
    </row>
    <row r="225" spans="1:78" x14ac:dyDescent="0.3">
      <c r="A225" s="436">
        <v>30031</v>
      </c>
      <c r="B225" s="19" t="s">
        <v>34</v>
      </c>
      <c r="C225" t="s">
        <v>306</v>
      </c>
      <c r="D225" s="563"/>
      <c r="E225" s="120"/>
      <c r="F225" s="563">
        <v>10749.82</v>
      </c>
      <c r="G225" s="120">
        <v>1.9496009208970789E-5</v>
      </c>
      <c r="H225" s="563">
        <v>31928.58</v>
      </c>
      <c r="I225" s="120">
        <v>1.1686158309232252E-4</v>
      </c>
      <c r="J225" s="563"/>
      <c r="K225" s="120"/>
      <c r="L225" s="563">
        <v>15195.18</v>
      </c>
      <c r="M225" s="120">
        <v>1.0529753251358793E-4</v>
      </c>
      <c r="N225" s="563">
        <v>77716.42</v>
      </c>
      <c r="O225" s="120">
        <v>1.0522296003297779E-4</v>
      </c>
      <c r="P225" s="124">
        <v>135590</v>
      </c>
      <c r="Q225" s="124"/>
      <c r="R225" s="563"/>
      <c r="S225" s="120"/>
      <c r="T225" s="373"/>
      <c r="U225" s="541">
        <v>595</v>
      </c>
      <c r="V225" s="540" t="s">
        <v>307</v>
      </c>
      <c r="W225" s="442" t="s">
        <v>34</v>
      </c>
      <c r="X225" s="552" t="s">
        <v>306</v>
      </c>
      <c r="Y225" s="563"/>
      <c r="Z225" s="563">
        <v>67667.5</v>
      </c>
      <c r="AA225" s="563">
        <v>30079.46</v>
      </c>
      <c r="AB225" s="563"/>
      <c r="AC225" s="563"/>
      <c r="AD225" s="563">
        <v>97746.959999999992</v>
      </c>
      <c r="AE225" s="124"/>
      <c r="AF225" s="541">
        <v>595</v>
      </c>
      <c r="AG225" s="540" t="s">
        <v>307</v>
      </c>
      <c r="AH225" s="442" t="s">
        <v>34</v>
      </c>
      <c r="AI225" s="552" t="s">
        <v>306</v>
      </c>
      <c r="AJ225" s="563"/>
      <c r="AK225" s="563">
        <v>77716.42</v>
      </c>
      <c r="AL225" s="563">
        <v>31928.58</v>
      </c>
      <c r="AM225" s="563"/>
      <c r="AN225" s="563"/>
      <c r="AO225" s="563">
        <v>109645</v>
      </c>
      <c r="AR225" s="124">
        <f>+L225</f>
        <v>15195.18</v>
      </c>
      <c r="AS225" s="124">
        <f>+F225</f>
        <v>10749.82</v>
      </c>
      <c r="AV225" s="372">
        <f t="shared" si="8"/>
        <v>25945</v>
      </c>
      <c r="AW225" s="124">
        <f>+AV225+AO225-P225</f>
        <v>0</v>
      </c>
      <c r="AZ225" s="563"/>
      <c r="BA225" s="563">
        <v>1928.32</v>
      </c>
      <c r="BB225" s="563">
        <v>822.79</v>
      </c>
      <c r="BC225" s="563"/>
      <c r="BD225" s="563"/>
      <c r="BE225" s="563">
        <v>2751.1099999999997</v>
      </c>
      <c r="BF225" s="372"/>
      <c r="BO225" s="563"/>
      <c r="BP225" s="563">
        <v>162507.42000000001</v>
      </c>
      <c r="BQ225" s="563">
        <v>73580.649999999994</v>
      </c>
      <c r="BR225" s="563"/>
      <c r="BS225" s="563"/>
      <c r="BT225" s="563">
        <v>236088.07</v>
      </c>
      <c r="BW225" s="126">
        <v>290</v>
      </c>
      <c r="BX225" s="125">
        <v>31002</v>
      </c>
      <c r="BY225" s="19" t="s">
        <v>21</v>
      </c>
      <c r="BZ225" t="s">
        <v>808</v>
      </c>
    </row>
    <row r="226" spans="1:78" x14ac:dyDescent="0.3">
      <c r="A226" s="436">
        <v>30303</v>
      </c>
      <c r="B226" s="19" t="s">
        <v>34</v>
      </c>
      <c r="C226" t="s">
        <v>528</v>
      </c>
      <c r="D226" s="563"/>
      <c r="E226" s="120"/>
      <c r="F226" s="563">
        <v>58973.869999999995</v>
      </c>
      <c r="G226" s="120">
        <v>1.0695575485065295E-4</v>
      </c>
      <c r="H226" s="563">
        <v>174169.07</v>
      </c>
      <c r="I226" s="120">
        <v>6.3747505357010981E-4</v>
      </c>
      <c r="J226" s="563"/>
      <c r="K226" s="120"/>
      <c r="L226" s="563">
        <v>82702.25</v>
      </c>
      <c r="M226" s="120">
        <v>5.73099026028114E-4</v>
      </c>
      <c r="N226" s="563">
        <v>424615.83999999997</v>
      </c>
      <c r="O226" s="120">
        <v>5.7490213215803416E-4</v>
      </c>
      <c r="P226" s="124">
        <v>740461.03</v>
      </c>
      <c r="Q226" s="124"/>
      <c r="R226" s="563"/>
      <c r="S226" s="120"/>
      <c r="T226" s="373"/>
      <c r="U226" s="541">
        <v>949</v>
      </c>
      <c r="V226" s="540" t="s">
        <v>529</v>
      </c>
      <c r="W226" s="442" t="s">
        <v>34</v>
      </c>
      <c r="X226" s="552" t="s">
        <v>528</v>
      </c>
      <c r="Y226" s="563"/>
      <c r="Z226" s="563">
        <v>429386.4</v>
      </c>
      <c r="AA226" s="563">
        <v>166426.59</v>
      </c>
      <c r="AB226" s="563"/>
      <c r="AC226" s="563"/>
      <c r="AD226" s="563">
        <v>595812.99</v>
      </c>
      <c r="AE226" s="124"/>
      <c r="AF226" s="541">
        <v>949</v>
      </c>
      <c r="AG226" s="540" t="s">
        <v>529</v>
      </c>
      <c r="AH226" s="442" t="s">
        <v>34</v>
      </c>
      <c r="AI226" s="552" t="s">
        <v>528</v>
      </c>
      <c r="AJ226" s="563"/>
      <c r="AK226" s="563">
        <v>424615.83999999997</v>
      </c>
      <c r="AL226" s="563">
        <v>174169.07</v>
      </c>
      <c r="AM226" s="563"/>
      <c r="AN226" s="563"/>
      <c r="AO226" s="563">
        <v>598784.90999999992</v>
      </c>
      <c r="AR226" s="124">
        <f>+L226</f>
        <v>82702.25</v>
      </c>
      <c r="AS226" s="124">
        <f>+F226</f>
        <v>58973.869999999995</v>
      </c>
      <c r="AV226" s="372">
        <f t="shared" si="8"/>
        <v>141676.12</v>
      </c>
      <c r="AW226" s="124">
        <f>+AV226+AO226-P226</f>
        <v>0</v>
      </c>
      <c r="AZ226" s="563"/>
      <c r="BA226" s="563">
        <v>10536.240000000002</v>
      </c>
      <c r="BB226" s="563">
        <v>4488.7800000000007</v>
      </c>
      <c r="BC226" s="563"/>
      <c r="BD226" s="563"/>
      <c r="BE226" s="563">
        <v>15025.020000000002</v>
      </c>
      <c r="BF226" s="372"/>
      <c r="BO226" s="563"/>
      <c r="BP226" s="563">
        <v>947240.73</v>
      </c>
      <c r="BQ226" s="563">
        <v>404058.31</v>
      </c>
      <c r="BR226" s="563"/>
      <c r="BS226" s="563"/>
      <c r="BT226" s="563">
        <v>1351299.04</v>
      </c>
      <c r="BW226" s="126">
        <v>517</v>
      </c>
      <c r="BX226" s="125">
        <v>31004</v>
      </c>
      <c r="BY226" s="19" t="s">
        <v>21</v>
      </c>
      <c r="BZ226" t="s">
        <v>849</v>
      </c>
    </row>
    <row r="227" spans="1:78" x14ac:dyDescent="0.3">
      <c r="A227" s="436">
        <v>31002</v>
      </c>
      <c r="B227" s="19" t="s">
        <v>21</v>
      </c>
      <c r="C227" t="s">
        <v>174</v>
      </c>
      <c r="D227" s="563">
        <v>6916.55</v>
      </c>
      <c r="E227" s="120">
        <v>1.2543942363156493E-5</v>
      </c>
      <c r="F227" s="563">
        <v>1587066.1099999999</v>
      </c>
      <c r="G227" s="120">
        <v>2.8783231250202744E-3</v>
      </c>
      <c r="H227" s="563">
        <v>4694355.4800000004</v>
      </c>
      <c r="I227" s="120">
        <v>1.7181779239506412E-2</v>
      </c>
      <c r="J227" s="563">
        <v>0</v>
      </c>
      <c r="K227" s="120">
        <v>0</v>
      </c>
      <c r="L227" s="563">
        <v>2977330.79</v>
      </c>
      <c r="M227" s="120">
        <v>2.0631909965116008E-2</v>
      </c>
      <c r="N227" s="563">
        <v>15273110.869999999</v>
      </c>
      <c r="O227" s="120">
        <v>2.0678795223110488E-2</v>
      </c>
      <c r="P227" s="124">
        <v>24538779.799999997</v>
      </c>
      <c r="Q227" s="124"/>
      <c r="R227" s="563"/>
      <c r="S227" s="120"/>
      <c r="T227" s="373"/>
      <c r="U227" s="541">
        <v>290</v>
      </c>
      <c r="V227" s="540" t="s">
        <v>175</v>
      </c>
      <c r="W227" s="442" t="s">
        <v>21</v>
      </c>
      <c r="X227" s="552" t="s">
        <v>174</v>
      </c>
      <c r="Y227" s="563">
        <v>0</v>
      </c>
      <c r="Z227" s="563">
        <v>15237135.789999999</v>
      </c>
      <c r="AA227" s="563">
        <v>4511327.21</v>
      </c>
      <c r="AB227" s="563">
        <v>4632.34</v>
      </c>
      <c r="AC227" s="563"/>
      <c r="AD227" s="563">
        <v>19753095.34</v>
      </c>
      <c r="AE227" s="124"/>
      <c r="AF227" s="541">
        <v>290</v>
      </c>
      <c r="AG227" s="540" t="s">
        <v>175</v>
      </c>
      <c r="AH227" s="442" t="s">
        <v>21</v>
      </c>
      <c r="AI227" s="552" t="s">
        <v>174</v>
      </c>
      <c r="AJ227" s="563">
        <v>0</v>
      </c>
      <c r="AK227" s="563">
        <v>15273110.869999999</v>
      </c>
      <c r="AL227" s="563">
        <v>4694355.4800000004</v>
      </c>
      <c r="AM227" s="563">
        <v>6916.55</v>
      </c>
      <c r="AN227" s="563"/>
      <c r="AO227" s="563">
        <v>19974382.899999999</v>
      </c>
      <c r="AR227" s="124">
        <f>+L227</f>
        <v>2977330.79</v>
      </c>
      <c r="AS227" s="124">
        <f>+F227</f>
        <v>1587066.1099999999</v>
      </c>
      <c r="AV227" s="372">
        <f t="shared" si="8"/>
        <v>4564396.9000000004</v>
      </c>
      <c r="AW227" s="124">
        <f>+AV227+AO227-P227</f>
        <v>0</v>
      </c>
      <c r="AZ227" s="563">
        <v>0</v>
      </c>
      <c r="BA227" s="563">
        <v>378978.65</v>
      </c>
      <c r="BB227" s="563">
        <v>120888.33</v>
      </c>
      <c r="BC227" s="563">
        <v>154.38999999999999</v>
      </c>
      <c r="BD227" s="563"/>
      <c r="BE227" s="563">
        <v>500021.37</v>
      </c>
      <c r="BF227" s="372"/>
      <c r="BO227" s="563">
        <v>0</v>
      </c>
      <c r="BP227" s="563">
        <v>33866556.100000001</v>
      </c>
      <c r="BQ227" s="563">
        <v>10913637.129999999</v>
      </c>
      <c r="BR227" s="563">
        <v>11703.28</v>
      </c>
      <c r="BS227" s="563"/>
      <c r="BT227" s="563">
        <v>44791896.509999998</v>
      </c>
      <c r="BW227" s="126">
        <v>623</v>
      </c>
      <c r="BX227" s="125">
        <v>31006</v>
      </c>
      <c r="BY227" s="19" t="s">
        <v>21</v>
      </c>
      <c r="BZ227" t="s">
        <v>883</v>
      </c>
    </row>
    <row r="228" spans="1:78" x14ac:dyDescent="0.3">
      <c r="A228" s="436">
        <v>31004</v>
      </c>
      <c r="B228" s="19" t="s">
        <v>21</v>
      </c>
      <c r="C228" t="s">
        <v>260</v>
      </c>
      <c r="D228" s="563">
        <v>6503.03</v>
      </c>
      <c r="E228" s="120">
        <v>1.1793977272755573E-5</v>
      </c>
      <c r="F228" s="563">
        <v>790575.54</v>
      </c>
      <c r="G228" s="120">
        <v>1.4337977759838823E-3</v>
      </c>
      <c r="H228" s="563">
        <v>2344431.13</v>
      </c>
      <c r="I228" s="120">
        <v>8.5808367707778596E-3</v>
      </c>
      <c r="J228" s="563">
        <v>14534.1</v>
      </c>
      <c r="K228" s="120">
        <v>1.0071646846603584E-4</v>
      </c>
      <c r="L228" s="563">
        <v>1257328.03</v>
      </c>
      <c r="M228" s="120">
        <v>8.7128641529202328E-3</v>
      </c>
      <c r="N228" s="563">
        <v>6443988.0999999996</v>
      </c>
      <c r="O228" s="120">
        <v>8.724739280312763E-3</v>
      </c>
      <c r="P228" s="124">
        <v>10857359.93</v>
      </c>
      <c r="Q228" s="124"/>
      <c r="R228" s="563"/>
      <c r="S228" s="120"/>
      <c r="T228" s="373"/>
      <c r="U228" s="541">
        <v>517</v>
      </c>
      <c r="V228" s="540" t="s">
        <v>261</v>
      </c>
      <c r="W228" s="442" t="s">
        <v>21</v>
      </c>
      <c r="X228" s="552" t="s">
        <v>260</v>
      </c>
      <c r="Y228" s="563">
        <v>9053.8700000000008</v>
      </c>
      <c r="Z228" s="563">
        <v>6523360.0899999999</v>
      </c>
      <c r="AA228" s="563">
        <v>2277344.92</v>
      </c>
      <c r="AB228" s="563">
        <v>4354.38</v>
      </c>
      <c r="AC228" s="563"/>
      <c r="AD228" s="563">
        <v>8814113.2599999998</v>
      </c>
      <c r="AE228" s="124"/>
      <c r="AF228" s="541">
        <v>517</v>
      </c>
      <c r="AG228" s="540" t="s">
        <v>261</v>
      </c>
      <c r="AH228" s="442" t="s">
        <v>21</v>
      </c>
      <c r="AI228" s="552" t="s">
        <v>260</v>
      </c>
      <c r="AJ228" s="563">
        <v>14534.1</v>
      </c>
      <c r="AK228" s="563">
        <v>6443988.0999999996</v>
      </c>
      <c r="AL228" s="563">
        <v>2344431.13</v>
      </c>
      <c r="AM228" s="563">
        <v>6503.03</v>
      </c>
      <c r="AN228" s="563"/>
      <c r="AO228" s="563">
        <v>8809456.3599999994</v>
      </c>
      <c r="AR228" s="124">
        <f>+L228</f>
        <v>1257328.03</v>
      </c>
      <c r="AS228" s="124">
        <f>+F228</f>
        <v>790575.54</v>
      </c>
      <c r="AV228" s="372">
        <f t="shared" si="8"/>
        <v>2047903.57</v>
      </c>
      <c r="AW228" s="124">
        <f>+AV228+AO228-P228</f>
        <v>0</v>
      </c>
      <c r="AZ228" s="563">
        <v>301.77</v>
      </c>
      <c r="BA228" s="563">
        <v>159900.38</v>
      </c>
      <c r="BB228" s="563">
        <v>60423.180000000008</v>
      </c>
      <c r="BC228" s="563">
        <v>145.09</v>
      </c>
      <c r="BD228" s="563"/>
      <c r="BE228" s="563">
        <v>220770.42</v>
      </c>
      <c r="BF228" s="372"/>
      <c r="BO228" s="563">
        <v>23889.74</v>
      </c>
      <c r="BP228" s="563">
        <v>14384576.6</v>
      </c>
      <c r="BQ228" s="563">
        <v>5472774.7699999996</v>
      </c>
      <c r="BR228" s="563">
        <v>11002.5</v>
      </c>
      <c r="BS228" s="563"/>
      <c r="BT228" s="563">
        <v>19892243.609999999</v>
      </c>
      <c r="BW228" s="126">
        <v>258</v>
      </c>
      <c r="BX228" s="125">
        <v>31015</v>
      </c>
      <c r="BY228" s="19" t="s">
        <v>21</v>
      </c>
      <c r="BZ228" t="s">
        <v>795</v>
      </c>
    </row>
    <row r="229" spans="1:78" x14ac:dyDescent="0.3">
      <c r="A229" s="436">
        <v>31006</v>
      </c>
      <c r="B229" s="19" t="s">
        <v>21</v>
      </c>
      <c r="C229" t="s">
        <v>326</v>
      </c>
      <c r="D229" s="563">
        <v>9041.77</v>
      </c>
      <c r="E229" s="120">
        <v>1.6398268174294624E-5</v>
      </c>
      <c r="F229" s="563">
        <v>1239938.5699999998</v>
      </c>
      <c r="G229" s="120">
        <v>2.2487682379126414E-3</v>
      </c>
      <c r="H229" s="563">
        <v>3677395.1799999997</v>
      </c>
      <c r="I229" s="120">
        <v>1.3459609615926429E-2</v>
      </c>
      <c r="J229" s="563">
        <v>14724.75</v>
      </c>
      <c r="K229" s="120">
        <v>1.0203760941821379E-4</v>
      </c>
      <c r="L229" s="563">
        <v>2426042.12</v>
      </c>
      <c r="M229" s="120">
        <v>1.6811663238608152E-2</v>
      </c>
      <c r="N229" s="563">
        <v>12446947.93</v>
      </c>
      <c r="O229" s="120">
        <v>1.6852355069507132E-2</v>
      </c>
      <c r="P229" s="124">
        <v>19814090.32</v>
      </c>
      <c r="Q229" s="124"/>
      <c r="R229" s="563"/>
      <c r="S229" s="120"/>
      <c r="T229" s="373"/>
      <c r="U229" s="541">
        <v>623</v>
      </c>
      <c r="V229" s="540" t="s">
        <v>327</v>
      </c>
      <c r="W229" s="442" t="s">
        <v>21</v>
      </c>
      <c r="X229" s="552" t="s">
        <v>326</v>
      </c>
      <c r="Y229" s="563">
        <v>9167.17</v>
      </c>
      <c r="Z229" s="563">
        <v>12735609.17</v>
      </c>
      <c r="AA229" s="563">
        <v>3532386.8200000003</v>
      </c>
      <c r="AB229" s="563">
        <v>6024.4</v>
      </c>
      <c r="AC229" s="563"/>
      <c r="AD229" s="563">
        <v>16283187.560000001</v>
      </c>
      <c r="AE229" s="124"/>
      <c r="AF229" s="541">
        <v>623</v>
      </c>
      <c r="AG229" s="540" t="s">
        <v>327</v>
      </c>
      <c r="AH229" s="442" t="s">
        <v>21</v>
      </c>
      <c r="AI229" s="552" t="s">
        <v>326</v>
      </c>
      <c r="AJ229" s="563">
        <v>14724.75</v>
      </c>
      <c r="AK229" s="563">
        <v>12446947.93</v>
      </c>
      <c r="AL229" s="563">
        <v>3677395.1799999997</v>
      </c>
      <c r="AM229" s="563">
        <v>9041.77</v>
      </c>
      <c r="AN229" s="563"/>
      <c r="AO229" s="563">
        <v>16148109.629999999</v>
      </c>
      <c r="AR229" s="124">
        <f>+L229</f>
        <v>2426042.12</v>
      </c>
      <c r="AS229" s="124">
        <f>+F229</f>
        <v>1239938.5699999998</v>
      </c>
      <c r="AV229" s="372">
        <f t="shared" si="8"/>
        <v>3665980.69</v>
      </c>
      <c r="AW229" s="124">
        <f>+AV229+AO229-P229</f>
        <v>0</v>
      </c>
      <c r="AZ229" s="563">
        <v>305.45999999999998</v>
      </c>
      <c r="BA229" s="563">
        <v>308856.74</v>
      </c>
      <c r="BB229" s="563">
        <v>94778.11</v>
      </c>
      <c r="BC229" s="563">
        <v>200.75</v>
      </c>
      <c r="BD229" s="563"/>
      <c r="BE229" s="563">
        <v>404141.06</v>
      </c>
      <c r="BF229" s="372"/>
      <c r="BO229" s="563">
        <v>24197.38</v>
      </c>
      <c r="BP229" s="563">
        <v>27917455.960000001</v>
      </c>
      <c r="BQ229" s="563">
        <v>8544498.6799999997</v>
      </c>
      <c r="BR229" s="563">
        <v>15266.92</v>
      </c>
      <c r="BS229" s="563"/>
      <c r="BT229" s="563">
        <v>36501418.939999998</v>
      </c>
      <c r="BW229" s="126">
        <v>26</v>
      </c>
      <c r="BX229" s="125">
        <v>31016</v>
      </c>
      <c r="BY229" s="19" t="s">
        <v>21</v>
      </c>
      <c r="BZ229" t="s">
        <v>735</v>
      </c>
    </row>
    <row r="230" spans="1:78" x14ac:dyDescent="0.3">
      <c r="A230" s="436">
        <v>31015</v>
      </c>
      <c r="B230" s="19" t="s">
        <v>21</v>
      </c>
      <c r="C230" t="s">
        <v>150</v>
      </c>
      <c r="D230" s="563"/>
      <c r="E230" s="120"/>
      <c r="F230" s="563">
        <v>1635465.76</v>
      </c>
      <c r="G230" s="120">
        <v>2.9661013410379349E-3</v>
      </c>
      <c r="H230" s="563">
        <v>4846876.17</v>
      </c>
      <c r="I230" s="120">
        <v>1.7740019201563394E-2</v>
      </c>
      <c r="J230" s="563">
        <v>2430.29</v>
      </c>
      <c r="K230" s="120">
        <v>1.6841099631096677E-5</v>
      </c>
      <c r="L230" s="563">
        <v>2974885.17</v>
      </c>
      <c r="M230" s="120">
        <v>2.0614962633694736E-2</v>
      </c>
      <c r="N230" s="563">
        <v>15255016.41</v>
      </c>
      <c r="O230" s="120">
        <v>2.0654296505318314E-2</v>
      </c>
      <c r="P230" s="124">
        <v>24714673.800000001</v>
      </c>
      <c r="Q230" s="124"/>
      <c r="R230" s="563"/>
      <c r="S230" s="120"/>
      <c r="T230" s="373"/>
      <c r="U230" s="541">
        <v>258</v>
      </c>
      <c r="V230" s="540" t="s">
        <v>151</v>
      </c>
      <c r="W230" s="442" t="s">
        <v>21</v>
      </c>
      <c r="X230" s="552" t="s">
        <v>150</v>
      </c>
      <c r="Y230" s="563">
        <v>1534.94</v>
      </c>
      <c r="Z230" s="563">
        <v>14316384.510000002</v>
      </c>
      <c r="AA230" s="563">
        <v>4448767.3100000005</v>
      </c>
      <c r="AB230" s="563"/>
      <c r="AC230" s="563"/>
      <c r="AD230" s="563">
        <v>18766686.760000002</v>
      </c>
      <c r="AE230" s="124"/>
      <c r="AF230" s="541">
        <v>258</v>
      </c>
      <c r="AG230" s="540" t="s">
        <v>151</v>
      </c>
      <c r="AH230" s="442" t="s">
        <v>21</v>
      </c>
      <c r="AI230" s="552" t="s">
        <v>150</v>
      </c>
      <c r="AJ230" s="563">
        <v>2430.29</v>
      </c>
      <c r="AK230" s="563">
        <v>15255016.41</v>
      </c>
      <c r="AL230" s="563">
        <v>4846876.17</v>
      </c>
      <c r="AM230" s="563"/>
      <c r="AN230" s="563"/>
      <c r="AO230" s="563">
        <v>20104322.870000001</v>
      </c>
      <c r="AR230" s="124">
        <f>+L230</f>
        <v>2974885.17</v>
      </c>
      <c r="AS230" s="124">
        <f>+F230</f>
        <v>1635465.76</v>
      </c>
      <c r="AV230" s="372">
        <f t="shared" si="8"/>
        <v>4610350.93</v>
      </c>
      <c r="AW230" s="124">
        <f>+AV230+AO230-P230</f>
        <v>0</v>
      </c>
      <c r="AZ230" s="563">
        <v>51.16</v>
      </c>
      <c r="BA230" s="563">
        <v>378536.33</v>
      </c>
      <c r="BB230" s="563">
        <v>124921.69</v>
      </c>
      <c r="BC230" s="563"/>
      <c r="BD230" s="563"/>
      <c r="BE230" s="563">
        <v>503509.18000000005</v>
      </c>
      <c r="BF230" s="372"/>
      <c r="BO230" s="563">
        <v>4016.39</v>
      </c>
      <c r="BP230" s="563">
        <v>32924822.420000002</v>
      </c>
      <c r="BQ230" s="563">
        <v>11056030.93</v>
      </c>
      <c r="BR230" s="563"/>
      <c r="BS230" s="563"/>
      <c r="BT230" s="563">
        <v>43984869.740000002</v>
      </c>
      <c r="BW230" s="126">
        <v>570</v>
      </c>
      <c r="BX230" s="125">
        <v>31025</v>
      </c>
      <c r="BY230" s="19" t="s">
        <v>21</v>
      </c>
      <c r="BZ230" t="s">
        <v>865</v>
      </c>
    </row>
    <row r="231" spans="1:78" x14ac:dyDescent="0.3">
      <c r="A231" s="436">
        <v>31016</v>
      </c>
      <c r="B231" s="19" t="s">
        <v>21</v>
      </c>
      <c r="C231" t="s">
        <v>22</v>
      </c>
      <c r="D231" s="563">
        <v>738.07</v>
      </c>
      <c r="E231" s="120">
        <v>1.3385730660480893E-6</v>
      </c>
      <c r="F231" s="563">
        <v>447837.92</v>
      </c>
      <c r="G231" s="120">
        <v>8.1220450318668814E-4</v>
      </c>
      <c r="H231" s="563">
        <v>1317462</v>
      </c>
      <c r="I231" s="120">
        <v>4.8220338951490294E-3</v>
      </c>
      <c r="J231" s="563">
        <v>0</v>
      </c>
      <c r="K231" s="120">
        <v>0</v>
      </c>
      <c r="L231" s="563">
        <v>783737.6</v>
      </c>
      <c r="M231" s="120">
        <v>5.4310403310866588E-3</v>
      </c>
      <c r="N231" s="563">
        <v>3852827.63</v>
      </c>
      <c r="O231" s="120">
        <v>5.2164771321870276E-3</v>
      </c>
      <c r="P231" s="124">
        <v>6402603.2199999997</v>
      </c>
      <c r="Q231" s="124"/>
      <c r="R231" s="563"/>
      <c r="S231" s="120"/>
      <c r="T231" s="373"/>
      <c r="U231" s="541">
        <v>26</v>
      </c>
      <c r="V231" s="540" t="s">
        <v>23</v>
      </c>
      <c r="W231" s="442" t="s">
        <v>21</v>
      </c>
      <c r="X231" s="552" t="s">
        <v>22</v>
      </c>
      <c r="Y231" s="563">
        <v>0</v>
      </c>
      <c r="Z231" s="563">
        <v>3731450.1599999997</v>
      </c>
      <c r="AA231" s="563">
        <v>1249396.76</v>
      </c>
      <c r="AB231" s="563">
        <v>475.21</v>
      </c>
      <c r="AC231" s="563"/>
      <c r="AD231" s="563">
        <v>4981322.13</v>
      </c>
      <c r="AE231" s="124"/>
      <c r="AF231" s="541">
        <v>26</v>
      </c>
      <c r="AG231" s="540" t="s">
        <v>23</v>
      </c>
      <c r="AH231" s="442" t="s">
        <v>21</v>
      </c>
      <c r="AI231" s="552" t="s">
        <v>22</v>
      </c>
      <c r="AJ231" s="563">
        <v>0</v>
      </c>
      <c r="AK231" s="563">
        <v>3852827.63</v>
      </c>
      <c r="AL231" s="563">
        <v>1317462</v>
      </c>
      <c r="AM231" s="563">
        <v>738.07</v>
      </c>
      <c r="AN231" s="563"/>
      <c r="AO231" s="563">
        <v>5171027.7</v>
      </c>
      <c r="AR231" s="124">
        <f>+L231</f>
        <v>783737.6</v>
      </c>
      <c r="AS231" s="124">
        <f>+F231</f>
        <v>447837.92</v>
      </c>
      <c r="AV231" s="372">
        <f t="shared" si="8"/>
        <v>1231575.52</v>
      </c>
      <c r="AW231" s="124">
        <f>+AV231+AO231-P231</f>
        <v>0</v>
      </c>
      <c r="AZ231" s="563">
        <v>0</v>
      </c>
      <c r="BA231" s="563">
        <v>95468.42</v>
      </c>
      <c r="BB231" s="563">
        <v>33846.28</v>
      </c>
      <c r="BC231" s="563">
        <v>15.83</v>
      </c>
      <c r="BD231" s="563"/>
      <c r="BE231" s="563">
        <v>129330.53</v>
      </c>
      <c r="BF231" s="372"/>
      <c r="BO231" s="563">
        <v>0</v>
      </c>
      <c r="BP231" s="563">
        <v>8463483.8100000005</v>
      </c>
      <c r="BQ231" s="563">
        <v>3048542.96</v>
      </c>
      <c r="BR231" s="563">
        <v>1229.1099999999999</v>
      </c>
      <c r="BS231" s="563"/>
      <c r="BT231" s="563">
        <v>11513255.880000001</v>
      </c>
      <c r="BW231" s="126">
        <v>397</v>
      </c>
      <c r="BX231" s="125">
        <v>31063</v>
      </c>
      <c r="BY231" s="19" t="s">
        <v>21</v>
      </c>
      <c r="BZ231" t="s">
        <v>834</v>
      </c>
    </row>
    <row r="232" spans="1:78" x14ac:dyDescent="0.3">
      <c r="A232" s="436">
        <v>31025</v>
      </c>
      <c r="B232" s="19" t="s">
        <v>21</v>
      </c>
      <c r="C232" t="s">
        <v>292</v>
      </c>
      <c r="D232" s="563">
        <v>3870.28</v>
      </c>
      <c r="E232" s="120">
        <v>7.0191886488606761E-6</v>
      </c>
      <c r="F232" s="563">
        <v>828028.5</v>
      </c>
      <c r="G232" s="120">
        <v>1.5017229368761776E-3</v>
      </c>
      <c r="H232" s="563">
        <v>2445273.04</v>
      </c>
      <c r="I232" s="120">
        <v>8.9499275742101932E-3</v>
      </c>
      <c r="J232" s="563">
        <v>0</v>
      </c>
      <c r="K232" s="120">
        <v>0</v>
      </c>
      <c r="L232" s="563">
        <v>1303375.3</v>
      </c>
      <c r="M232" s="120">
        <v>9.0319563854562718E-3</v>
      </c>
      <c r="N232" s="563">
        <v>6681930.3499999996</v>
      </c>
      <c r="O232" s="120">
        <v>9.0468975560273005E-3</v>
      </c>
      <c r="P232" s="124">
        <v>11262477.469999999</v>
      </c>
      <c r="Q232" s="124"/>
      <c r="R232" s="563"/>
      <c r="S232" s="120"/>
      <c r="T232" s="373"/>
      <c r="U232" s="541">
        <v>570</v>
      </c>
      <c r="V232" s="540" t="s">
        <v>293</v>
      </c>
      <c r="W232" s="442" t="s">
        <v>21</v>
      </c>
      <c r="X232" s="552" t="s">
        <v>292</v>
      </c>
      <c r="Y232" s="563">
        <v>0</v>
      </c>
      <c r="Z232" s="563">
        <v>6756131.7999999989</v>
      </c>
      <c r="AA232" s="563">
        <v>2337930</v>
      </c>
      <c r="AB232" s="563">
        <v>2589.02</v>
      </c>
      <c r="AC232" s="563"/>
      <c r="AD232" s="563">
        <v>9096650.8199999984</v>
      </c>
      <c r="AE232" s="124"/>
      <c r="AF232" s="541">
        <v>570</v>
      </c>
      <c r="AG232" s="540" t="s">
        <v>293</v>
      </c>
      <c r="AH232" s="442" t="s">
        <v>21</v>
      </c>
      <c r="AI232" s="552" t="s">
        <v>292</v>
      </c>
      <c r="AJ232" s="563">
        <v>0</v>
      </c>
      <c r="AK232" s="563">
        <v>6681930.3499999996</v>
      </c>
      <c r="AL232" s="563">
        <v>2445273.04</v>
      </c>
      <c r="AM232" s="563">
        <v>3870.28</v>
      </c>
      <c r="AN232" s="563"/>
      <c r="AO232" s="563">
        <v>9131073.6699999999</v>
      </c>
      <c r="AR232" s="124">
        <f>+L232</f>
        <v>1303375.3</v>
      </c>
      <c r="AS232" s="124">
        <f>+F232</f>
        <v>828028.5</v>
      </c>
      <c r="AV232" s="372">
        <f t="shared" si="8"/>
        <v>2131403.7999999998</v>
      </c>
      <c r="AW232" s="124">
        <f>+AV232+AO232-P232</f>
        <v>0</v>
      </c>
      <c r="AZ232" s="563">
        <v>0</v>
      </c>
      <c r="BA232" s="563">
        <v>165800.82</v>
      </c>
      <c r="BB232" s="563">
        <v>63024.91</v>
      </c>
      <c r="BC232" s="563">
        <v>86.23</v>
      </c>
      <c r="BD232" s="563"/>
      <c r="BE232" s="563">
        <v>228911.96000000002</v>
      </c>
      <c r="BF232" s="372"/>
      <c r="BO232" s="563">
        <v>0</v>
      </c>
      <c r="BP232" s="563">
        <v>14907238.27</v>
      </c>
      <c r="BQ232" s="563">
        <v>5674256.4500000002</v>
      </c>
      <c r="BR232" s="563">
        <v>6545.53</v>
      </c>
      <c r="BS232" s="563"/>
      <c r="BT232" s="563">
        <v>20588040.25</v>
      </c>
      <c r="BW232" s="126">
        <v>604</v>
      </c>
      <c r="BX232" s="125">
        <v>31103</v>
      </c>
      <c r="BY232" s="19" t="s">
        <v>21</v>
      </c>
      <c r="BZ232" t="s">
        <v>873</v>
      </c>
    </row>
    <row r="233" spans="1:78" x14ac:dyDescent="0.3">
      <c r="A233" s="436">
        <v>31063</v>
      </c>
      <c r="B233" s="19" t="s">
        <v>21</v>
      </c>
      <c r="C233" t="s">
        <v>228</v>
      </c>
      <c r="D233" s="563"/>
      <c r="E233" s="120"/>
      <c r="F233" s="563">
        <v>5622.21</v>
      </c>
      <c r="G233" s="120">
        <v>1.0196511005278941E-5</v>
      </c>
      <c r="H233" s="563">
        <v>16537.400000000001</v>
      </c>
      <c r="I233" s="120">
        <v>6.0528427641660684E-5</v>
      </c>
      <c r="J233" s="563"/>
      <c r="K233" s="120"/>
      <c r="L233" s="563">
        <v>5126.1100000000006</v>
      </c>
      <c r="M233" s="120">
        <v>3.5522233655226741E-5</v>
      </c>
      <c r="N233" s="563">
        <v>26233.07</v>
      </c>
      <c r="O233" s="120">
        <v>3.5517864515018945E-5</v>
      </c>
      <c r="P233" s="124">
        <v>53518.79</v>
      </c>
      <c r="Q233" s="124"/>
      <c r="R233" s="563"/>
      <c r="S233" s="120"/>
      <c r="T233" s="373"/>
      <c r="U233" s="541">
        <v>397</v>
      </c>
      <c r="V233" s="540" t="s">
        <v>229</v>
      </c>
      <c r="W233" s="442" t="s">
        <v>21</v>
      </c>
      <c r="X233" s="552" t="s">
        <v>228</v>
      </c>
      <c r="Y233" s="563"/>
      <c r="Z233" s="563">
        <v>28651.34</v>
      </c>
      <c r="AA233" s="563">
        <v>16537.36</v>
      </c>
      <c r="AB233" s="563"/>
      <c r="AC233" s="563"/>
      <c r="AD233" s="563">
        <v>45188.7</v>
      </c>
      <c r="AE233" s="124"/>
      <c r="AF233" s="541">
        <v>397</v>
      </c>
      <c r="AG233" s="540" t="s">
        <v>229</v>
      </c>
      <c r="AH233" s="442" t="s">
        <v>21</v>
      </c>
      <c r="AI233" s="552" t="s">
        <v>228</v>
      </c>
      <c r="AJ233" s="563"/>
      <c r="AK233" s="563">
        <v>26233.07</v>
      </c>
      <c r="AL233" s="563">
        <v>16537.400000000001</v>
      </c>
      <c r="AM233" s="563"/>
      <c r="AN233" s="563"/>
      <c r="AO233" s="563">
        <v>42770.47</v>
      </c>
      <c r="AR233" s="124">
        <f>+L233</f>
        <v>5126.1100000000006</v>
      </c>
      <c r="AS233" s="124">
        <f>+F233</f>
        <v>5622.21</v>
      </c>
      <c r="AV233" s="372">
        <f t="shared" si="8"/>
        <v>10748.32</v>
      </c>
      <c r="AW233" s="124">
        <f>+AV233+AO233-P233</f>
        <v>0</v>
      </c>
      <c r="AZ233" s="563"/>
      <c r="BA233" s="563">
        <v>650.79</v>
      </c>
      <c r="BB233" s="563">
        <v>426.15</v>
      </c>
      <c r="BC233" s="563"/>
      <c r="BD233" s="563"/>
      <c r="BE233" s="563">
        <v>1076.94</v>
      </c>
      <c r="BF233" s="372"/>
      <c r="BO233" s="563"/>
      <c r="BP233" s="563">
        <v>60661.310000000005</v>
      </c>
      <c r="BQ233" s="563">
        <v>39123.120000000003</v>
      </c>
      <c r="BR233" s="563"/>
      <c r="BS233" s="563"/>
      <c r="BT233" s="563">
        <v>99784.430000000008</v>
      </c>
      <c r="BW233" s="126">
        <v>898</v>
      </c>
      <c r="BX233" s="125">
        <v>31201</v>
      </c>
      <c r="BY233" s="19" t="s">
        <v>21</v>
      </c>
      <c r="BZ233" t="s">
        <v>961</v>
      </c>
    </row>
    <row r="234" spans="1:78" x14ac:dyDescent="0.3">
      <c r="A234" s="436">
        <v>31103</v>
      </c>
      <c r="B234" s="19" t="s">
        <v>21</v>
      </c>
      <c r="C234" t="s">
        <v>308</v>
      </c>
      <c r="D234" s="563"/>
      <c r="E234" s="120"/>
      <c r="F234" s="563">
        <v>483432.02</v>
      </c>
      <c r="G234" s="120">
        <v>8.7675841212516597E-4</v>
      </c>
      <c r="H234" s="563">
        <v>1417393.3199999998</v>
      </c>
      <c r="I234" s="120">
        <v>5.1877918541846472E-3</v>
      </c>
      <c r="J234" s="563">
        <v>0</v>
      </c>
      <c r="K234" s="120">
        <v>0</v>
      </c>
      <c r="L234" s="563">
        <v>711284.68</v>
      </c>
      <c r="M234" s="120">
        <v>4.9289657456322985E-3</v>
      </c>
      <c r="N234" s="563">
        <v>3674923.21</v>
      </c>
      <c r="O234" s="120">
        <v>4.9756061595489405E-3</v>
      </c>
      <c r="P234" s="124">
        <v>6287033.2300000004</v>
      </c>
      <c r="Q234" s="124"/>
      <c r="R234" s="563"/>
      <c r="S234" s="120"/>
      <c r="T234" s="373"/>
      <c r="U234" s="541">
        <v>604</v>
      </c>
      <c r="V234" s="540" t="s">
        <v>309</v>
      </c>
      <c r="W234" s="442" t="s">
        <v>21</v>
      </c>
      <c r="X234" s="552" t="s">
        <v>308</v>
      </c>
      <c r="Y234" s="563">
        <v>0</v>
      </c>
      <c r="Z234" s="563">
        <v>3742815.97</v>
      </c>
      <c r="AA234" s="563">
        <v>1374110.31</v>
      </c>
      <c r="AB234" s="563"/>
      <c r="AC234" s="563"/>
      <c r="AD234" s="563">
        <v>5116926.28</v>
      </c>
      <c r="AE234" s="124"/>
      <c r="AF234" s="541">
        <v>604</v>
      </c>
      <c r="AG234" s="540" t="s">
        <v>309</v>
      </c>
      <c r="AH234" s="442" t="s">
        <v>21</v>
      </c>
      <c r="AI234" s="552" t="s">
        <v>308</v>
      </c>
      <c r="AJ234" s="563">
        <v>0</v>
      </c>
      <c r="AK234" s="563">
        <v>3674923.21</v>
      </c>
      <c r="AL234" s="563">
        <v>1417393.3199999998</v>
      </c>
      <c r="AM234" s="563"/>
      <c r="AN234" s="563"/>
      <c r="AO234" s="563">
        <v>5092316.5299999993</v>
      </c>
      <c r="AR234" s="124">
        <f>+L234</f>
        <v>711284.68</v>
      </c>
      <c r="AS234" s="124">
        <f>+F234</f>
        <v>483432.02</v>
      </c>
      <c r="AV234" s="372">
        <f t="shared" si="8"/>
        <v>1194716.7000000002</v>
      </c>
      <c r="AW234" s="124">
        <f>+AV234+AO234-P234</f>
        <v>0</v>
      </c>
      <c r="AZ234" s="563">
        <v>0</v>
      </c>
      <c r="BA234" s="563">
        <v>91189.209999999992</v>
      </c>
      <c r="BB234" s="563">
        <v>36530.629999999997</v>
      </c>
      <c r="BC234" s="563"/>
      <c r="BD234" s="563"/>
      <c r="BE234" s="563">
        <v>127719.84</v>
      </c>
      <c r="BF234" s="372"/>
      <c r="BO234" s="563">
        <v>0</v>
      </c>
      <c r="BP234" s="563">
        <v>8220213.0700000003</v>
      </c>
      <c r="BQ234" s="563">
        <v>3311466.2800000003</v>
      </c>
      <c r="BR234" s="563"/>
      <c r="BS234" s="563"/>
      <c r="BT234" s="563">
        <v>11531679.350000001</v>
      </c>
      <c r="BW234" s="126">
        <v>521</v>
      </c>
      <c r="BX234" s="125">
        <v>31306</v>
      </c>
      <c r="BY234" s="19" t="s">
        <v>21</v>
      </c>
      <c r="BZ234" t="s">
        <v>851</v>
      </c>
    </row>
    <row r="235" spans="1:78" x14ac:dyDescent="0.3">
      <c r="A235" s="436">
        <v>31201</v>
      </c>
      <c r="B235" s="19" t="s">
        <v>21</v>
      </c>
      <c r="C235" t="s">
        <v>498</v>
      </c>
      <c r="D235" s="563">
        <v>6218.62</v>
      </c>
      <c r="E235" s="120">
        <v>1.1278167707653704E-5</v>
      </c>
      <c r="F235" s="563">
        <v>671512.62</v>
      </c>
      <c r="G235" s="120">
        <v>1.2178637617616019E-3</v>
      </c>
      <c r="H235" s="563">
        <v>1990655.6400000001</v>
      </c>
      <c r="I235" s="120">
        <v>7.2859854551019952E-3</v>
      </c>
      <c r="J235" s="563">
        <v>12499.45</v>
      </c>
      <c r="K235" s="120">
        <v>8.6617022159458907E-5</v>
      </c>
      <c r="L235" s="563">
        <v>1337171.6000000001</v>
      </c>
      <c r="M235" s="120">
        <v>9.2661534794090238E-3</v>
      </c>
      <c r="N235" s="563">
        <v>6813284.1000000006</v>
      </c>
      <c r="O235" s="120">
        <v>9.2247419599052957E-3</v>
      </c>
      <c r="P235" s="124">
        <v>10831342.030000001</v>
      </c>
      <c r="Q235" s="124"/>
      <c r="R235" s="563"/>
      <c r="S235" s="120"/>
      <c r="T235" s="373"/>
      <c r="U235" s="541">
        <v>898</v>
      </c>
      <c r="V235" s="540" t="s">
        <v>499</v>
      </c>
      <c r="W235" s="442" t="s">
        <v>21</v>
      </c>
      <c r="X235" s="552" t="s">
        <v>498</v>
      </c>
      <c r="Y235" s="563">
        <v>7776.94</v>
      </c>
      <c r="Z235" s="563">
        <v>6959770.3900000006</v>
      </c>
      <c r="AA235" s="563">
        <v>1906909.3499999999</v>
      </c>
      <c r="AB235" s="563">
        <v>4140.45</v>
      </c>
      <c r="AC235" s="563"/>
      <c r="AD235" s="563">
        <v>8878597.1300000008</v>
      </c>
      <c r="AE235" s="124"/>
      <c r="AF235" s="541">
        <v>898</v>
      </c>
      <c r="AG235" s="540" t="s">
        <v>499</v>
      </c>
      <c r="AH235" s="442" t="s">
        <v>21</v>
      </c>
      <c r="AI235" s="552" t="s">
        <v>498</v>
      </c>
      <c r="AJ235" s="563">
        <v>12499.45</v>
      </c>
      <c r="AK235" s="563">
        <v>6813284.1000000006</v>
      </c>
      <c r="AL235" s="563">
        <v>1990655.6400000001</v>
      </c>
      <c r="AM235" s="563">
        <v>6218.62</v>
      </c>
      <c r="AN235" s="563"/>
      <c r="AO235" s="563">
        <v>8822657.8100000005</v>
      </c>
      <c r="AR235" s="124">
        <f>+L235</f>
        <v>1337171.6000000001</v>
      </c>
      <c r="AS235" s="124">
        <f>+F235</f>
        <v>671512.62</v>
      </c>
      <c r="AV235" s="372">
        <f t="shared" si="8"/>
        <v>2008684.2200000002</v>
      </c>
      <c r="AW235" s="124">
        <f>+AV235+AO235-P235</f>
        <v>0</v>
      </c>
      <c r="AZ235" s="563">
        <v>259.10000000000002</v>
      </c>
      <c r="BA235" s="563">
        <v>169033.29</v>
      </c>
      <c r="BB235" s="563">
        <v>51305.24</v>
      </c>
      <c r="BC235" s="563">
        <v>137.94999999999999</v>
      </c>
      <c r="BD235" s="563"/>
      <c r="BE235" s="563">
        <v>220735.58000000002</v>
      </c>
      <c r="BF235" s="372"/>
      <c r="BO235" s="563">
        <v>20535.490000000002</v>
      </c>
      <c r="BP235" s="563">
        <v>15279259.379999999</v>
      </c>
      <c r="BQ235" s="563">
        <v>4620382.8499999996</v>
      </c>
      <c r="BR235" s="563">
        <v>10497.02</v>
      </c>
      <c r="BS235" s="563"/>
      <c r="BT235" s="563">
        <v>19930674.739999998</v>
      </c>
      <c r="BW235" s="126">
        <v>950</v>
      </c>
      <c r="BX235" s="125">
        <v>31311</v>
      </c>
      <c r="BY235" s="19" t="s">
        <v>21</v>
      </c>
      <c r="BZ235" t="s">
        <v>976</v>
      </c>
    </row>
    <row r="236" spans="1:78" x14ac:dyDescent="0.3">
      <c r="A236" s="436">
        <v>31306</v>
      </c>
      <c r="B236" s="19" t="s">
        <v>21</v>
      </c>
      <c r="C236" t="s">
        <v>264</v>
      </c>
      <c r="D236" s="563"/>
      <c r="E236" s="120"/>
      <c r="F236" s="563">
        <v>217489.55</v>
      </c>
      <c r="G236" s="120">
        <v>3.9444179248163347E-4</v>
      </c>
      <c r="H236" s="563">
        <v>643025.36</v>
      </c>
      <c r="I236" s="120">
        <v>2.3535328391713819E-3</v>
      </c>
      <c r="J236" s="563"/>
      <c r="K236" s="120"/>
      <c r="L236" s="563">
        <v>307100.55</v>
      </c>
      <c r="M236" s="120">
        <v>2.12810444815828E-3</v>
      </c>
      <c r="N236" s="563">
        <v>1575742.04</v>
      </c>
      <c r="O236" s="120">
        <v>2.1334518715247419E-3</v>
      </c>
      <c r="P236" s="124">
        <v>2743357.5</v>
      </c>
      <c r="Q236" s="124"/>
      <c r="R236" s="563"/>
      <c r="S236" s="120"/>
      <c r="T236" s="373"/>
      <c r="U236" s="541">
        <v>521</v>
      </c>
      <c r="V236" s="540" t="s">
        <v>265</v>
      </c>
      <c r="W236" s="442" t="s">
        <v>21</v>
      </c>
      <c r="X236" s="552" t="s">
        <v>264</v>
      </c>
      <c r="Y236" s="563"/>
      <c r="Z236" s="563">
        <v>1677342.33</v>
      </c>
      <c r="AA236" s="563">
        <v>635015.59</v>
      </c>
      <c r="AB236" s="563"/>
      <c r="AC236" s="563"/>
      <c r="AD236" s="563">
        <v>2312357.92</v>
      </c>
      <c r="AE236" s="124"/>
      <c r="AF236" s="541">
        <v>521</v>
      </c>
      <c r="AG236" s="540" t="s">
        <v>265</v>
      </c>
      <c r="AH236" s="442" t="s">
        <v>21</v>
      </c>
      <c r="AI236" s="552" t="s">
        <v>264</v>
      </c>
      <c r="AJ236" s="563"/>
      <c r="AK236" s="563">
        <v>1575742.04</v>
      </c>
      <c r="AL236" s="563">
        <v>643025.36</v>
      </c>
      <c r="AM236" s="563"/>
      <c r="AN236" s="563"/>
      <c r="AO236" s="563">
        <v>2218767.4</v>
      </c>
      <c r="AR236" s="124">
        <f>+L236</f>
        <v>307100.55</v>
      </c>
      <c r="AS236" s="124">
        <f>+F236</f>
        <v>217489.55</v>
      </c>
      <c r="AV236" s="372">
        <f t="shared" si="8"/>
        <v>524590.1</v>
      </c>
      <c r="AW236" s="124">
        <f>+AV236+AO236-P236</f>
        <v>0</v>
      </c>
      <c r="AZ236" s="563"/>
      <c r="BA236" s="563">
        <v>39100</v>
      </c>
      <c r="BB236" s="563">
        <v>16572.669999999998</v>
      </c>
      <c r="BC236" s="563"/>
      <c r="BD236" s="563"/>
      <c r="BE236" s="563">
        <v>55672.67</v>
      </c>
      <c r="BF236" s="372"/>
      <c r="BO236" s="563"/>
      <c r="BP236" s="563">
        <v>3599284.92</v>
      </c>
      <c r="BQ236" s="563">
        <v>1512103.17</v>
      </c>
      <c r="BR236" s="563"/>
      <c r="BS236" s="563"/>
      <c r="BT236" s="563">
        <v>5111388.09</v>
      </c>
      <c r="BW236" s="126">
        <v>219</v>
      </c>
      <c r="BX236" s="125">
        <v>31330</v>
      </c>
      <c r="BY236" s="19" t="s">
        <v>21</v>
      </c>
      <c r="BZ236" t="s">
        <v>785</v>
      </c>
    </row>
    <row r="237" spans="1:78" x14ac:dyDescent="0.3">
      <c r="A237" s="436">
        <v>31311</v>
      </c>
      <c r="B237" s="19" t="s">
        <v>21</v>
      </c>
      <c r="C237" t="s">
        <v>530</v>
      </c>
      <c r="D237" s="563"/>
      <c r="E237" s="120"/>
      <c r="F237" s="563">
        <v>182242.88</v>
      </c>
      <c r="G237" s="120">
        <v>3.3051798697553625E-4</v>
      </c>
      <c r="H237" s="563">
        <v>536227.6</v>
      </c>
      <c r="I237" s="120">
        <v>1.962643068805336E-3</v>
      </c>
      <c r="J237" s="563">
        <v>0</v>
      </c>
      <c r="K237" s="120">
        <v>0</v>
      </c>
      <c r="L237" s="563">
        <v>288723.34999999998</v>
      </c>
      <c r="M237" s="120">
        <v>2.0007565776816744E-3</v>
      </c>
      <c r="N237" s="563">
        <v>1492314.39</v>
      </c>
      <c r="O237" s="120">
        <v>2.0204962788508223E-3</v>
      </c>
      <c r="P237" s="124">
        <v>2499508.2199999997</v>
      </c>
      <c r="Q237" s="124"/>
      <c r="R237" s="563"/>
      <c r="S237" s="120"/>
      <c r="T237" s="373"/>
      <c r="U237" s="541">
        <v>950</v>
      </c>
      <c r="V237" s="540" t="s">
        <v>531</v>
      </c>
      <c r="W237" s="442" t="s">
        <v>21</v>
      </c>
      <c r="X237" s="552" t="s">
        <v>530</v>
      </c>
      <c r="Y237" s="563">
        <v>0</v>
      </c>
      <c r="Z237" s="563">
        <v>1463966.76</v>
      </c>
      <c r="AA237" s="563">
        <v>500160.51</v>
      </c>
      <c r="AB237" s="563"/>
      <c r="AC237" s="563"/>
      <c r="AD237" s="563">
        <v>1964127.27</v>
      </c>
      <c r="AE237" s="124"/>
      <c r="AF237" s="541">
        <v>950</v>
      </c>
      <c r="AG237" s="540" t="s">
        <v>531</v>
      </c>
      <c r="AH237" s="442" t="s">
        <v>21</v>
      </c>
      <c r="AI237" s="552" t="s">
        <v>530</v>
      </c>
      <c r="AJ237" s="563">
        <v>0</v>
      </c>
      <c r="AK237" s="563">
        <v>1492314.39</v>
      </c>
      <c r="AL237" s="563">
        <v>536227.6</v>
      </c>
      <c r="AM237" s="563"/>
      <c r="AN237" s="563"/>
      <c r="AO237" s="563">
        <v>2028541.9899999998</v>
      </c>
      <c r="AR237" s="124">
        <f>+L237</f>
        <v>288723.34999999998</v>
      </c>
      <c r="AS237" s="124">
        <f>+F237</f>
        <v>182242.88</v>
      </c>
      <c r="AV237" s="372">
        <f t="shared" si="8"/>
        <v>470966.23</v>
      </c>
      <c r="AW237" s="124">
        <f>+AV237+AO237-P237</f>
        <v>0</v>
      </c>
      <c r="AZ237" s="563">
        <v>0</v>
      </c>
      <c r="BA237" s="563">
        <v>37031.879999999997</v>
      </c>
      <c r="BB237" s="563">
        <v>13820.08</v>
      </c>
      <c r="BC237" s="563"/>
      <c r="BD237" s="563"/>
      <c r="BE237" s="563">
        <v>50851.96</v>
      </c>
      <c r="BF237" s="372"/>
      <c r="BO237" s="563">
        <v>0</v>
      </c>
      <c r="BP237" s="563">
        <v>3282036.38</v>
      </c>
      <c r="BQ237" s="563">
        <v>1232451.0699999998</v>
      </c>
      <c r="BR237" s="563"/>
      <c r="BS237" s="563"/>
      <c r="BT237" s="563">
        <v>4514487.4499999993</v>
      </c>
      <c r="BW237" s="126">
        <v>344</v>
      </c>
      <c r="BX237" s="125">
        <v>31332</v>
      </c>
      <c r="BY237" s="19" t="s">
        <v>21</v>
      </c>
      <c r="BZ237" t="s">
        <v>822</v>
      </c>
    </row>
    <row r="238" spans="1:78" x14ac:dyDescent="0.3">
      <c r="A238" s="436">
        <v>31330</v>
      </c>
      <c r="B238" s="19" t="s">
        <v>21</v>
      </c>
      <c r="C238" t="s">
        <v>128</v>
      </c>
      <c r="D238" s="563"/>
      <c r="E238" s="120"/>
      <c r="F238" s="563">
        <v>56091.990000000005</v>
      </c>
      <c r="G238" s="120">
        <v>1.0172914091487091E-4</v>
      </c>
      <c r="H238" s="563">
        <v>166050.70000000001</v>
      </c>
      <c r="I238" s="120">
        <v>6.0776106158145213E-4</v>
      </c>
      <c r="J238" s="563"/>
      <c r="K238" s="120"/>
      <c r="L238" s="563">
        <v>57253.67</v>
      </c>
      <c r="M238" s="120">
        <v>3.9674884919739246E-4</v>
      </c>
      <c r="N238" s="563">
        <v>293376.69</v>
      </c>
      <c r="O238" s="120">
        <v>3.9721288919995692E-4</v>
      </c>
      <c r="P238" s="124">
        <v>572773.05000000005</v>
      </c>
      <c r="Q238" s="124"/>
      <c r="R238" s="563"/>
      <c r="S238" s="120"/>
      <c r="T238" s="373"/>
      <c r="U238" s="541">
        <v>219</v>
      </c>
      <c r="V238" s="540" t="s">
        <v>129</v>
      </c>
      <c r="W238" s="442" t="s">
        <v>21</v>
      </c>
      <c r="X238" s="552" t="s">
        <v>128</v>
      </c>
      <c r="Y238" s="563"/>
      <c r="Z238" s="563">
        <v>279814.40000000002</v>
      </c>
      <c r="AA238" s="563">
        <v>169832.52000000002</v>
      </c>
      <c r="AB238" s="563"/>
      <c r="AC238" s="563"/>
      <c r="AD238" s="563">
        <v>449646.92000000004</v>
      </c>
      <c r="AE238" s="124"/>
      <c r="AF238" s="541">
        <v>219</v>
      </c>
      <c r="AG238" s="540" t="s">
        <v>129</v>
      </c>
      <c r="AH238" s="442" t="s">
        <v>21</v>
      </c>
      <c r="AI238" s="552" t="s">
        <v>128</v>
      </c>
      <c r="AJ238" s="563"/>
      <c r="AK238" s="563">
        <v>293376.69</v>
      </c>
      <c r="AL238" s="563">
        <v>166050.70000000001</v>
      </c>
      <c r="AM238" s="563"/>
      <c r="AN238" s="563"/>
      <c r="AO238" s="563">
        <v>459427.39</v>
      </c>
      <c r="AR238" s="124">
        <f>+L238</f>
        <v>57253.67</v>
      </c>
      <c r="AS238" s="124">
        <f>+F238</f>
        <v>56091.990000000005</v>
      </c>
      <c r="AV238" s="372">
        <f t="shared" si="8"/>
        <v>113345.66</v>
      </c>
      <c r="AW238" s="124">
        <f>+AV238+AO238-P238</f>
        <v>0</v>
      </c>
      <c r="AZ238" s="563"/>
      <c r="BA238" s="563">
        <v>7279.68</v>
      </c>
      <c r="BB238" s="563">
        <v>4279.5</v>
      </c>
      <c r="BC238" s="563"/>
      <c r="BD238" s="563"/>
      <c r="BE238" s="563">
        <v>11559.18</v>
      </c>
      <c r="BF238" s="372"/>
      <c r="BO238" s="563"/>
      <c r="BP238" s="563">
        <v>637724.43999999994</v>
      </c>
      <c r="BQ238" s="563">
        <v>396254.70999999996</v>
      </c>
      <c r="BR238" s="563"/>
      <c r="BS238" s="563"/>
      <c r="BT238" s="563">
        <v>1033979.1499999999</v>
      </c>
      <c r="BW238" s="126">
        <v>931</v>
      </c>
      <c r="BX238" s="125">
        <v>31401</v>
      </c>
      <c r="BY238" s="19" t="s">
        <v>21</v>
      </c>
      <c r="BZ238" t="s">
        <v>1058</v>
      </c>
    </row>
    <row r="239" spans="1:78" x14ac:dyDescent="0.3">
      <c r="A239" s="436">
        <v>31332</v>
      </c>
      <c r="B239" s="19" t="s">
        <v>21</v>
      </c>
      <c r="C239" t="s">
        <v>204</v>
      </c>
      <c r="D239" s="563"/>
      <c r="E239" s="120"/>
      <c r="F239" s="563">
        <v>158823.12</v>
      </c>
      <c r="G239" s="120">
        <v>2.8804361469470863E-4</v>
      </c>
      <c r="H239" s="563">
        <v>468355.95</v>
      </c>
      <c r="I239" s="120">
        <v>1.7142264944983038E-3</v>
      </c>
      <c r="J239" s="563">
        <v>0</v>
      </c>
      <c r="K239" s="120">
        <v>0</v>
      </c>
      <c r="L239" s="563">
        <v>247018.84999999998</v>
      </c>
      <c r="M239" s="120">
        <v>1.7117582937052473E-3</v>
      </c>
      <c r="N239" s="563">
        <v>1269046.6499999999</v>
      </c>
      <c r="O239" s="120">
        <v>1.7182063318528355E-3</v>
      </c>
      <c r="P239" s="124">
        <v>2143244.5699999998</v>
      </c>
      <c r="Q239" s="124"/>
      <c r="R239" s="563"/>
      <c r="S239" s="120"/>
      <c r="T239" s="373"/>
      <c r="U239" s="541">
        <v>344</v>
      </c>
      <c r="V239" s="540" t="s">
        <v>205</v>
      </c>
      <c r="W239" s="442" t="s">
        <v>21</v>
      </c>
      <c r="X239" s="552" t="s">
        <v>204</v>
      </c>
      <c r="Y239" s="563">
        <v>0</v>
      </c>
      <c r="Z239" s="563">
        <v>1175721.4900000002</v>
      </c>
      <c r="AA239" s="563">
        <v>458775.28</v>
      </c>
      <c r="AB239" s="563"/>
      <c r="AC239" s="563"/>
      <c r="AD239" s="563">
        <v>1634496.7700000003</v>
      </c>
      <c r="AE239" s="124"/>
      <c r="AF239" s="541">
        <v>344</v>
      </c>
      <c r="AG239" s="540" t="s">
        <v>205</v>
      </c>
      <c r="AH239" s="442" t="s">
        <v>21</v>
      </c>
      <c r="AI239" s="552" t="s">
        <v>204</v>
      </c>
      <c r="AJ239" s="563">
        <v>0</v>
      </c>
      <c r="AK239" s="563">
        <v>1269046.6499999999</v>
      </c>
      <c r="AL239" s="563">
        <v>468355.95</v>
      </c>
      <c r="AM239" s="563"/>
      <c r="AN239" s="563"/>
      <c r="AO239" s="563">
        <v>1737402.5999999999</v>
      </c>
      <c r="AR239" s="124">
        <f>+L239</f>
        <v>247018.84999999998</v>
      </c>
      <c r="AS239" s="124">
        <f>+F239</f>
        <v>158823.12</v>
      </c>
      <c r="AV239" s="372">
        <f t="shared" si="8"/>
        <v>405841.97</v>
      </c>
      <c r="AW239" s="124">
        <f>+AV239+AO239-P239</f>
        <v>0</v>
      </c>
      <c r="AZ239" s="563">
        <v>0</v>
      </c>
      <c r="BA239" s="563">
        <v>31491.4</v>
      </c>
      <c r="BB239" s="563">
        <v>12065.31</v>
      </c>
      <c r="BC239" s="563"/>
      <c r="BD239" s="563"/>
      <c r="BE239" s="563">
        <v>43556.71</v>
      </c>
      <c r="BF239" s="372"/>
      <c r="BO239" s="563">
        <v>0</v>
      </c>
      <c r="BP239" s="563">
        <v>2723278.39</v>
      </c>
      <c r="BQ239" s="563">
        <v>1098019.6599999999</v>
      </c>
      <c r="BR239" s="563"/>
      <c r="BS239" s="563"/>
      <c r="BT239" s="563">
        <v>3821298.05</v>
      </c>
      <c r="BW239" s="126">
        <v>1597</v>
      </c>
      <c r="BX239" s="125">
        <v>31801</v>
      </c>
      <c r="BY239" s="19" t="s">
        <v>1039</v>
      </c>
      <c r="BZ239" s="375" t="s">
        <v>1172</v>
      </c>
    </row>
    <row r="240" spans="1:78" x14ac:dyDescent="0.3">
      <c r="A240" s="436">
        <v>31401</v>
      </c>
      <c r="B240" s="19" t="s">
        <v>21</v>
      </c>
      <c r="C240" t="s">
        <v>516</v>
      </c>
      <c r="D240" s="563"/>
      <c r="E240" s="120"/>
      <c r="F240" s="563">
        <v>434579.05000000005</v>
      </c>
      <c r="G240" s="120">
        <v>7.8815804923485031E-4</v>
      </c>
      <c r="H240" s="563">
        <v>1271379.75</v>
      </c>
      <c r="I240" s="120">
        <v>4.653368558718278E-3</v>
      </c>
      <c r="J240" s="563">
        <v>0</v>
      </c>
      <c r="K240" s="120">
        <v>0</v>
      </c>
      <c r="L240" s="563">
        <v>632183.83000000007</v>
      </c>
      <c r="M240" s="120">
        <v>4.3808232211786603E-3</v>
      </c>
      <c r="N240" s="563">
        <v>3254133.1</v>
      </c>
      <c r="O240" s="120">
        <v>4.4058838161007688E-3</v>
      </c>
      <c r="P240" s="124">
        <v>5592275.7300000004</v>
      </c>
      <c r="Q240" s="124"/>
      <c r="R240" s="563"/>
      <c r="S240" s="120"/>
      <c r="T240" s="373"/>
      <c r="U240" s="541">
        <v>931</v>
      </c>
      <c r="V240" s="540" t="s">
        <v>517</v>
      </c>
      <c r="W240" s="442" t="s">
        <v>21</v>
      </c>
      <c r="X240" s="552" t="s">
        <v>516</v>
      </c>
      <c r="Y240" s="563">
        <v>0</v>
      </c>
      <c r="Z240" s="563">
        <v>3257732.59</v>
      </c>
      <c r="AA240" s="563">
        <v>1215202.25</v>
      </c>
      <c r="AB240" s="563"/>
      <c r="AC240" s="563"/>
      <c r="AD240" s="563">
        <v>4472934.84</v>
      </c>
      <c r="AE240" s="124"/>
      <c r="AF240" s="541">
        <v>931</v>
      </c>
      <c r="AG240" s="540" t="s">
        <v>517</v>
      </c>
      <c r="AH240" s="442" t="s">
        <v>21</v>
      </c>
      <c r="AI240" s="552" t="s">
        <v>516</v>
      </c>
      <c r="AJ240" s="563">
        <v>0</v>
      </c>
      <c r="AK240" s="563">
        <v>3254133.1</v>
      </c>
      <c r="AL240" s="563">
        <v>1271379.75</v>
      </c>
      <c r="AM240" s="563"/>
      <c r="AN240" s="563"/>
      <c r="AO240" s="563">
        <v>4525512.8499999996</v>
      </c>
      <c r="AR240" s="124">
        <f>+L240</f>
        <v>632183.83000000007</v>
      </c>
      <c r="AS240" s="124">
        <f>+F240</f>
        <v>434579.05000000005</v>
      </c>
      <c r="AV240" s="372">
        <f t="shared" si="8"/>
        <v>1066762.8800000001</v>
      </c>
      <c r="AW240" s="124">
        <f>+AV240+AO240-P240</f>
        <v>0</v>
      </c>
      <c r="AZ240" s="563">
        <v>0</v>
      </c>
      <c r="BA240" s="563">
        <v>80735.34</v>
      </c>
      <c r="BB240" s="563">
        <v>32767.360000000001</v>
      </c>
      <c r="BC240" s="563"/>
      <c r="BD240" s="563"/>
      <c r="BE240" s="563">
        <v>113502.7</v>
      </c>
      <c r="BF240" s="372"/>
      <c r="BO240" s="563">
        <v>0</v>
      </c>
      <c r="BP240" s="563">
        <v>7224784.8600000003</v>
      </c>
      <c r="BQ240" s="563">
        <v>2953928.41</v>
      </c>
      <c r="BR240" s="563"/>
      <c r="BS240" s="563"/>
      <c r="BT240" s="563">
        <v>10178713.27</v>
      </c>
      <c r="BW240" s="126">
        <v>926</v>
      </c>
      <c r="BX240" s="125">
        <v>32081</v>
      </c>
      <c r="BY240" s="19" t="s">
        <v>18</v>
      </c>
      <c r="BZ240" t="s">
        <v>1103</v>
      </c>
    </row>
    <row r="241" spans="1:78" x14ac:dyDescent="0.3">
      <c r="A241" s="436">
        <v>31801</v>
      </c>
      <c r="B241" s="19" t="s">
        <v>1039</v>
      </c>
      <c r="C241" t="s">
        <v>1036</v>
      </c>
      <c r="D241" s="563"/>
      <c r="E241" s="120"/>
      <c r="F241" s="567">
        <v>259453.28</v>
      </c>
      <c r="G241" s="568">
        <v>4.7054774276943031E-4</v>
      </c>
      <c r="H241" s="563"/>
      <c r="I241" s="120"/>
      <c r="J241" s="563"/>
      <c r="K241" s="120"/>
      <c r="L241" s="569"/>
      <c r="M241" s="570"/>
      <c r="N241" s="563"/>
      <c r="O241" s="120"/>
      <c r="P241" s="124">
        <v>910190.52</v>
      </c>
      <c r="Q241" s="124"/>
      <c r="R241" s="563">
        <v>650737.24</v>
      </c>
      <c r="S241" s="120">
        <v>6.1315163663536751E-4</v>
      </c>
      <c r="T241" s="373"/>
      <c r="U241" s="541">
        <v>1597</v>
      </c>
      <c r="V241" s="540" t="s">
        <v>1117</v>
      </c>
      <c r="W241" s="442" t="s">
        <v>1039</v>
      </c>
      <c r="X241" s="552" t="s">
        <v>1036</v>
      </c>
      <c r="Y241" s="563"/>
      <c r="Z241" s="563"/>
      <c r="AA241" s="563"/>
      <c r="AB241" s="563"/>
      <c r="AC241" s="563">
        <v>702969.63</v>
      </c>
      <c r="AD241" s="563">
        <v>702969.63</v>
      </c>
      <c r="AE241" s="124"/>
      <c r="AF241" s="541">
        <v>1597</v>
      </c>
      <c r="AG241" s="540" t="s">
        <v>1117</v>
      </c>
      <c r="AH241" s="442" t="s">
        <v>1039</v>
      </c>
      <c r="AI241" s="552" t="s">
        <v>1036</v>
      </c>
      <c r="AJ241" s="563"/>
      <c r="AK241" s="563"/>
      <c r="AL241" s="563"/>
      <c r="AM241" s="563"/>
      <c r="AN241" s="563">
        <v>650737.24</v>
      </c>
      <c r="AO241" s="563">
        <v>650737.24</v>
      </c>
      <c r="AR241" s="124">
        <f>+L241</f>
        <v>0</v>
      </c>
      <c r="AS241" s="372">
        <v>0</v>
      </c>
      <c r="AU241" s="124">
        <f>+F241</f>
        <v>259453.28</v>
      </c>
      <c r="AV241" s="372">
        <f t="shared" si="8"/>
        <v>259453.28</v>
      </c>
      <c r="AW241" s="124">
        <f>+AV241+AO241-P241</f>
        <v>0</v>
      </c>
      <c r="AZ241" s="563"/>
      <c r="BA241" s="563"/>
      <c r="BB241" s="563"/>
      <c r="BC241" s="563"/>
      <c r="BD241" s="563">
        <v>20463.29</v>
      </c>
      <c r="BE241" s="563">
        <v>20463.29</v>
      </c>
      <c r="BF241" s="372"/>
      <c r="BO241" s="563"/>
      <c r="BP241" s="563"/>
      <c r="BQ241" s="563"/>
      <c r="BR241" s="563"/>
      <c r="BS241" s="563">
        <v>1633623.44</v>
      </c>
      <c r="BT241" s="563">
        <v>1633623.44</v>
      </c>
      <c r="BW241" s="126">
        <v>684</v>
      </c>
      <c r="BX241" s="125">
        <v>32123</v>
      </c>
      <c r="BY241" s="19" t="s">
        <v>18</v>
      </c>
      <c r="BZ241" t="s">
        <v>909</v>
      </c>
    </row>
    <row r="242" spans="1:78" x14ac:dyDescent="0.3">
      <c r="A242" s="436">
        <v>32081</v>
      </c>
      <c r="B242" s="19" t="s">
        <v>18</v>
      </c>
      <c r="C242" t="s">
        <v>512</v>
      </c>
      <c r="D242" s="563">
        <v>13638.04</v>
      </c>
      <c r="E242" s="120">
        <v>2.4734121448760259E-5</v>
      </c>
      <c r="F242" s="563">
        <v>2209493.38</v>
      </c>
      <c r="G242" s="120">
        <v>4.0071650765910495E-3</v>
      </c>
      <c r="H242" s="563">
        <v>6539500.8300000001</v>
      </c>
      <c r="I242" s="120">
        <v>2.3935183450919429E-2</v>
      </c>
      <c r="J242" s="563">
        <v>44898.53</v>
      </c>
      <c r="K242" s="120">
        <v>3.111318472362488E-4</v>
      </c>
      <c r="L242" s="563">
        <v>4165560.15</v>
      </c>
      <c r="M242" s="120">
        <v>2.8865943367036864E-2</v>
      </c>
      <c r="N242" s="563">
        <v>21337763.530000001</v>
      </c>
      <c r="O242" s="120">
        <v>2.8889939077357412E-2</v>
      </c>
      <c r="P242" s="124">
        <v>34310854.460000001</v>
      </c>
      <c r="Q242" s="124"/>
      <c r="T242" s="373"/>
      <c r="U242" s="541">
        <v>926</v>
      </c>
      <c r="V242" s="540" t="s">
        <v>513</v>
      </c>
      <c r="W242" s="442" t="s">
        <v>18</v>
      </c>
      <c r="X242" s="552" t="s">
        <v>512</v>
      </c>
      <c r="Y242" s="563">
        <v>27991.3</v>
      </c>
      <c r="Z242" s="563">
        <v>20341104.829999998</v>
      </c>
      <c r="AA242" s="563">
        <v>6037945.3799999999</v>
      </c>
      <c r="AB242" s="563">
        <v>9161.2099999999991</v>
      </c>
      <c r="AC242" s="563"/>
      <c r="AD242" s="563">
        <v>26416202.719999999</v>
      </c>
      <c r="AE242" s="124"/>
      <c r="AF242" s="541">
        <v>926</v>
      </c>
      <c r="AG242" s="540" t="s">
        <v>513</v>
      </c>
      <c r="AH242" s="442" t="s">
        <v>18</v>
      </c>
      <c r="AI242" s="552" t="s">
        <v>512</v>
      </c>
      <c r="AJ242" s="563">
        <v>44898.53</v>
      </c>
      <c r="AK242" s="563">
        <v>21337763.530000001</v>
      </c>
      <c r="AL242" s="563">
        <v>6539500.8300000001</v>
      </c>
      <c r="AM242" s="563">
        <v>13638.04</v>
      </c>
      <c r="AN242" s="563"/>
      <c r="AO242" s="563">
        <v>27935800.93</v>
      </c>
      <c r="AR242" s="124">
        <f>+L242</f>
        <v>4165560.15</v>
      </c>
      <c r="AS242" s="124">
        <f>+F242</f>
        <v>2209493.38</v>
      </c>
      <c r="AV242" s="372">
        <f t="shared" si="8"/>
        <v>6375053.5299999993</v>
      </c>
      <c r="AW242" s="124">
        <f>+AV242+AO242-P242</f>
        <v>0</v>
      </c>
      <c r="AZ242" s="563">
        <v>933.01</v>
      </c>
      <c r="BA242" s="563">
        <v>529480.30999999994</v>
      </c>
      <c r="BB242" s="563">
        <v>168549.55</v>
      </c>
      <c r="BC242" s="563">
        <v>305.32</v>
      </c>
      <c r="BD242" s="563"/>
      <c r="BE242" s="563">
        <v>699268.19</v>
      </c>
      <c r="BF242" s="372"/>
      <c r="BO242" s="563">
        <v>73822.84</v>
      </c>
      <c r="BP242" s="563">
        <v>46373908.82</v>
      </c>
      <c r="BQ242" s="563">
        <v>14955489.140000001</v>
      </c>
      <c r="BR242" s="563">
        <v>23104.57</v>
      </c>
      <c r="BS242" s="563"/>
      <c r="BT242" s="563">
        <v>61426325.370000005</v>
      </c>
      <c r="BW242" s="126">
        <v>363</v>
      </c>
      <c r="BX242" s="125">
        <v>32312</v>
      </c>
      <c r="BY242" s="19" t="s">
        <v>18</v>
      </c>
      <c r="BZ242" t="s">
        <v>824</v>
      </c>
    </row>
    <row r="243" spans="1:78" x14ac:dyDescent="0.3">
      <c r="A243" s="436">
        <v>32123</v>
      </c>
      <c r="B243" s="19" t="s">
        <v>18</v>
      </c>
      <c r="C243" t="s">
        <v>390</v>
      </c>
      <c r="D243" s="563">
        <v>1574.04</v>
      </c>
      <c r="E243" s="120">
        <v>2.8546988075417432E-6</v>
      </c>
      <c r="F243" s="563">
        <v>2840.1000000000004</v>
      </c>
      <c r="G243" s="120">
        <v>5.1508412005408418E-6</v>
      </c>
      <c r="H243" s="563">
        <v>8508.73</v>
      </c>
      <c r="I243" s="120">
        <v>3.1142746025821923E-5</v>
      </c>
      <c r="J243" s="563"/>
      <c r="K243" s="120"/>
      <c r="L243" s="563">
        <v>9145.17</v>
      </c>
      <c r="M243" s="120">
        <v>6.3372979814473333E-5</v>
      </c>
      <c r="N243" s="563">
        <v>46773.75</v>
      </c>
      <c r="O243" s="120">
        <v>6.3328604519385926E-5</v>
      </c>
      <c r="P243" s="124">
        <v>68841.790000000008</v>
      </c>
      <c r="Q243" s="124"/>
      <c r="T243" s="373"/>
      <c r="U243" s="541">
        <v>684</v>
      </c>
      <c r="V243" s="540" t="s">
        <v>391</v>
      </c>
      <c r="W243" s="442" t="s">
        <v>18</v>
      </c>
      <c r="X243" s="552" t="s">
        <v>390</v>
      </c>
      <c r="Y243" s="563"/>
      <c r="Z243" s="563">
        <v>43474.95</v>
      </c>
      <c r="AA243" s="563">
        <v>9511.2899999999991</v>
      </c>
      <c r="AB243" s="563">
        <v>1051.44</v>
      </c>
      <c r="AC243" s="563"/>
      <c r="AD243" s="563">
        <v>54037.679999999993</v>
      </c>
      <c r="AE243" s="124"/>
      <c r="AF243" s="541">
        <v>684</v>
      </c>
      <c r="AG243" s="540" t="s">
        <v>391</v>
      </c>
      <c r="AH243" s="442" t="s">
        <v>18</v>
      </c>
      <c r="AI243" s="552" t="s">
        <v>390</v>
      </c>
      <c r="AJ243" s="563"/>
      <c r="AK243" s="563">
        <v>46773.75</v>
      </c>
      <c r="AL243" s="563">
        <v>8508.73</v>
      </c>
      <c r="AM243" s="563">
        <v>1574.04</v>
      </c>
      <c r="AN243" s="563"/>
      <c r="AO243" s="563">
        <v>56856.520000000004</v>
      </c>
      <c r="AR243" s="124">
        <f>+L243</f>
        <v>9145.17</v>
      </c>
      <c r="AS243" s="124">
        <f>+F243</f>
        <v>2840.1000000000004</v>
      </c>
      <c r="AV243" s="372">
        <f t="shared" si="8"/>
        <v>11985.27</v>
      </c>
      <c r="AW243" s="124">
        <f>+AV243+AO243-P243</f>
        <v>0</v>
      </c>
      <c r="AZ243" s="563"/>
      <c r="BA243" s="563">
        <v>1160.51</v>
      </c>
      <c r="BB243" s="563">
        <v>219.58</v>
      </c>
      <c r="BC243" s="563">
        <v>35</v>
      </c>
      <c r="BD243" s="563"/>
      <c r="BE243" s="563">
        <v>1415.09</v>
      </c>
      <c r="BF243" s="372"/>
      <c r="BO243" s="563"/>
      <c r="BP243" s="563">
        <v>100554.38</v>
      </c>
      <c r="BQ243" s="563">
        <v>21079.7</v>
      </c>
      <c r="BR243" s="563">
        <v>2660.48</v>
      </c>
      <c r="BS243" s="563"/>
      <c r="BT243" s="563">
        <v>124294.56</v>
      </c>
      <c r="BW243" s="126">
        <v>640</v>
      </c>
      <c r="BX243" s="125">
        <v>32325</v>
      </c>
      <c r="BY243" s="19" t="s">
        <v>18</v>
      </c>
      <c r="BZ243" t="s">
        <v>888</v>
      </c>
    </row>
    <row r="244" spans="1:78" x14ac:dyDescent="0.3">
      <c r="A244" s="436">
        <v>32312</v>
      </c>
      <c r="B244" s="19" t="s">
        <v>18</v>
      </c>
      <c r="C244" t="s">
        <v>208</v>
      </c>
      <c r="D244" s="563"/>
      <c r="E244" s="120"/>
      <c r="F244" s="563">
        <v>3093.1800000000003</v>
      </c>
      <c r="G244" s="120">
        <v>5.6098302822748914E-6</v>
      </c>
      <c r="H244" s="563">
        <v>9178.42</v>
      </c>
      <c r="I244" s="120">
        <v>3.3593873936336501E-5</v>
      </c>
      <c r="J244" s="563">
        <v>0</v>
      </c>
      <c r="K244" s="120">
        <v>0</v>
      </c>
      <c r="L244" s="563">
        <v>3369.9</v>
      </c>
      <c r="M244" s="120">
        <v>2.3352283738497337E-5</v>
      </c>
      <c r="N244" s="563">
        <v>17337.29</v>
      </c>
      <c r="O244" s="120">
        <v>2.3473559033601207E-5</v>
      </c>
      <c r="P244" s="124">
        <v>32978.79</v>
      </c>
      <c r="Q244" s="124"/>
      <c r="T244" s="373"/>
      <c r="U244" s="541">
        <v>363</v>
      </c>
      <c r="V244" s="540" t="s">
        <v>209</v>
      </c>
      <c r="W244" s="442" t="s">
        <v>18</v>
      </c>
      <c r="X244" s="552" t="s">
        <v>208</v>
      </c>
      <c r="Y244" s="563">
        <v>0</v>
      </c>
      <c r="Z244" s="563">
        <v>15999.7</v>
      </c>
      <c r="AA244" s="563">
        <v>8301.61</v>
      </c>
      <c r="AB244" s="563"/>
      <c r="AC244" s="563"/>
      <c r="AD244" s="563">
        <v>24301.31</v>
      </c>
      <c r="AE244" s="124"/>
      <c r="AF244" s="541">
        <v>363</v>
      </c>
      <c r="AG244" s="540" t="s">
        <v>209</v>
      </c>
      <c r="AH244" s="442" t="s">
        <v>18</v>
      </c>
      <c r="AI244" s="552" t="s">
        <v>208</v>
      </c>
      <c r="AJ244" s="563">
        <v>0</v>
      </c>
      <c r="AK244" s="563">
        <v>17337.29</v>
      </c>
      <c r="AL244" s="563">
        <v>9178.42</v>
      </c>
      <c r="AM244" s="563"/>
      <c r="AN244" s="563"/>
      <c r="AO244" s="563">
        <v>26515.71</v>
      </c>
      <c r="AR244" s="124">
        <f>+L244</f>
        <v>3369.9</v>
      </c>
      <c r="AS244" s="124">
        <f>+F244</f>
        <v>3093.1800000000003</v>
      </c>
      <c r="AV244" s="372">
        <f t="shared" si="8"/>
        <v>6463.08</v>
      </c>
      <c r="AW244" s="124">
        <f>+AV244+AO244-P244</f>
        <v>0</v>
      </c>
      <c r="AZ244" s="563">
        <v>0</v>
      </c>
      <c r="BA244" s="563">
        <v>430.15</v>
      </c>
      <c r="BB244" s="563">
        <v>236.46</v>
      </c>
      <c r="BC244" s="563"/>
      <c r="BD244" s="563"/>
      <c r="BE244" s="563">
        <v>666.61</v>
      </c>
      <c r="BF244" s="372"/>
      <c r="BO244" s="563">
        <v>0</v>
      </c>
      <c r="BP244" s="563">
        <v>37137.040000000001</v>
      </c>
      <c r="BQ244" s="563">
        <v>20809.670000000002</v>
      </c>
      <c r="BR244" s="563"/>
      <c r="BS244" s="563"/>
      <c r="BT244" s="563">
        <v>57946.710000000006</v>
      </c>
      <c r="BW244" s="126">
        <v>582</v>
      </c>
      <c r="BX244" s="125">
        <v>32326</v>
      </c>
      <c r="BY244" s="19" t="s">
        <v>18</v>
      </c>
      <c r="BZ244" t="s">
        <v>868</v>
      </c>
    </row>
    <row r="245" spans="1:78" x14ac:dyDescent="0.3">
      <c r="A245" s="436">
        <v>32325</v>
      </c>
      <c r="B245" s="19" t="s">
        <v>18</v>
      </c>
      <c r="C245" t="s">
        <v>338</v>
      </c>
      <c r="D245" s="563"/>
      <c r="E245" s="120"/>
      <c r="F245" s="563">
        <v>72496.160000000003</v>
      </c>
      <c r="G245" s="120">
        <v>1.3147995063871021E-4</v>
      </c>
      <c r="H245" s="563">
        <v>214003.08</v>
      </c>
      <c r="I245" s="120">
        <v>7.8327124837474578E-4</v>
      </c>
      <c r="J245" s="563"/>
      <c r="K245" s="120"/>
      <c r="L245" s="563">
        <v>164755.72</v>
      </c>
      <c r="M245" s="120">
        <v>1.1417022229088165E-3</v>
      </c>
      <c r="N245" s="563">
        <v>845442.24</v>
      </c>
      <c r="O245" s="120">
        <v>1.1446736098975122E-3</v>
      </c>
      <c r="P245" s="124">
        <v>1296697.2</v>
      </c>
      <c r="Q245" s="124"/>
      <c r="T245" s="373"/>
      <c r="U245" s="541">
        <v>640</v>
      </c>
      <c r="V245" s="540" t="s">
        <v>339</v>
      </c>
      <c r="W245" s="442" t="s">
        <v>18</v>
      </c>
      <c r="X245" s="552" t="s">
        <v>338</v>
      </c>
      <c r="Y245" s="563"/>
      <c r="Z245" s="563">
        <v>859674.26</v>
      </c>
      <c r="AA245" s="563">
        <v>203526.1</v>
      </c>
      <c r="AB245" s="563"/>
      <c r="AC245" s="563"/>
      <c r="AD245" s="563">
        <v>1063200.3600000001</v>
      </c>
      <c r="AE245" s="124"/>
      <c r="AF245" s="541">
        <v>640</v>
      </c>
      <c r="AG245" s="540" t="s">
        <v>339</v>
      </c>
      <c r="AH245" s="442" t="s">
        <v>18</v>
      </c>
      <c r="AI245" s="552" t="s">
        <v>338</v>
      </c>
      <c r="AJ245" s="563"/>
      <c r="AK245" s="563">
        <v>845442.24</v>
      </c>
      <c r="AL245" s="563">
        <v>214003.08</v>
      </c>
      <c r="AM245" s="563"/>
      <c r="AN245" s="563"/>
      <c r="AO245" s="563">
        <v>1059445.32</v>
      </c>
      <c r="AR245" s="124">
        <f>+L245</f>
        <v>164755.72</v>
      </c>
      <c r="AS245" s="124">
        <f>+F245</f>
        <v>72496.160000000003</v>
      </c>
      <c r="AV245" s="372">
        <f t="shared" si="8"/>
        <v>237251.88</v>
      </c>
      <c r="AW245" s="124">
        <f>+AV245+AO245-P245</f>
        <v>0</v>
      </c>
      <c r="AZ245" s="563"/>
      <c r="BA245" s="563">
        <v>20978.27</v>
      </c>
      <c r="BB245" s="563">
        <v>5513.76</v>
      </c>
      <c r="BC245" s="563"/>
      <c r="BD245" s="563"/>
      <c r="BE245" s="563">
        <v>26492.03</v>
      </c>
      <c r="BF245" s="372"/>
      <c r="BO245" s="563"/>
      <c r="BP245" s="563">
        <v>1890850.49</v>
      </c>
      <c r="BQ245" s="563">
        <v>495539.10000000003</v>
      </c>
      <c r="BR245" s="563"/>
      <c r="BS245" s="563"/>
      <c r="BT245" s="563">
        <v>2386389.59</v>
      </c>
      <c r="BW245" s="126">
        <v>580</v>
      </c>
      <c r="BX245" s="125">
        <v>32354</v>
      </c>
      <c r="BY245" s="19" t="s">
        <v>18</v>
      </c>
      <c r="BZ245" t="s">
        <v>867</v>
      </c>
    </row>
    <row r="246" spans="1:78" x14ac:dyDescent="0.3">
      <c r="A246" s="436">
        <v>32326</v>
      </c>
      <c r="B246" s="19" t="s">
        <v>18</v>
      </c>
      <c r="C246" t="s">
        <v>298</v>
      </c>
      <c r="D246" s="563">
        <v>2459.2399999999998</v>
      </c>
      <c r="E246" s="120">
        <v>4.4601086982916291E-6</v>
      </c>
      <c r="F246" s="563">
        <v>123975.25</v>
      </c>
      <c r="G246" s="120">
        <v>2.248430779012538E-4</v>
      </c>
      <c r="H246" s="563">
        <v>366172.53</v>
      </c>
      <c r="I246" s="120">
        <v>1.3402256392461224E-3</v>
      </c>
      <c r="J246" s="563">
        <v>0</v>
      </c>
      <c r="K246" s="120">
        <v>0</v>
      </c>
      <c r="L246" s="563">
        <v>204855.52</v>
      </c>
      <c r="M246" s="120">
        <v>1.4195804707669117E-3</v>
      </c>
      <c r="N246" s="563">
        <v>1051036.78</v>
      </c>
      <c r="O246" s="120">
        <v>1.4230351976471597E-3</v>
      </c>
      <c r="P246" s="124">
        <v>1748499.32</v>
      </c>
      <c r="Q246" s="124"/>
      <c r="T246" s="373"/>
      <c r="U246" s="541">
        <v>582</v>
      </c>
      <c r="V246" s="540" t="s">
        <v>299</v>
      </c>
      <c r="W246" s="442" t="s">
        <v>18</v>
      </c>
      <c r="X246" s="552" t="s">
        <v>298</v>
      </c>
      <c r="Y246" s="563">
        <v>0</v>
      </c>
      <c r="Z246" s="563">
        <v>1024035.5700000001</v>
      </c>
      <c r="AA246" s="563">
        <v>353680.24</v>
      </c>
      <c r="AB246" s="563">
        <v>1643.73</v>
      </c>
      <c r="AC246" s="563"/>
      <c r="AD246" s="563">
        <v>1379359.54</v>
      </c>
      <c r="AE246" s="124"/>
      <c r="AF246" s="541">
        <v>582</v>
      </c>
      <c r="AG246" s="540" t="s">
        <v>299</v>
      </c>
      <c r="AH246" s="442" t="s">
        <v>18</v>
      </c>
      <c r="AI246" s="552" t="s">
        <v>298</v>
      </c>
      <c r="AJ246" s="563">
        <v>0</v>
      </c>
      <c r="AK246" s="563">
        <v>1051036.78</v>
      </c>
      <c r="AL246" s="563">
        <v>366172.53</v>
      </c>
      <c r="AM246" s="563">
        <v>2459.2399999999998</v>
      </c>
      <c r="AN246" s="563"/>
      <c r="AO246" s="563">
        <v>1419668.55</v>
      </c>
      <c r="AR246" s="124">
        <f>+L246</f>
        <v>204855.52</v>
      </c>
      <c r="AS246" s="124">
        <f>+F246</f>
        <v>123975.25</v>
      </c>
      <c r="AV246" s="372">
        <f t="shared" si="8"/>
        <v>328830.77</v>
      </c>
      <c r="AW246" s="124">
        <f>+AV246+AO246-P246</f>
        <v>0</v>
      </c>
      <c r="AZ246" s="563">
        <v>0</v>
      </c>
      <c r="BA246" s="563">
        <v>26079.59</v>
      </c>
      <c r="BB246" s="563">
        <v>9437.2200000000012</v>
      </c>
      <c r="BC246" s="563">
        <v>54.74</v>
      </c>
      <c r="BD246" s="563"/>
      <c r="BE246" s="563">
        <v>35571.550000000003</v>
      </c>
      <c r="BF246" s="372"/>
      <c r="BO246" s="563">
        <v>0</v>
      </c>
      <c r="BP246" s="563">
        <v>2306007.46</v>
      </c>
      <c r="BQ246" s="563">
        <v>853265.24</v>
      </c>
      <c r="BR246" s="563">
        <v>4157.71</v>
      </c>
      <c r="BS246" s="563"/>
      <c r="BT246" s="563">
        <v>3163430.41</v>
      </c>
      <c r="BW246" s="126">
        <v>115</v>
      </c>
      <c r="BX246" s="125">
        <v>32356</v>
      </c>
      <c r="BY246" s="19" t="s">
        <v>18</v>
      </c>
      <c r="BZ246" t="s">
        <v>760</v>
      </c>
    </row>
    <row r="247" spans="1:78" x14ac:dyDescent="0.3">
      <c r="A247" s="436">
        <v>32354</v>
      </c>
      <c r="B247" s="19" t="s">
        <v>18</v>
      </c>
      <c r="C247" t="s">
        <v>296</v>
      </c>
      <c r="D247" s="563"/>
      <c r="E247" s="120"/>
      <c r="F247" s="563">
        <v>677971.48</v>
      </c>
      <c r="G247" s="120">
        <v>1.2295776317649556E-3</v>
      </c>
      <c r="H247" s="563">
        <v>1988171.3399999999</v>
      </c>
      <c r="I247" s="120">
        <v>7.2768926852113114E-3</v>
      </c>
      <c r="J247" s="563">
        <v>221.08</v>
      </c>
      <c r="K247" s="120">
        <v>1.5320107091922584E-6</v>
      </c>
      <c r="L247" s="563">
        <v>1349708.88</v>
      </c>
      <c r="M247" s="120">
        <v>9.3530326508589126E-3</v>
      </c>
      <c r="N247" s="563">
        <v>6794878.75</v>
      </c>
      <c r="O247" s="120">
        <v>9.1998223173452923E-3</v>
      </c>
      <c r="P247" s="124">
        <v>10810951.529999999</v>
      </c>
      <c r="Q247" s="124"/>
      <c r="T247" s="373"/>
      <c r="U247" s="541">
        <v>580</v>
      </c>
      <c r="V247" s="540" t="s">
        <v>297</v>
      </c>
      <c r="W247" s="442" t="s">
        <v>18</v>
      </c>
      <c r="X247" s="552" t="s">
        <v>296</v>
      </c>
      <c r="Y247" s="563">
        <v>103.39</v>
      </c>
      <c r="Z247" s="563">
        <v>6603613.6800000006</v>
      </c>
      <c r="AA247" s="563">
        <v>1846833.42</v>
      </c>
      <c r="AB247" s="563"/>
      <c r="AC247" s="563"/>
      <c r="AD247" s="563">
        <v>8450550.4900000002</v>
      </c>
      <c r="AE247" s="124"/>
      <c r="AF247" s="541">
        <v>580</v>
      </c>
      <c r="AG247" s="540" t="s">
        <v>297</v>
      </c>
      <c r="AH247" s="442" t="s">
        <v>18</v>
      </c>
      <c r="AI247" s="552" t="s">
        <v>296</v>
      </c>
      <c r="AJ247" s="563">
        <v>221.08</v>
      </c>
      <c r="AK247" s="563">
        <v>6794878.75</v>
      </c>
      <c r="AL247" s="563">
        <v>1988171.3399999999</v>
      </c>
      <c r="AM247" s="563"/>
      <c r="AN247" s="563"/>
      <c r="AO247" s="563">
        <v>8783271.1699999999</v>
      </c>
      <c r="AR247" s="124">
        <f>+L247</f>
        <v>1349708.88</v>
      </c>
      <c r="AS247" s="124">
        <f>+F247</f>
        <v>677971.48</v>
      </c>
      <c r="AV247" s="372">
        <f t="shared" si="8"/>
        <v>2027680.3599999999</v>
      </c>
      <c r="AW247" s="124">
        <f>+AV247+AO247-P247</f>
        <v>0</v>
      </c>
      <c r="AZ247" s="563">
        <v>2.59</v>
      </c>
      <c r="BA247" s="563">
        <v>168478.34</v>
      </c>
      <c r="BB247" s="563">
        <v>51248.4</v>
      </c>
      <c r="BC247" s="563"/>
      <c r="BD247" s="563"/>
      <c r="BE247" s="563">
        <v>219729.33</v>
      </c>
      <c r="BF247" s="372"/>
      <c r="BO247" s="563">
        <v>327.06</v>
      </c>
      <c r="BP247" s="563">
        <v>14916679.649999999</v>
      </c>
      <c r="BQ247" s="563">
        <v>4564224.6400000006</v>
      </c>
      <c r="BR247" s="563"/>
      <c r="BS247" s="563"/>
      <c r="BT247" s="563">
        <v>19481231.349999998</v>
      </c>
      <c r="BW247" s="126">
        <v>320</v>
      </c>
      <c r="BX247" s="125">
        <v>32358</v>
      </c>
      <c r="BY247" s="19" t="s">
        <v>18</v>
      </c>
      <c r="BZ247" t="s">
        <v>815</v>
      </c>
    </row>
    <row r="248" spans="1:78" x14ac:dyDescent="0.3">
      <c r="A248" s="436">
        <v>32356</v>
      </c>
      <c r="B248" s="19" t="s">
        <v>18</v>
      </c>
      <c r="C248" t="s">
        <v>78</v>
      </c>
      <c r="D248" s="563">
        <v>962.71</v>
      </c>
      <c r="E248" s="120">
        <v>1.745983004884572E-6</v>
      </c>
      <c r="F248" s="563">
        <v>809842.91999999993</v>
      </c>
      <c r="G248" s="120">
        <v>1.4687413394958979E-3</v>
      </c>
      <c r="H248" s="563">
        <v>2395283.9</v>
      </c>
      <c r="I248" s="120">
        <v>8.7669626557007017E-3</v>
      </c>
      <c r="J248" s="563">
        <v>0</v>
      </c>
      <c r="K248" s="120">
        <v>0</v>
      </c>
      <c r="L248" s="563">
        <v>1685943.3499999999</v>
      </c>
      <c r="M248" s="120">
        <v>1.1683025453643348E-2</v>
      </c>
      <c r="N248" s="563">
        <v>8611026.0199999996</v>
      </c>
      <c r="O248" s="120">
        <v>1.1658767178742816E-2</v>
      </c>
      <c r="P248" s="124">
        <v>13503058.899999999</v>
      </c>
      <c r="Q248" s="124"/>
      <c r="T248" s="373"/>
      <c r="U248" s="541">
        <v>115</v>
      </c>
      <c r="V248" s="540" t="s">
        <v>79</v>
      </c>
      <c r="W248" s="442" t="s">
        <v>18</v>
      </c>
      <c r="X248" s="552" t="s">
        <v>78</v>
      </c>
      <c r="Y248" s="563">
        <v>0</v>
      </c>
      <c r="Z248" s="563">
        <v>8385845.3399999999</v>
      </c>
      <c r="AA248" s="563">
        <v>2285522.5300000003</v>
      </c>
      <c r="AB248" s="563">
        <v>636.05999999999995</v>
      </c>
      <c r="AC248" s="563"/>
      <c r="AD248" s="563">
        <v>10672003.93</v>
      </c>
      <c r="AE248" s="124"/>
      <c r="AF248" s="541">
        <v>115</v>
      </c>
      <c r="AG248" s="540" t="s">
        <v>79</v>
      </c>
      <c r="AH248" s="442" t="s">
        <v>18</v>
      </c>
      <c r="AI248" s="552" t="s">
        <v>78</v>
      </c>
      <c r="AJ248" s="563">
        <v>0</v>
      </c>
      <c r="AK248" s="563">
        <v>8611026.0199999996</v>
      </c>
      <c r="AL248" s="563">
        <v>2395283.9</v>
      </c>
      <c r="AM248" s="563">
        <v>962.71</v>
      </c>
      <c r="AN248" s="563"/>
      <c r="AO248" s="563">
        <v>11007272.629999999</v>
      </c>
      <c r="AR248" s="124">
        <f>+L248</f>
        <v>1685943.3499999999</v>
      </c>
      <c r="AS248" s="124">
        <f>+F248</f>
        <v>809842.91999999993</v>
      </c>
      <c r="AV248" s="372">
        <f t="shared" si="8"/>
        <v>2495786.2699999996</v>
      </c>
      <c r="AW248" s="124">
        <f>+AV248+AO248-P248</f>
        <v>0</v>
      </c>
      <c r="AZ248" s="563">
        <v>0</v>
      </c>
      <c r="BA248" s="563">
        <v>213647.57</v>
      </c>
      <c r="BB248" s="563">
        <v>61732.380000000005</v>
      </c>
      <c r="BC248" s="563">
        <v>21.18</v>
      </c>
      <c r="BD248" s="563"/>
      <c r="BE248" s="563">
        <v>275401.13</v>
      </c>
      <c r="BF248" s="372"/>
      <c r="BO248" s="563">
        <v>0</v>
      </c>
      <c r="BP248" s="563">
        <v>18896462.280000001</v>
      </c>
      <c r="BQ248" s="563">
        <v>5552381.7300000004</v>
      </c>
      <c r="BR248" s="563">
        <v>1619.95</v>
      </c>
      <c r="BS248" s="563"/>
      <c r="BT248" s="563">
        <v>24450463.960000001</v>
      </c>
      <c r="BW248" s="126">
        <v>133</v>
      </c>
      <c r="BX248" s="125">
        <v>32360</v>
      </c>
      <c r="BY248" s="19" t="s">
        <v>18</v>
      </c>
      <c r="BZ248" t="s">
        <v>763</v>
      </c>
    </row>
    <row r="249" spans="1:78" x14ac:dyDescent="0.3">
      <c r="A249" s="436">
        <v>32358</v>
      </c>
      <c r="B249" s="19" t="s">
        <v>18</v>
      </c>
      <c r="C249" t="s">
        <v>190</v>
      </c>
      <c r="D249" s="563"/>
      <c r="E249" s="120"/>
      <c r="F249" s="563">
        <v>59726.09</v>
      </c>
      <c r="G249" s="120">
        <v>1.0831999053526647E-4</v>
      </c>
      <c r="H249" s="563">
        <v>174540.03</v>
      </c>
      <c r="I249" s="120">
        <v>6.3883280179643012E-4</v>
      </c>
      <c r="J249" s="563"/>
      <c r="K249" s="120"/>
      <c r="L249" s="563">
        <v>98948.290000000008</v>
      </c>
      <c r="M249" s="120">
        <v>6.8567866806704028E-4</v>
      </c>
      <c r="N249" s="563">
        <v>512017.06</v>
      </c>
      <c r="O249" s="120">
        <v>6.9323767925211677E-4</v>
      </c>
      <c r="P249" s="124">
        <v>845231.47</v>
      </c>
      <c r="Q249" s="124"/>
      <c r="T249" s="373"/>
      <c r="U249" s="541">
        <v>320</v>
      </c>
      <c r="V249" s="540" t="s">
        <v>191</v>
      </c>
      <c r="W249" s="442" t="s">
        <v>18</v>
      </c>
      <c r="X249" s="552" t="s">
        <v>190</v>
      </c>
      <c r="Y249" s="563"/>
      <c r="Z249" s="563">
        <v>475866.24</v>
      </c>
      <c r="AA249" s="563">
        <v>179857.78</v>
      </c>
      <c r="AB249" s="563"/>
      <c r="AC249" s="563"/>
      <c r="AD249" s="563">
        <v>655724.02</v>
      </c>
      <c r="AE249" s="124"/>
      <c r="AF249" s="541">
        <v>320</v>
      </c>
      <c r="AG249" s="540" t="s">
        <v>191</v>
      </c>
      <c r="AH249" s="442" t="s">
        <v>18</v>
      </c>
      <c r="AI249" s="552" t="s">
        <v>190</v>
      </c>
      <c r="AJ249" s="563"/>
      <c r="AK249" s="563">
        <v>512017.06</v>
      </c>
      <c r="AL249" s="563">
        <v>174540.03</v>
      </c>
      <c r="AM249" s="563"/>
      <c r="AN249" s="563"/>
      <c r="AO249" s="563">
        <v>686557.09</v>
      </c>
      <c r="AR249" s="124">
        <f>+L249</f>
        <v>98948.290000000008</v>
      </c>
      <c r="AS249" s="124">
        <f>+F249</f>
        <v>59726.09</v>
      </c>
      <c r="AV249" s="372">
        <f t="shared" si="8"/>
        <v>158674.38</v>
      </c>
      <c r="AW249" s="124">
        <f>+AV249+AO249-P249</f>
        <v>0</v>
      </c>
      <c r="AZ249" s="563"/>
      <c r="BA249" s="563">
        <v>12704.789999999999</v>
      </c>
      <c r="BB249" s="563">
        <v>4498.51</v>
      </c>
      <c r="BC249" s="563"/>
      <c r="BD249" s="563"/>
      <c r="BE249" s="563">
        <v>17203.3</v>
      </c>
      <c r="BF249" s="372"/>
      <c r="BO249" s="563"/>
      <c r="BP249" s="563">
        <v>1099536.3800000001</v>
      </c>
      <c r="BQ249" s="563">
        <v>418622.41000000003</v>
      </c>
      <c r="BR249" s="563"/>
      <c r="BS249" s="563"/>
      <c r="BT249" s="563">
        <v>1518158.79</v>
      </c>
      <c r="BW249" s="126">
        <v>243</v>
      </c>
      <c r="BX249" s="125">
        <v>32361</v>
      </c>
      <c r="BY249" s="19" t="s">
        <v>18</v>
      </c>
      <c r="BZ249" t="s">
        <v>791</v>
      </c>
    </row>
    <row r="250" spans="1:78" x14ac:dyDescent="0.3">
      <c r="A250" s="436">
        <v>32360</v>
      </c>
      <c r="B250" s="19" t="s">
        <v>18</v>
      </c>
      <c r="C250" t="s">
        <v>84</v>
      </c>
      <c r="D250" s="563">
        <v>2311.16</v>
      </c>
      <c r="E250" s="120">
        <v>4.1915489416013409E-6</v>
      </c>
      <c r="F250" s="563">
        <v>350149.95</v>
      </c>
      <c r="G250" s="120">
        <v>6.3503636802482856E-4</v>
      </c>
      <c r="H250" s="563">
        <v>1035021</v>
      </c>
      <c r="I250" s="120">
        <v>3.7882734714102142E-3</v>
      </c>
      <c r="J250" s="563">
        <v>0</v>
      </c>
      <c r="K250" s="120">
        <v>0</v>
      </c>
      <c r="L250" s="563">
        <v>611167.63</v>
      </c>
      <c r="M250" s="120">
        <v>4.2351879603385731E-3</v>
      </c>
      <c r="N250" s="563">
        <v>3137846.83</v>
      </c>
      <c r="O250" s="120">
        <v>4.2484397966696874E-3</v>
      </c>
      <c r="P250" s="124">
        <v>5136496.57</v>
      </c>
      <c r="Q250" s="124"/>
      <c r="T250" s="373"/>
      <c r="U250" s="541">
        <v>133</v>
      </c>
      <c r="V250" s="540" t="s">
        <v>85</v>
      </c>
      <c r="W250" s="442" t="s">
        <v>18</v>
      </c>
      <c r="X250" s="552" t="s">
        <v>84</v>
      </c>
      <c r="Y250" s="563">
        <v>0</v>
      </c>
      <c r="Z250" s="563">
        <v>3096885.38</v>
      </c>
      <c r="AA250" s="563">
        <v>972774.71</v>
      </c>
      <c r="AB250" s="563">
        <v>1542.39</v>
      </c>
      <c r="AC250" s="563"/>
      <c r="AD250" s="563">
        <v>4071202.48</v>
      </c>
      <c r="AE250" s="124"/>
      <c r="AF250" s="541">
        <v>133</v>
      </c>
      <c r="AG250" s="540" t="s">
        <v>85</v>
      </c>
      <c r="AH250" s="442" t="s">
        <v>18</v>
      </c>
      <c r="AI250" s="552" t="s">
        <v>84</v>
      </c>
      <c r="AJ250" s="563">
        <v>0</v>
      </c>
      <c r="AK250" s="563">
        <v>3137846.83</v>
      </c>
      <c r="AL250" s="563">
        <v>1035021</v>
      </c>
      <c r="AM250" s="563">
        <v>2311.16</v>
      </c>
      <c r="AN250" s="563"/>
      <c r="AO250" s="563">
        <v>4175178.99</v>
      </c>
      <c r="AR250" s="124">
        <f>+L250</f>
        <v>611167.63</v>
      </c>
      <c r="AS250" s="124">
        <f>+F250</f>
        <v>350149.95</v>
      </c>
      <c r="AV250" s="372">
        <f t="shared" si="8"/>
        <v>961317.58000000007</v>
      </c>
      <c r="AW250" s="124">
        <f>+AV250+AO250-P250</f>
        <v>0</v>
      </c>
      <c r="AZ250" s="563">
        <v>0</v>
      </c>
      <c r="BA250" s="563">
        <v>77859.91</v>
      </c>
      <c r="BB250" s="563">
        <v>26675.51</v>
      </c>
      <c r="BC250" s="563">
        <v>51.37</v>
      </c>
      <c r="BD250" s="563"/>
      <c r="BE250" s="563">
        <v>104586.79000000001</v>
      </c>
      <c r="BF250" s="372"/>
      <c r="BO250" s="563">
        <v>0</v>
      </c>
      <c r="BP250" s="563">
        <v>6923759.75</v>
      </c>
      <c r="BQ250" s="563">
        <v>2384621.17</v>
      </c>
      <c r="BR250" s="563">
        <v>3904.92</v>
      </c>
      <c r="BS250" s="563"/>
      <c r="BT250" s="563">
        <v>9312285.8399999999</v>
      </c>
      <c r="BW250" s="126">
        <v>536</v>
      </c>
      <c r="BX250" s="125">
        <v>32362</v>
      </c>
      <c r="BY250" s="19" t="s">
        <v>18</v>
      </c>
      <c r="BZ250" t="s">
        <v>853</v>
      </c>
    </row>
    <row r="251" spans="1:78" x14ac:dyDescent="0.3">
      <c r="A251" s="436">
        <v>32361</v>
      </c>
      <c r="B251" s="19" t="s">
        <v>18</v>
      </c>
      <c r="C251" t="s">
        <v>142</v>
      </c>
      <c r="D251" s="563"/>
      <c r="E251" s="120"/>
      <c r="F251" s="563">
        <v>287584.7</v>
      </c>
      <c r="G251" s="120">
        <v>5.2156724108488352E-4</v>
      </c>
      <c r="H251" s="563">
        <v>853366.05</v>
      </c>
      <c r="I251" s="120">
        <v>3.123399398289622E-3</v>
      </c>
      <c r="J251" s="563">
        <v>0</v>
      </c>
      <c r="K251" s="120">
        <v>0</v>
      </c>
      <c r="L251" s="563">
        <v>447395.5</v>
      </c>
      <c r="M251" s="120">
        <v>3.1003016882776599E-3</v>
      </c>
      <c r="N251" s="563">
        <v>2299273.9900000002</v>
      </c>
      <c r="O251" s="120">
        <v>3.1130669059979267E-3</v>
      </c>
      <c r="P251" s="124">
        <v>3887620.24</v>
      </c>
      <c r="Q251" s="124"/>
      <c r="T251" s="373"/>
      <c r="U251" s="541">
        <v>243</v>
      </c>
      <c r="V251" s="540" t="s">
        <v>143</v>
      </c>
      <c r="W251" s="442" t="s">
        <v>18</v>
      </c>
      <c r="X251" s="552" t="s">
        <v>142</v>
      </c>
      <c r="Y251" s="563">
        <v>0</v>
      </c>
      <c r="Z251" s="563">
        <v>2225166.79</v>
      </c>
      <c r="AA251" s="563">
        <v>821881.75</v>
      </c>
      <c r="AB251" s="563"/>
      <c r="AC251" s="563"/>
      <c r="AD251" s="563">
        <v>3047048.54</v>
      </c>
      <c r="AE251" s="124"/>
      <c r="AF251" s="541">
        <v>243</v>
      </c>
      <c r="AG251" s="540" t="s">
        <v>143</v>
      </c>
      <c r="AH251" s="442" t="s">
        <v>18</v>
      </c>
      <c r="AI251" s="552" t="s">
        <v>142</v>
      </c>
      <c r="AJ251" s="563">
        <v>0</v>
      </c>
      <c r="AK251" s="563">
        <v>2299273.9900000002</v>
      </c>
      <c r="AL251" s="563">
        <v>853366.05</v>
      </c>
      <c r="AM251" s="563"/>
      <c r="AN251" s="563"/>
      <c r="AO251" s="563">
        <v>3152640.04</v>
      </c>
      <c r="AR251" s="124">
        <f>+L251</f>
        <v>447395.5</v>
      </c>
      <c r="AS251" s="124">
        <f>+F251</f>
        <v>287584.7</v>
      </c>
      <c r="AV251" s="372">
        <f t="shared" si="8"/>
        <v>734980.2</v>
      </c>
      <c r="AW251" s="124">
        <f>+AV251+AO251-P251</f>
        <v>0</v>
      </c>
      <c r="AZ251" s="563">
        <v>0</v>
      </c>
      <c r="BA251" s="563">
        <v>57050.42</v>
      </c>
      <c r="BB251" s="563">
        <v>22005.88</v>
      </c>
      <c r="BC251" s="563"/>
      <c r="BD251" s="563"/>
      <c r="BE251" s="563">
        <v>79056.3</v>
      </c>
      <c r="BF251" s="372"/>
      <c r="BO251" s="563">
        <v>0</v>
      </c>
      <c r="BP251" s="563">
        <v>5028886.7</v>
      </c>
      <c r="BQ251" s="563">
        <v>1984838.38</v>
      </c>
      <c r="BR251" s="563"/>
      <c r="BS251" s="563"/>
      <c r="BT251" s="563">
        <v>7013725.0800000001</v>
      </c>
      <c r="BW251" s="126">
        <v>1077</v>
      </c>
      <c r="BX251" s="125">
        <v>32363</v>
      </c>
      <c r="BY251" s="19" t="s">
        <v>18</v>
      </c>
      <c r="BZ251" t="s">
        <v>1009</v>
      </c>
    </row>
    <row r="252" spans="1:78" x14ac:dyDescent="0.3">
      <c r="A252" s="436">
        <v>32362</v>
      </c>
      <c r="B252" s="19" t="s">
        <v>18</v>
      </c>
      <c r="C252" t="s">
        <v>268</v>
      </c>
      <c r="D252" s="563"/>
      <c r="E252" s="120"/>
      <c r="F252" s="563">
        <v>38530.68</v>
      </c>
      <c r="G252" s="120">
        <v>6.9879727484544542E-5</v>
      </c>
      <c r="H252" s="563">
        <v>114126.39</v>
      </c>
      <c r="I252" s="120">
        <v>4.1771324023842605E-4</v>
      </c>
      <c r="J252" s="563">
        <v>0</v>
      </c>
      <c r="K252" s="120">
        <v>0</v>
      </c>
      <c r="L252" s="563">
        <v>66286.399999999994</v>
      </c>
      <c r="M252" s="120">
        <v>4.5934265729058124E-4</v>
      </c>
      <c r="N252" s="563">
        <v>340351.96</v>
      </c>
      <c r="O252" s="120">
        <v>4.608143386458828E-4</v>
      </c>
      <c r="P252" s="124">
        <v>559295.43000000005</v>
      </c>
      <c r="Q252" s="124"/>
      <c r="T252" s="373"/>
      <c r="U252" s="541">
        <v>536</v>
      </c>
      <c r="V252" s="540" t="s">
        <v>269</v>
      </c>
      <c r="W252" s="442" t="s">
        <v>18</v>
      </c>
      <c r="X252" s="552" t="s">
        <v>268</v>
      </c>
      <c r="Y252" s="563">
        <v>0</v>
      </c>
      <c r="Z252" s="563">
        <v>351648.01</v>
      </c>
      <c r="AA252" s="563">
        <v>111063.67</v>
      </c>
      <c r="AB252" s="563"/>
      <c r="AC252" s="563"/>
      <c r="AD252" s="563">
        <v>462711.68</v>
      </c>
      <c r="AE252" s="124"/>
      <c r="AF252" s="541">
        <v>536</v>
      </c>
      <c r="AG252" s="540" t="s">
        <v>269</v>
      </c>
      <c r="AH252" s="442" t="s">
        <v>18</v>
      </c>
      <c r="AI252" s="552" t="s">
        <v>268</v>
      </c>
      <c r="AJ252" s="563">
        <v>0</v>
      </c>
      <c r="AK252" s="563">
        <v>340351.96</v>
      </c>
      <c r="AL252" s="563">
        <v>114126.39</v>
      </c>
      <c r="AM252" s="563"/>
      <c r="AN252" s="563"/>
      <c r="AO252" s="563">
        <v>454478.35000000003</v>
      </c>
      <c r="AR252" s="124">
        <f>+L252</f>
        <v>66286.399999999994</v>
      </c>
      <c r="AS252" s="124">
        <f>+F252</f>
        <v>38530.68</v>
      </c>
      <c r="AV252" s="372">
        <f t="shared" si="8"/>
        <v>104817.07999999999</v>
      </c>
      <c r="AW252" s="124">
        <f>+AV252+AO252-P252</f>
        <v>0</v>
      </c>
      <c r="AZ252" s="563">
        <v>0</v>
      </c>
      <c r="BA252" s="563">
        <v>8445.2999999999993</v>
      </c>
      <c r="BB252" s="563">
        <v>2941.28</v>
      </c>
      <c r="BC252" s="563"/>
      <c r="BD252" s="563"/>
      <c r="BE252" s="563">
        <v>11386.58</v>
      </c>
      <c r="BF252" s="372"/>
      <c r="BO252" s="563">
        <v>0</v>
      </c>
      <c r="BP252" s="563">
        <v>766731.66999999993</v>
      </c>
      <c r="BQ252" s="563">
        <v>266662.02</v>
      </c>
      <c r="BR252" s="563"/>
      <c r="BS252" s="563"/>
      <c r="BT252" s="563">
        <v>1033393.69</v>
      </c>
      <c r="BW252" s="126">
        <v>227</v>
      </c>
      <c r="BX252" s="125">
        <v>32414</v>
      </c>
      <c r="BY252" s="19" t="s">
        <v>18</v>
      </c>
      <c r="BZ252" t="s">
        <v>788</v>
      </c>
    </row>
    <row r="253" spans="1:78" x14ac:dyDescent="0.3">
      <c r="A253" s="436">
        <v>32363</v>
      </c>
      <c r="B253" s="19" t="s">
        <v>18</v>
      </c>
      <c r="C253" t="s">
        <v>600</v>
      </c>
      <c r="D253" s="563"/>
      <c r="E253" s="120"/>
      <c r="F253" s="563">
        <v>233989.71000000002</v>
      </c>
      <c r="G253" s="120">
        <v>4.243666908808152E-4</v>
      </c>
      <c r="H253" s="563">
        <v>683140.54</v>
      </c>
      <c r="I253" s="120">
        <v>2.5003581424211186E-3</v>
      </c>
      <c r="J253" s="563"/>
      <c r="K253" s="120"/>
      <c r="L253" s="563">
        <v>396949.68</v>
      </c>
      <c r="M253" s="120">
        <v>2.750728970374706E-3</v>
      </c>
      <c r="N253" s="563">
        <v>2049717.12</v>
      </c>
      <c r="O253" s="120">
        <v>2.7751831929040266E-3</v>
      </c>
      <c r="P253" s="124">
        <v>3363797.05</v>
      </c>
      <c r="Q253" s="124"/>
      <c r="T253" s="373"/>
      <c r="U253" s="541">
        <v>1077</v>
      </c>
      <c r="V253" s="540" t="s">
        <v>601</v>
      </c>
      <c r="W253" s="442" t="s">
        <v>18</v>
      </c>
      <c r="X253" s="552" t="s">
        <v>600</v>
      </c>
      <c r="Y253" s="563"/>
      <c r="Z253" s="563">
        <v>2019622.86</v>
      </c>
      <c r="AA253" s="563">
        <v>687507.79</v>
      </c>
      <c r="AB253" s="563"/>
      <c r="AC253" s="563"/>
      <c r="AD253" s="563">
        <v>2707130.6500000004</v>
      </c>
      <c r="AE253" s="124"/>
      <c r="AF253" s="541">
        <v>1077</v>
      </c>
      <c r="AG253" s="540" t="s">
        <v>601</v>
      </c>
      <c r="AH253" s="442" t="s">
        <v>18</v>
      </c>
      <c r="AI253" s="552" t="s">
        <v>600</v>
      </c>
      <c r="AJ253" s="563"/>
      <c r="AK253" s="563">
        <v>2049717.12</v>
      </c>
      <c r="AL253" s="563">
        <v>683140.54</v>
      </c>
      <c r="AM253" s="563"/>
      <c r="AN253" s="563"/>
      <c r="AO253" s="563">
        <v>2732857.66</v>
      </c>
      <c r="AR253" s="124">
        <f>+L253</f>
        <v>396949.68</v>
      </c>
      <c r="AS253" s="124">
        <f>+F253</f>
        <v>233989.71000000002</v>
      </c>
      <c r="AV253" s="372">
        <f t="shared" si="8"/>
        <v>630939.39</v>
      </c>
      <c r="AW253" s="124">
        <f>+AV253+AO253-P253</f>
        <v>0</v>
      </c>
      <c r="AZ253" s="563"/>
      <c r="BA253" s="563">
        <v>50860.950000000004</v>
      </c>
      <c r="BB253" s="563">
        <v>17606.260000000002</v>
      </c>
      <c r="BC253" s="563"/>
      <c r="BD253" s="563"/>
      <c r="BE253" s="563">
        <v>68467.210000000006</v>
      </c>
      <c r="BF253" s="372"/>
      <c r="BO253" s="563"/>
      <c r="BP253" s="563">
        <v>4517150.6099999994</v>
      </c>
      <c r="BQ253" s="563">
        <v>1622244.3</v>
      </c>
      <c r="BR253" s="563"/>
      <c r="BS253" s="563"/>
      <c r="BT253" s="563">
        <v>6139394.9099999992</v>
      </c>
      <c r="BW253" s="126">
        <v>815</v>
      </c>
      <c r="BX253" s="125">
        <v>32416</v>
      </c>
      <c r="BY253" s="19" t="s">
        <v>18</v>
      </c>
      <c r="BZ253" t="s">
        <v>943</v>
      </c>
    </row>
    <row r="254" spans="1:78" x14ac:dyDescent="0.3">
      <c r="A254" s="436">
        <v>32414</v>
      </c>
      <c r="B254" s="19" t="s">
        <v>18</v>
      </c>
      <c r="C254" t="s">
        <v>134</v>
      </c>
      <c r="D254" s="563"/>
      <c r="E254" s="120"/>
      <c r="F254" s="563">
        <v>140843.37</v>
      </c>
      <c r="G254" s="120">
        <v>2.5543531319989363E-4</v>
      </c>
      <c r="H254" s="563">
        <v>416458.81</v>
      </c>
      <c r="I254" s="120">
        <v>1.5242781178913924E-3</v>
      </c>
      <c r="J254" s="563">
        <v>0</v>
      </c>
      <c r="K254" s="120">
        <v>0</v>
      </c>
      <c r="L254" s="563">
        <v>275083.21000000002</v>
      </c>
      <c r="M254" s="120">
        <v>1.9062349540391848E-3</v>
      </c>
      <c r="N254" s="563">
        <v>1413848.34</v>
      </c>
      <c r="O254" s="120">
        <v>1.9142583687271235E-3</v>
      </c>
      <c r="P254" s="124">
        <v>2246233.73</v>
      </c>
      <c r="Q254" s="124"/>
      <c r="T254" s="373"/>
      <c r="U254" s="541">
        <v>227</v>
      </c>
      <c r="V254" s="540" t="s">
        <v>135</v>
      </c>
      <c r="W254" s="442" t="s">
        <v>18</v>
      </c>
      <c r="X254" s="552" t="s">
        <v>134</v>
      </c>
      <c r="Y254" s="563">
        <v>0</v>
      </c>
      <c r="Z254" s="563">
        <v>1338919.72</v>
      </c>
      <c r="AA254" s="563">
        <v>386105.79000000004</v>
      </c>
      <c r="AB254" s="563"/>
      <c r="AC254" s="563"/>
      <c r="AD254" s="563">
        <v>1725025.51</v>
      </c>
      <c r="AE254" s="124"/>
      <c r="AF254" s="541">
        <v>227</v>
      </c>
      <c r="AG254" s="540" t="s">
        <v>135</v>
      </c>
      <c r="AH254" s="442" t="s">
        <v>18</v>
      </c>
      <c r="AI254" s="552" t="s">
        <v>134</v>
      </c>
      <c r="AJ254" s="563">
        <v>0</v>
      </c>
      <c r="AK254" s="563">
        <v>1413848.34</v>
      </c>
      <c r="AL254" s="563">
        <v>416458.81</v>
      </c>
      <c r="AM254" s="563"/>
      <c r="AN254" s="563"/>
      <c r="AO254" s="563">
        <v>1830307.1500000001</v>
      </c>
      <c r="AR254" s="124">
        <f>+L254</f>
        <v>275083.21000000002</v>
      </c>
      <c r="AS254" s="124">
        <f>+F254</f>
        <v>140843.37</v>
      </c>
      <c r="AV254" s="372">
        <f t="shared" si="8"/>
        <v>415926.58</v>
      </c>
      <c r="AW254" s="124">
        <f>+AV254+AO254-P254</f>
        <v>0</v>
      </c>
      <c r="AZ254" s="563">
        <v>0</v>
      </c>
      <c r="BA254" s="563">
        <v>35082.880000000005</v>
      </c>
      <c r="BB254" s="563">
        <v>10733.310000000001</v>
      </c>
      <c r="BC254" s="563"/>
      <c r="BD254" s="563"/>
      <c r="BE254" s="563">
        <v>45816.19</v>
      </c>
      <c r="BF254" s="372"/>
      <c r="BO254" s="563">
        <v>0</v>
      </c>
      <c r="BP254" s="563">
        <v>3062934.15</v>
      </c>
      <c r="BQ254" s="563">
        <v>954141.28</v>
      </c>
      <c r="BR254" s="563"/>
      <c r="BS254" s="563"/>
      <c r="BT254" s="563">
        <v>4017075.4299999997</v>
      </c>
      <c r="BW254" s="126">
        <v>259</v>
      </c>
      <c r="BX254" s="125">
        <v>32801</v>
      </c>
      <c r="BY254" s="19" t="s">
        <v>18</v>
      </c>
      <c r="BZ254" t="s">
        <v>796</v>
      </c>
    </row>
    <row r="255" spans="1:78" x14ac:dyDescent="0.3">
      <c r="A255" s="436">
        <v>32416</v>
      </c>
      <c r="B255" s="19" t="s">
        <v>18</v>
      </c>
      <c r="C255" t="s">
        <v>460</v>
      </c>
      <c r="D255" s="563"/>
      <c r="E255" s="120"/>
      <c r="F255" s="563">
        <v>92033.59</v>
      </c>
      <c r="G255" s="120">
        <v>1.6691328023861257E-4</v>
      </c>
      <c r="H255" s="563">
        <v>272007.33</v>
      </c>
      <c r="I255" s="120">
        <v>9.955722176343512E-4</v>
      </c>
      <c r="J255" s="563">
        <v>0</v>
      </c>
      <c r="K255" s="120">
        <v>0</v>
      </c>
      <c r="L255" s="563">
        <v>162543.51999999999</v>
      </c>
      <c r="M255" s="120">
        <v>1.1263724142835444E-3</v>
      </c>
      <c r="N255" s="563">
        <v>832604.12</v>
      </c>
      <c r="O255" s="120">
        <v>1.1272916333775107E-3</v>
      </c>
      <c r="P255" s="124">
        <v>1359188.56</v>
      </c>
      <c r="Q255" s="124"/>
      <c r="T255" s="373"/>
      <c r="U255" s="541">
        <v>815</v>
      </c>
      <c r="V255" s="540" t="s">
        <v>461</v>
      </c>
      <c r="W255" s="442" t="s">
        <v>18</v>
      </c>
      <c r="X255" s="552" t="s">
        <v>460</v>
      </c>
      <c r="Y255" s="563">
        <v>0</v>
      </c>
      <c r="Z255" s="563">
        <v>741484.32000000007</v>
      </c>
      <c r="AA255" s="563">
        <v>246393.46000000002</v>
      </c>
      <c r="AB255" s="563"/>
      <c r="AC255" s="563"/>
      <c r="AD255" s="563">
        <v>987877.78</v>
      </c>
      <c r="AE255" s="124"/>
      <c r="AF255" s="541">
        <v>815</v>
      </c>
      <c r="AG255" s="540" t="s">
        <v>461</v>
      </c>
      <c r="AH255" s="442" t="s">
        <v>18</v>
      </c>
      <c r="AI255" s="552" t="s">
        <v>460</v>
      </c>
      <c r="AJ255" s="563">
        <v>0</v>
      </c>
      <c r="AK255" s="563">
        <v>832604.12</v>
      </c>
      <c r="AL255" s="563">
        <v>272007.33</v>
      </c>
      <c r="AM255" s="563"/>
      <c r="AN255" s="563"/>
      <c r="AO255" s="563">
        <v>1104611.45</v>
      </c>
      <c r="AR255" s="124">
        <f>+L255</f>
        <v>162543.51999999999</v>
      </c>
      <c r="AS255" s="124">
        <f>+F255</f>
        <v>92033.59</v>
      </c>
      <c r="AV255" s="372">
        <f t="shared" si="8"/>
        <v>254577.11</v>
      </c>
      <c r="AW255" s="124">
        <f>+AV255+AO255-P255</f>
        <v>0</v>
      </c>
      <c r="AZ255" s="563">
        <v>0</v>
      </c>
      <c r="BA255" s="563">
        <v>20659.73</v>
      </c>
      <c r="BB255" s="563">
        <v>7010.35</v>
      </c>
      <c r="BC255" s="563"/>
      <c r="BD255" s="563"/>
      <c r="BE255" s="563">
        <v>27670.080000000002</v>
      </c>
      <c r="BF255" s="372"/>
      <c r="BO255" s="563">
        <v>0</v>
      </c>
      <c r="BP255" s="563">
        <v>1757291.69</v>
      </c>
      <c r="BQ255" s="563">
        <v>617444.73</v>
      </c>
      <c r="BR255" s="563"/>
      <c r="BS255" s="563"/>
      <c r="BT255" s="563">
        <v>2374736.42</v>
      </c>
      <c r="BW255" s="126">
        <v>2632</v>
      </c>
      <c r="BX255" s="125">
        <v>32901</v>
      </c>
      <c r="BY255" s="19" t="s">
        <v>1039</v>
      </c>
      <c r="BZ255" t="s">
        <v>1025</v>
      </c>
    </row>
    <row r="256" spans="1:78" x14ac:dyDescent="0.3">
      <c r="A256" s="436">
        <v>32801</v>
      </c>
      <c r="B256" s="19" t="s">
        <v>18</v>
      </c>
      <c r="C256" t="s">
        <v>356</v>
      </c>
      <c r="D256" s="563"/>
      <c r="E256" s="120"/>
      <c r="F256" s="563">
        <v>412742.57999999996</v>
      </c>
      <c r="G256" s="120">
        <v>7.4855515167829441E-4</v>
      </c>
      <c r="H256" s="563">
        <v>1208850.47</v>
      </c>
      <c r="I256" s="120">
        <v>4.4245055572812234E-3</v>
      </c>
      <c r="J256" s="563"/>
      <c r="K256" s="120"/>
      <c r="L256" s="563">
        <v>28496.07</v>
      </c>
      <c r="M256" s="120">
        <v>1.9746826673553572E-4</v>
      </c>
      <c r="N256" s="563">
        <v>147770.89000000001</v>
      </c>
      <c r="O256" s="120">
        <v>2.0007213987092507E-4</v>
      </c>
      <c r="P256" s="124">
        <v>1797860.0099999998</v>
      </c>
      <c r="Q256" s="124"/>
      <c r="T256" s="373"/>
      <c r="U256" s="541">
        <v>259</v>
      </c>
      <c r="V256" s="540" t="s">
        <v>357</v>
      </c>
      <c r="W256" s="442" t="s">
        <v>18</v>
      </c>
      <c r="X256" s="552" t="s">
        <v>356</v>
      </c>
      <c r="Y256" s="563"/>
      <c r="Z256" s="563">
        <v>152426.09</v>
      </c>
      <c r="AA256" s="563">
        <v>1139594.1000000001</v>
      </c>
      <c r="AB256" s="563"/>
      <c r="AC256" s="563"/>
      <c r="AD256" s="563">
        <v>1292020.1900000002</v>
      </c>
      <c r="AE256" s="124"/>
      <c r="AF256" s="541">
        <v>259</v>
      </c>
      <c r="AG256" s="540" t="s">
        <v>357</v>
      </c>
      <c r="AH256" s="442" t="s">
        <v>18</v>
      </c>
      <c r="AI256" s="552" t="s">
        <v>356</v>
      </c>
      <c r="AJ256" s="563"/>
      <c r="AK256" s="563">
        <v>147770.89000000001</v>
      </c>
      <c r="AL256" s="563">
        <v>1208850.47</v>
      </c>
      <c r="AM256" s="563"/>
      <c r="AN256" s="563"/>
      <c r="AO256" s="563">
        <v>1356621.3599999999</v>
      </c>
      <c r="AR256" s="124">
        <f>+L256</f>
        <v>28496.07</v>
      </c>
      <c r="AS256" s="124">
        <f>+F256</f>
        <v>412742.57999999996</v>
      </c>
      <c r="AV256" s="372">
        <f t="shared" si="8"/>
        <v>441238.64999999997</v>
      </c>
      <c r="AW256" s="124">
        <f>+AV256+AO256-P256</f>
        <v>0</v>
      </c>
      <c r="AZ256" s="563"/>
      <c r="BA256" s="563">
        <v>3666.6299999999997</v>
      </c>
      <c r="BB256" s="563">
        <v>31155.79</v>
      </c>
      <c r="BC256" s="563"/>
      <c r="BD256" s="563"/>
      <c r="BE256" s="563">
        <v>34822.42</v>
      </c>
      <c r="BF256" s="372"/>
      <c r="BO256" s="563"/>
      <c r="BP256" s="563">
        <v>332359.67999999999</v>
      </c>
      <c r="BQ256" s="563">
        <v>2792342.94</v>
      </c>
      <c r="BR256" s="563"/>
      <c r="BS256" s="563"/>
      <c r="BT256" s="563">
        <v>3124702.62</v>
      </c>
      <c r="BW256" s="373">
        <v>4258</v>
      </c>
      <c r="BX256" s="259">
        <v>32903</v>
      </c>
      <c r="BY256" s="19" t="s">
        <v>1039</v>
      </c>
      <c r="BZ256" s="348" t="s">
        <v>1173</v>
      </c>
    </row>
    <row r="257" spans="1:78" x14ac:dyDescent="0.3">
      <c r="A257" s="436">
        <v>32901</v>
      </c>
      <c r="B257" s="19" t="s">
        <v>1039</v>
      </c>
      <c r="C257" t="s">
        <v>1034</v>
      </c>
      <c r="D257" s="563"/>
      <c r="E257" s="120"/>
      <c r="F257" s="563">
        <v>45424.24</v>
      </c>
      <c r="G257" s="120">
        <v>8.2381974893579543E-5</v>
      </c>
      <c r="H257" s="563">
        <v>133158.98000000001</v>
      </c>
      <c r="I257" s="120">
        <v>4.8737429618726899E-4</v>
      </c>
      <c r="J257" s="563"/>
      <c r="K257" s="120"/>
      <c r="L257" s="563">
        <v>79423.100000000006</v>
      </c>
      <c r="M257" s="120">
        <v>5.5037560954065349E-4</v>
      </c>
      <c r="N257" s="563">
        <v>409925.12</v>
      </c>
      <c r="O257" s="120">
        <v>5.5501185615952999E-4</v>
      </c>
      <c r="P257" s="124">
        <v>667931.43999999994</v>
      </c>
      <c r="Q257" s="124"/>
      <c r="T257" s="373"/>
      <c r="U257" s="541">
        <v>2632</v>
      </c>
      <c r="V257" s="540" t="s">
        <v>1061</v>
      </c>
      <c r="W257" s="442" t="s">
        <v>1039</v>
      </c>
      <c r="X257" s="552" t="s">
        <v>1034</v>
      </c>
      <c r="Y257" s="563"/>
      <c r="Z257" s="563">
        <v>371836.78</v>
      </c>
      <c r="AA257" s="563">
        <v>128669.90000000001</v>
      </c>
      <c r="AB257" s="563"/>
      <c r="AC257" s="563"/>
      <c r="AD257" s="563">
        <v>500506.68000000005</v>
      </c>
      <c r="AE257" s="124"/>
      <c r="AF257" s="541">
        <v>2632</v>
      </c>
      <c r="AG257" s="540" t="s">
        <v>1061</v>
      </c>
      <c r="AH257" s="442" t="s">
        <v>1039</v>
      </c>
      <c r="AI257" s="552" t="s">
        <v>1034</v>
      </c>
      <c r="AJ257" s="563"/>
      <c r="AK257" s="563">
        <v>409925.12</v>
      </c>
      <c r="AL257" s="563">
        <v>133158.98000000001</v>
      </c>
      <c r="AM257" s="563"/>
      <c r="AN257" s="563"/>
      <c r="AO257" s="563">
        <v>543084.1</v>
      </c>
      <c r="AR257" s="124">
        <f>+L257</f>
        <v>79423.100000000006</v>
      </c>
      <c r="AS257" s="124">
        <f>+F257</f>
        <v>45424.24</v>
      </c>
      <c r="AV257" s="372">
        <f t="shared" si="8"/>
        <v>124847.34</v>
      </c>
      <c r="AW257" s="124">
        <f>+AV257+AO257-P257</f>
        <v>0</v>
      </c>
      <c r="AZ257" s="563"/>
      <c r="BA257" s="563">
        <v>10171.68</v>
      </c>
      <c r="BB257" s="563">
        <v>3431.8</v>
      </c>
      <c r="BC257" s="563"/>
      <c r="BD257" s="563"/>
      <c r="BE257" s="563">
        <v>13603.48</v>
      </c>
      <c r="BF257" s="372"/>
      <c r="BO257" s="563"/>
      <c r="BP257" s="563">
        <v>871356.67999999993</v>
      </c>
      <c r="BQ257" s="563">
        <v>310684.92</v>
      </c>
      <c r="BR257" s="563"/>
      <c r="BS257" s="563"/>
      <c r="BT257" s="563">
        <v>1182041.5999999999</v>
      </c>
      <c r="BW257" s="126">
        <v>2635</v>
      </c>
      <c r="BX257" s="125">
        <v>32907</v>
      </c>
      <c r="BY257" s="19" t="s">
        <v>1039</v>
      </c>
      <c r="BZ257" t="s">
        <v>1030</v>
      </c>
    </row>
    <row r="258" spans="1:78" x14ac:dyDescent="0.3">
      <c r="A258" s="436">
        <v>32903</v>
      </c>
      <c r="B258" s="19" t="s">
        <v>1039</v>
      </c>
      <c r="C258" t="s">
        <v>1170</v>
      </c>
      <c r="D258" s="563"/>
      <c r="E258" s="120"/>
      <c r="F258" s="563">
        <v>7815.78</v>
      </c>
      <c r="G258" s="120">
        <v>1.4174797238957463E-5</v>
      </c>
      <c r="H258" s="563">
        <v>23082.309999999998</v>
      </c>
      <c r="I258" s="120">
        <v>8.4483409159685351E-5</v>
      </c>
      <c r="J258" s="563"/>
      <c r="K258" s="120"/>
      <c r="L258" s="563">
        <v>10260.289999999999</v>
      </c>
      <c r="M258" s="120">
        <v>7.1100389720545664E-5</v>
      </c>
      <c r="N258" s="563">
        <v>52789.760000000002</v>
      </c>
      <c r="O258" s="120">
        <v>7.1473889386959531E-5</v>
      </c>
      <c r="P258" s="124">
        <v>93948.14</v>
      </c>
      <c r="Q258" s="124"/>
      <c r="T258" s="373"/>
      <c r="U258" s="541">
        <v>4258</v>
      </c>
      <c r="V258" s="540" t="s">
        <v>1169</v>
      </c>
      <c r="W258" s="442" t="s">
        <v>1039</v>
      </c>
      <c r="X258" s="552" t="s">
        <v>1170</v>
      </c>
      <c r="Y258" s="563"/>
      <c r="Z258" s="563">
        <v>46593.38</v>
      </c>
      <c r="AA258" s="563">
        <v>19345.82</v>
      </c>
      <c r="AB258" s="563"/>
      <c r="AC258" s="563"/>
      <c r="AD258" s="563">
        <v>65939.199999999997</v>
      </c>
      <c r="AE258" s="124"/>
      <c r="AF258" s="541">
        <v>4258</v>
      </c>
      <c r="AG258" s="540" t="s">
        <v>1169</v>
      </c>
      <c r="AH258" s="442" t="s">
        <v>1039</v>
      </c>
      <c r="AI258" s="552" t="s">
        <v>1170</v>
      </c>
      <c r="AJ258" s="563"/>
      <c r="AK258" s="563">
        <v>52789.760000000002</v>
      </c>
      <c r="AL258" s="563">
        <v>23082.309999999998</v>
      </c>
      <c r="AM258" s="563"/>
      <c r="AN258" s="563"/>
      <c r="AO258" s="563">
        <v>75872.070000000007</v>
      </c>
      <c r="AR258" s="124">
        <f>+L258</f>
        <v>10260.289999999999</v>
      </c>
      <c r="AS258" s="124">
        <f>+F258</f>
        <v>7815.78</v>
      </c>
      <c r="AV258" s="372">
        <f t="shared" si="8"/>
        <v>18076.07</v>
      </c>
      <c r="AW258" s="124">
        <f>+AV258+AO258-P258</f>
        <v>0</v>
      </c>
      <c r="AZ258" s="563"/>
      <c r="BA258" s="563">
        <v>1309.74</v>
      </c>
      <c r="BB258" s="563">
        <v>594.81999999999994</v>
      </c>
      <c r="BC258" s="563"/>
      <c r="BD258" s="563"/>
      <c r="BE258" s="563">
        <v>1904.56</v>
      </c>
      <c r="BF258" s="372"/>
      <c r="BO258" s="563"/>
      <c r="BP258" s="563">
        <v>110953.17</v>
      </c>
      <c r="BQ258" s="563">
        <v>50838.73</v>
      </c>
      <c r="BR258" s="563"/>
      <c r="BS258" s="563"/>
      <c r="BT258" s="563">
        <v>161791.9</v>
      </c>
      <c r="BW258" s="126">
        <v>681</v>
      </c>
      <c r="BX258" s="125">
        <v>33030</v>
      </c>
      <c r="BY258" s="19" t="s">
        <v>18</v>
      </c>
      <c r="BZ258" t="s">
        <v>907</v>
      </c>
    </row>
    <row r="259" spans="1:78" x14ac:dyDescent="0.3">
      <c r="A259" s="436">
        <v>32907</v>
      </c>
      <c r="B259" s="19" t="s">
        <v>1039</v>
      </c>
      <c r="C259" t="s">
        <v>1037</v>
      </c>
      <c r="D259" s="563"/>
      <c r="E259" s="120"/>
      <c r="F259" s="563">
        <v>12442.83</v>
      </c>
      <c r="G259" s="120">
        <v>2.2566473509850213E-5</v>
      </c>
      <c r="H259" s="563">
        <v>36143.199999999997</v>
      </c>
      <c r="I259" s="120">
        <v>1.3228748569533725E-4</v>
      </c>
      <c r="J259" s="563"/>
      <c r="K259" s="120"/>
      <c r="L259" s="563">
        <v>32783.96</v>
      </c>
      <c r="M259" s="120">
        <v>2.2718191518785339E-4</v>
      </c>
      <c r="N259" s="563">
        <v>170738.83000000002</v>
      </c>
      <c r="O259" s="120">
        <v>2.3116923148502454E-4</v>
      </c>
      <c r="P259" s="124">
        <v>252108.82</v>
      </c>
      <c r="Q259" s="124"/>
      <c r="T259" s="373"/>
      <c r="U259" s="545">
        <v>2635</v>
      </c>
      <c r="V259" s="540" t="s">
        <v>1063</v>
      </c>
      <c r="W259" s="442" t="s">
        <v>1039</v>
      </c>
      <c r="X259" s="552" t="s">
        <v>1037</v>
      </c>
      <c r="Y259" s="563"/>
      <c r="Z259" s="563">
        <v>151851.38</v>
      </c>
      <c r="AA259" s="563">
        <v>29682.729999999996</v>
      </c>
      <c r="AB259" s="563"/>
      <c r="AC259" s="563"/>
      <c r="AD259" s="563">
        <v>181534.11</v>
      </c>
      <c r="AE259" s="124"/>
      <c r="AF259" s="545">
        <v>2635</v>
      </c>
      <c r="AG259" s="540" t="s">
        <v>1063</v>
      </c>
      <c r="AH259" s="442" t="s">
        <v>1039</v>
      </c>
      <c r="AI259" s="552" t="s">
        <v>1037</v>
      </c>
      <c r="AJ259" s="563"/>
      <c r="AK259" s="563">
        <v>170738.83000000002</v>
      </c>
      <c r="AL259" s="563">
        <v>36143.199999999997</v>
      </c>
      <c r="AM259" s="563"/>
      <c r="AN259" s="563"/>
      <c r="AO259" s="563">
        <v>206882.03000000003</v>
      </c>
      <c r="AR259" s="124">
        <f>+L259</f>
        <v>32783.96</v>
      </c>
      <c r="AS259" s="124">
        <f>+F259</f>
        <v>12442.83</v>
      </c>
      <c r="AV259" s="372">
        <f t="shared" si="8"/>
        <v>45226.79</v>
      </c>
      <c r="AW259" s="124">
        <f>+AV259+AO259-P259</f>
        <v>0</v>
      </c>
      <c r="AZ259" s="563"/>
      <c r="BA259" s="563">
        <v>4236.53</v>
      </c>
      <c r="BB259" s="563">
        <v>931.4</v>
      </c>
      <c r="BC259" s="563"/>
      <c r="BD259" s="563"/>
      <c r="BE259" s="563">
        <v>5167.9299999999994</v>
      </c>
      <c r="BF259" s="372"/>
      <c r="BO259" s="563"/>
      <c r="BP259" s="563">
        <v>359610.69999999995</v>
      </c>
      <c r="BQ259" s="563">
        <v>79200.160000000003</v>
      </c>
      <c r="BR259" s="563"/>
      <c r="BS259" s="563"/>
      <c r="BT259" s="563">
        <v>438810.86</v>
      </c>
      <c r="BW259" s="126">
        <v>135</v>
      </c>
      <c r="BX259" s="125">
        <v>33036</v>
      </c>
      <c r="BY259" s="19" t="s">
        <v>18</v>
      </c>
      <c r="BZ259" t="s">
        <v>764</v>
      </c>
    </row>
    <row r="260" spans="1:78" x14ac:dyDescent="0.3">
      <c r="A260" s="436">
        <v>33030</v>
      </c>
      <c r="B260" s="19" t="s">
        <v>18</v>
      </c>
      <c r="C260" t="s">
        <v>386</v>
      </c>
      <c r="D260" s="563"/>
      <c r="E260" s="120"/>
      <c r="F260" s="563">
        <v>4756.53</v>
      </c>
      <c r="G260" s="120">
        <v>8.6265028328610001E-6</v>
      </c>
      <c r="H260" s="563">
        <v>13993.920000000002</v>
      </c>
      <c r="I260" s="120">
        <v>5.1219053426970888E-5</v>
      </c>
      <c r="J260" s="563"/>
      <c r="K260" s="120"/>
      <c r="L260" s="563">
        <v>5387.33</v>
      </c>
      <c r="M260" s="120">
        <v>3.7332401184877549E-5</v>
      </c>
      <c r="N260" s="563">
        <v>27684.880000000001</v>
      </c>
      <c r="O260" s="120">
        <v>3.748352049358149E-5</v>
      </c>
      <c r="P260" s="124">
        <v>51822.66</v>
      </c>
      <c r="Q260" s="124"/>
      <c r="T260" s="373"/>
      <c r="U260" s="541">
        <v>681</v>
      </c>
      <c r="V260" s="540" t="s">
        <v>387</v>
      </c>
      <c r="W260" s="442" t="s">
        <v>18</v>
      </c>
      <c r="X260" s="552" t="s">
        <v>386</v>
      </c>
      <c r="Y260" s="563"/>
      <c r="Z260" s="563">
        <v>21503.64</v>
      </c>
      <c r="AA260" s="563">
        <v>11433.06</v>
      </c>
      <c r="AB260" s="563"/>
      <c r="AC260" s="563"/>
      <c r="AD260" s="563">
        <v>32936.699999999997</v>
      </c>
      <c r="AE260" s="124"/>
      <c r="AF260" s="541">
        <v>681</v>
      </c>
      <c r="AG260" s="540" t="s">
        <v>387</v>
      </c>
      <c r="AH260" s="442" t="s">
        <v>18</v>
      </c>
      <c r="AI260" s="552" t="s">
        <v>386</v>
      </c>
      <c r="AJ260" s="563"/>
      <c r="AK260" s="563">
        <v>27684.880000000001</v>
      </c>
      <c r="AL260" s="563">
        <v>13993.920000000002</v>
      </c>
      <c r="AM260" s="563"/>
      <c r="AN260" s="563"/>
      <c r="AO260" s="563">
        <v>41678.800000000003</v>
      </c>
      <c r="AR260" s="124">
        <f>+L260</f>
        <v>5387.33</v>
      </c>
      <c r="AS260" s="124">
        <f>+F260</f>
        <v>4756.53</v>
      </c>
      <c r="AV260" s="372">
        <f t="shared" si="8"/>
        <v>10143.86</v>
      </c>
      <c r="AW260" s="124">
        <f>+AV260+AO260-P260</f>
        <v>0</v>
      </c>
      <c r="AZ260" s="563"/>
      <c r="BA260" s="563">
        <v>686.86</v>
      </c>
      <c r="BB260" s="563">
        <v>360.55</v>
      </c>
      <c r="BC260" s="563"/>
      <c r="BD260" s="563"/>
      <c r="BE260" s="563">
        <v>1047.4100000000001</v>
      </c>
      <c r="BF260" s="372"/>
      <c r="BO260" s="563"/>
      <c r="BP260" s="563">
        <v>55262.710000000006</v>
      </c>
      <c r="BQ260" s="563">
        <v>30544.059999999998</v>
      </c>
      <c r="BR260" s="563"/>
      <c r="BS260" s="563"/>
      <c r="BT260" s="563">
        <v>85806.77</v>
      </c>
      <c r="BW260" s="126">
        <v>1069</v>
      </c>
      <c r="BX260" s="125">
        <v>33049</v>
      </c>
      <c r="BY260" s="19" t="s">
        <v>18</v>
      </c>
      <c r="BZ260" t="s">
        <v>1006</v>
      </c>
    </row>
    <row r="261" spans="1:78" x14ac:dyDescent="0.3">
      <c r="A261" s="436">
        <v>33036</v>
      </c>
      <c r="B261" s="19" t="s">
        <v>18</v>
      </c>
      <c r="C261" t="s">
        <v>86</v>
      </c>
      <c r="D261" s="563"/>
      <c r="E261" s="120"/>
      <c r="F261" s="563">
        <v>56195.17</v>
      </c>
      <c r="G261" s="120">
        <v>1.0191626946494724E-4</v>
      </c>
      <c r="H261" s="563">
        <v>165780.54999999999</v>
      </c>
      <c r="I261" s="120">
        <v>6.0677228736498543E-4</v>
      </c>
      <c r="J261" s="563">
        <v>0</v>
      </c>
      <c r="K261" s="120">
        <v>0</v>
      </c>
      <c r="L261" s="563">
        <v>89628.33</v>
      </c>
      <c r="M261" s="120">
        <v>6.2109445181390344E-4</v>
      </c>
      <c r="N261" s="563">
        <v>459499.92000000004</v>
      </c>
      <c r="O261" s="120">
        <v>6.2213289955091212E-4</v>
      </c>
      <c r="P261" s="124">
        <v>771103.97</v>
      </c>
      <c r="Q261" s="124"/>
      <c r="T261" s="373"/>
      <c r="U261" s="541">
        <v>135</v>
      </c>
      <c r="V261" s="540" t="s">
        <v>87</v>
      </c>
      <c r="W261" s="442" t="s">
        <v>18</v>
      </c>
      <c r="X261" s="552" t="s">
        <v>86</v>
      </c>
      <c r="Y261" s="563">
        <v>0</v>
      </c>
      <c r="Z261" s="563">
        <v>427828.11</v>
      </c>
      <c r="AA261" s="563">
        <v>166764.65</v>
      </c>
      <c r="AB261" s="563"/>
      <c r="AC261" s="563"/>
      <c r="AD261" s="563">
        <v>594592.76</v>
      </c>
      <c r="AE261" s="124"/>
      <c r="AF261" s="541">
        <v>135</v>
      </c>
      <c r="AG261" s="540" t="s">
        <v>87</v>
      </c>
      <c r="AH261" s="442" t="s">
        <v>18</v>
      </c>
      <c r="AI261" s="552" t="s">
        <v>86</v>
      </c>
      <c r="AJ261" s="563">
        <v>0</v>
      </c>
      <c r="AK261" s="563">
        <v>459499.92000000004</v>
      </c>
      <c r="AL261" s="563">
        <v>165780.54999999999</v>
      </c>
      <c r="AM261" s="563"/>
      <c r="AN261" s="563"/>
      <c r="AO261" s="563">
        <v>625280.47</v>
      </c>
      <c r="AR261" s="124">
        <f>+L261</f>
        <v>89628.33</v>
      </c>
      <c r="AS261" s="124">
        <f>+F261</f>
        <v>56195.17</v>
      </c>
      <c r="AV261" s="372">
        <f t="shared" si="8"/>
        <v>145823.5</v>
      </c>
      <c r="AW261" s="124">
        <f>+AV261+AO261-P261</f>
        <v>0</v>
      </c>
      <c r="AZ261" s="563">
        <v>0</v>
      </c>
      <c r="BA261" s="563">
        <v>11401.009999999998</v>
      </c>
      <c r="BB261" s="563">
        <v>4273.41</v>
      </c>
      <c r="BC261" s="563"/>
      <c r="BD261" s="563"/>
      <c r="BE261" s="563">
        <v>15674.419999999998</v>
      </c>
      <c r="BF261" s="372"/>
      <c r="BO261" s="563">
        <v>0</v>
      </c>
      <c r="BP261" s="563">
        <v>988357.37</v>
      </c>
      <c r="BQ261" s="563">
        <v>393013.78</v>
      </c>
      <c r="BR261" s="563"/>
      <c r="BS261" s="563"/>
      <c r="BT261" s="563">
        <v>1381371.15</v>
      </c>
      <c r="BW261" s="126">
        <v>1026</v>
      </c>
      <c r="BX261" s="125">
        <v>33070</v>
      </c>
      <c r="BY261" s="19" t="s">
        <v>18</v>
      </c>
      <c r="BZ261" t="s">
        <v>994</v>
      </c>
    </row>
    <row r="262" spans="1:78" x14ac:dyDescent="0.3">
      <c r="A262" s="436">
        <v>33049</v>
      </c>
      <c r="B262" s="19" t="s">
        <v>18</v>
      </c>
      <c r="C262" t="s">
        <v>594</v>
      </c>
      <c r="D262" s="563"/>
      <c r="E262" s="120"/>
      <c r="F262" s="563">
        <v>56259.21</v>
      </c>
      <c r="G262" s="120">
        <v>1.0203241321709773E-4</v>
      </c>
      <c r="H262" s="563">
        <v>165903.5</v>
      </c>
      <c r="I262" s="120">
        <v>6.0722229584144133E-4</v>
      </c>
      <c r="J262" s="563"/>
      <c r="K262" s="120"/>
      <c r="L262" s="563">
        <v>70463.87</v>
      </c>
      <c r="M262" s="120">
        <v>4.8829113194830413E-4</v>
      </c>
      <c r="N262" s="563">
        <v>361658.1</v>
      </c>
      <c r="O262" s="120">
        <v>4.8966146152772713E-4</v>
      </c>
      <c r="P262" s="124">
        <v>654284.67999999993</v>
      </c>
      <c r="Q262" s="124"/>
      <c r="T262" s="373"/>
      <c r="U262" s="541">
        <v>1069</v>
      </c>
      <c r="V262" s="540" t="s">
        <v>595</v>
      </c>
      <c r="W262" s="442" t="s">
        <v>18</v>
      </c>
      <c r="X262" s="552" t="s">
        <v>594</v>
      </c>
      <c r="Y262" s="563"/>
      <c r="Z262" s="563">
        <v>355091.63</v>
      </c>
      <c r="AA262" s="563">
        <v>154961.81</v>
      </c>
      <c r="AB262" s="563"/>
      <c r="AC262" s="563"/>
      <c r="AD262" s="563">
        <v>510053.44</v>
      </c>
      <c r="AE262" s="124"/>
      <c r="AF262" s="541">
        <v>1069</v>
      </c>
      <c r="AG262" s="540" t="s">
        <v>595</v>
      </c>
      <c r="AH262" s="442" t="s">
        <v>18</v>
      </c>
      <c r="AI262" s="552" t="s">
        <v>594</v>
      </c>
      <c r="AJ262" s="563"/>
      <c r="AK262" s="563">
        <v>361658.1</v>
      </c>
      <c r="AL262" s="563">
        <v>165903.5</v>
      </c>
      <c r="AM262" s="563"/>
      <c r="AN262" s="563"/>
      <c r="AO262" s="563">
        <v>527561.6</v>
      </c>
      <c r="AR262" s="124">
        <f>+L262</f>
        <v>70463.87</v>
      </c>
      <c r="AS262" s="124">
        <f>+F262</f>
        <v>56259.21</v>
      </c>
      <c r="AV262" s="372">
        <f t="shared" si="8"/>
        <v>126723.07999999999</v>
      </c>
      <c r="AW262" s="124">
        <f>+AV262+AO262-P262</f>
        <v>0</v>
      </c>
      <c r="AZ262" s="563"/>
      <c r="BA262" s="563">
        <v>8973.49</v>
      </c>
      <c r="BB262" s="563">
        <v>4277.7</v>
      </c>
      <c r="BC262" s="563"/>
      <c r="BD262" s="563"/>
      <c r="BE262" s="563">
        <v>13251.189999999999</v>
      </c>
      <c r="BF262" s="372"/>
      <c r="BO262" s="563"/>
      <c r="BP262" s="563">
        <v>796187.09</v>
      </c>
      <c r="BQ262" s="563">
        <v>381402.22</v>
      </c>
      <c r="BR262" s="563"/>
      <c r="BS262" s="563"/>
      <c r="BT262" s="563">
        <v>1177589.31</v>
      </c>
      <c r="BW262" s="126">
        <v>175</v>
      </c>
      <c r="BX262" s="125">
        <v>33115</v>
      </c>
      <c r="BY262" s="19" t="s">
        <v>18</v>
      </c>
      <c r="BZ262" t="s">
        <v>774</v>
      </c>
    </row>
    <row r="263" spans="1:78" x14ac:dyDescent="0.3">
      <c r="A263" s="436">
        <v>33070</v>
      </c>
      <c r="B263" s="19" t="s">
        <v>18</v>
      </c>
      <c r="C263" t="s">
        <v>570</v>
      </c>
      <c r="D263" s="563"/>
      <c r="E263" s="120"/>
      <c r="F263" s="563">
        <v>98859.790000000008</v>
      </c>
      <c r="G263" s="120">
        <v>1.7929336270160046E-4</v>
      </c>
      <c r="H263" s="563">
        <v>289836.81</v>
      </c>
      <c r="I263" s="120">
        <v>1.0608297786819424E-3</v>
      </c>
      <c r="J263" s="563"/>
      <c r="K263" s="120"/>
      <c r="L263" s="563">
        <v>85905.040000000008</v>
      </c>
      <c r="M263" s="120">
        <v>5.9529329316803574E-4</v>
      </c>
      <c r="N263" s="563">
        <v>436819.92000000004</v>
      </c>
      <c r="O263" s="120">
        <v>5.9142565990261207E-4</v>
      </c>
      <c r="P263" s="124">
        <v>911421.56</v>
      </c>
      <c r="Q263" s="124"/>
      <c r="T263" s="373"/>
      <c r="U263" s="541">
        <v>1026</v>
      </c>
      <c r="V263" s="540" t="s">
        <v>571</v>
      </c>
      <c r="W263" s="442" t="s">
        <v>18</v>
      </c>
      <c r="X263" s="552" t="s">
        <v>570</v>
      </c>
      <c r="Y263" s="563"/>
      <c r="Z263" s="563">
        <v>460420.77</v>
      </c>
      <c r="AA263" s="563">
        <v>272245.72000000003</v>
      </c>
      <c r="AB263" s="563"/>
      <c r="AC263" s="563"/>
      <c r="AD263" s="563">
        <v>732666.49</v>
      </c>
      <c r="AE263" s="124"/>
      <c r="AF263" s="541">
        <v>1026</v>
      </c>
      <c r="AG263" s="540" t="s">
        <v>571</v>
      </c>
      <c r="AH263" s="442" t="s">
        <v>18</v>
      </c>
      <c r="AI263" s="552" t="s">
        <v>570</v>
      </c>
      <c r="AJ263" s="563"/>
      <c r="AK263" s="563">
        <v>436819.92000000004</v>
      </c>
      <c r="AL263" s="563">
        <v>289836.81</v>
      </c>
      <c r="AM263" s="563"/>
      <c r="AN263" s="563"/>
      <c r="AO263" s="563">
        <v>726656.73</v>
      </c>
      <c r="AR263" s="124">
        <f>+L263</f>
        <v>85905.040000000008</v>
      </c>
      <c r="AS263" s="124">
        <f>+F263</f>
        <v>98859.790000000008</v>
      </c>
      <c r="AV263" s="372">
        <f t="shared" si="8"/>
        <v>184764.83000000002</v>
      </c>
      <c r="AW263" s="124">
        <f>+AV263+AO263-P263</f>
        <v>0</v>
      </c>
      <c r="AZ263" s="563"/>
      <c r="BA263" s="563">
        <v>10836.23</v>
      </c>
      <c r="BB263" s="563">
        <v>7458.98</v>
      </c>
      <c r="BC263" s="563"/>
      <c r="BD263" s="563"/>
      <c r="BE263" s="563">
        <v>18295.21</v>
      </c>
      <c r="BF263" s="372"/>
      <c r="BO263" s="563"/>
      <c r="BP263" s="563">
        <v>993981.96</v>
      </c>
      <c r="BQ263" s="563">
        <v>668401.30000000005</v>
      </c>
      <c r="BR263" s="563"/>
      <c r="BS263" s="563"/>
      <c r="BT263" s="563">
        <v>1662383.26</v>
      </c>
      <c r="BW263" s="126">
        <v>551</v>
      </c>
      <c r="BX263" s="125">
        <v>33183</v>
      </c>
      <c r="BY263" s="19" t="s">
        <v>18</v>
      </c>
      <c r="BZ263" t="s">
        <v>856</v>
      </c>
    </row>
    <row r="264" spans="1:78" x14ac:dyDescent="0.3">
      <c r="A264" s="436">
        <v>33115</v>
      </c>
      <c r="B264" s="19" t="s">
        <v>18</v>
      </c>
      <c r="C264" t="s">
        <v>106</v>
      </c>
      <c r="D264" s="563"/>
      <c r="E264" s="120"/>
      <c r="F264" s="563">
        <v>115212.23000000001</v>
      </c>
      <c r="G264" s="120">
        <v>2.0895035424463488E-4</v>
      </c>
      <c r="H264" s="563">
        <v>337213.12</v>
      </c>
      <c r="I264" s="120">
        <v>1.2342314955034431E-3</v>
      </c>
      <c r="J264" s="563">
        <v>0</v>
      </c>
      <c r="K264" s="120">
        <v>0</v>
      </c>
      <c r="L264" s="563">
        <v>178151.01</v>
      </c>
      <c r="M264" s="120">
        <v>1.234527117665176E-3</v>
      </c>
      <c r="N264" s="563">
        <v>920436.97</v>
      </c>
      <c r="O264" s="120">
        <v>1.2462115793185683E-3</v>
      </c>
      <c r="P264" s="124">
        <v>1551013.33</v>
      </c>
      <c r="Q264" s="124"/>
      <c r="T264" s="373"/>
      <c r="U264" s="541">
        <v>175</v>
      </c>
      <c r="V264" s="540" t="s">
        <v>107</v>
      </c>
      <c r="W264" s="442" t="s">
        <v>18</v>
      </c>
      <c r="X264" s="552" t="s">
        <v>106</v>
      </c>
      <c r="Y264" s="563">
        <v>0</v>
      </c>
      <c r="Z264" s="563">
        <v>943619.71</v>
      </c>
      <c r="AA264" s="563">
        <v>334618.94</v>
      </c>
      <c r="AB264" s="563"/>
      <c r="AC264" s="563"/>
      <c r="AD264" s="563">
        <v>1278238.6499999999</v>
      </c>
      <c r="AE264" s="124"/>
      <c r="AF264" s="541">
        <v>175</v>
      </c>
      <c r="AG264" s="540" t="s">
        <v>107</v>
      </c>
      <c r="AH264" s="442" t="s">
        <v>18</v>
      </c>
      <c r="AI264" s="552" t="s">
        <v>106</v>
      </c>
      <c r="AJ264" s="563">
        <v>0</v>
      </c>
      <c r="AK264" s="563">
        <v>920436.97</v>
      </c>
      <c r="AL264" s="563">
        <v>337213.12</v>
      </c>
      <c r="AM264" s="563"/>
      <c r="AN264" s="563"/>
      <c r="AO264" s="563">
        <v>1257650.0899999999</v>
      </c>
      <c r="AR264" s="124">
        <f>+L264</f>
        <v>178151.01</v>
      </c>
      <c r="AS264" s="124">
        <f>+F264</f>
        <v>115212.23000000001</v>
      </c>
      <c r="AV264" s="372">
        <f t="shared" ref="AV264:AV326" si="9">SUM(AQ264:AU264)</f>
        <v>293363.24</v>
      </c>
      <c r="AW264" s="124">
        <f>+AV264+AO264-P264</f>
        <v>0</v>
      </c>
      <c r="AZ264" s="563">
        <v>0</v>
      </c>
      <c r="BA264" s="563">
        <v>22839.48</v>
      </c>
      <c r="BB264" s="563">
        <v>8690.8799999999992</v>
      </c>
      <c r="BC264" s="563"/>
      <c r="BD264" s="563"/>
      <c r="BE264" s="563">
        <v>31530.36</v>
      </c>
      <c r="BF264" s="372"/>
      <c r="BO264" s="563">
        <v>0</v>
      </c>
      <c r="BP264" s="563">
        <v>2065047.17</v>
      </c>
      <c r="BQ264" s="563">
        <v>795735.16999999993</v>
      </c>
      <c r="BR264" s="563"/>
      <c r="BS264" s="563"/>
      <c r="BT264" s="563">
        <v>2860782.34</v>
      </c>
      <c r="BW264" s="126">
        <v>953</v>
      </c>
      <c r="BX264" s="125">
        <v>33202</v>
      </c>
      <c r="BY264" s="19" t="s">
        <v>18</v>
      </c>
      <c r="BZ264" t="s">
        <v>977</v>
      </c>
    </row>
    <row r="265" spans="1:78" x14ac:dyDescent="0.3">
      <c r="A265" s="436">
        <v>33183</v>
      </c>
      <c r="B265" s="19" t="s">
        <v>18</v>
      </c>
      <c r="C265" t="s">
        <v>274</v>
      </c>
      <c r="D265" s="563"/>
      <c r="E265" s="120"/>
      <c r="F265" s="563">
        <v>13750.400000000001</v>
      </c>
      <c r="G265" s="120">
        <v>2.493789896268328E-5</v>
      </c>
      <c r="H265" s="563">
        <v>40163.269999999997</v>
      </c>
      <c r="I265" s="120">
        <v>1.4700131713857564E-4</v>
      </c>
      <c r="J265" s="563"/>
      <c r="K265" s="120"/>
      <c r="L265" s="563">
        <v>21215.47</v>
      </c>
      <c r="M265" s="120">
        <v>1.4701613551902968E-4</v>
      </c>
      <c r="N265" s="563">
        <v>109481.32999999999</v>
      </c>
      <c r="O265" s="120">
        <v>1.4823057483794611E-4</v>
      </c>
      <c r="P265" s="124">
        <v>184610.46999999997</v>
      </c>
      <c r="Q265" s="124"/>
      <c r="T265" s="373"/>
      <c r="U265" s="541">
        <v>551</v>
      </c>
      <c r="V265" s="540" t="s">
        <v>275</v>
      </c>
      <c r="W265" s="442" t="s">
        <v>18</v>
      </c>
      <c r="X265" s="552" t="s">
        <v>274</v>
      </c>
      <c r="Y265" s="563"/>
      <c r="Z265" s="563">
        <v>93696.66</v>
      </c>
      <c r="AA265" s="563">
        <v>34918.31</v>
      </c>
      <c r="AB265" s="563"/>
      <c r="AC265" s="563"/>
      <c r="AD265" s="563">
        <v>128614.97</v>
      </c>
      <c r="AE265" s="124"/>
      <c r="AF265" s="541">
        <v>551</v>
      </c>
      <c r="AG265" s="540" t="s">
        <v>275</v>
      </c>
      <c r="AH265" s="442" t="s">
        <v>18</v>
      </c>
      <c r="AI265" s="552" t="s">
        <v>274</v>
      </c>
      <c r="AJ265" s="563"/>
      <c r="AK265" s="563">
        <v>109481.32999999999</v>
      </c>
      <c r="AL265" s="563">
        <v>40163.269999999997</v>
      </c>
      <c r="AM265" s="563"/>
      <c r="AN265" s="563"/>
      <c r="AO265" s="563">
        <v>149644.59999999998</v>
      </c>
      <c r="AR265" s="124">
        <f>+L265</f>
        <v>21215.47</v>
      </c>
      <c r="AS265" s="124">
        <f>+F265</f>
        <v>13750.400000000001</v>
      </c>
      <c r="AV265" s="372">
        <f t="shared" si="9"/>
        <v>34965.870000000003</v>
      </c>
      <c r="AW265" s="124">
        <f>+AV265+AO265-P265</f>
        <v>0</v>
      </c>
      <c r="AZ265" s="563"/>
      <c r="BA265" s="563">
        <v>2716.5299999999997</v>
      </c>
      <c r="BB265" s="563">
        <v>1034.6500000000001</v>
      </c>
      <c r="BC265" s="563"/>
      <c r="BD265" s="563"/>
      <c r="BE265" s="563">
        <v>3751.18</v>
      </c>
      <c r="BF265" s="372"/>
      <c r="BO265" s="563"/>
      <c r="BP265" s="563">
        <v>227109.99</v>
      </c>
      <c r="BQ265" s="563">
        <v>89866.63</v>
      </c>
      <c r="BR265" s="563"/>
      <c r="BS265" s="563"/>
      <c r="BT265" s="563">
        <v>316976.62</v>
      </c>
      <c r="BW265" s="126">
        <v>292</v>
      </c>
      <c r="BX265" s="125">
        <v>33205</v>
      </c>
      <c r="BY265" s="19" t="s">
        <v>18</v>
      </c>
      <c r="BZ265" t="s">
        <v>810</v>
      </c>
    </row>
    <row r="266" spans="1:78" x14ac:dyDescent="0.3">
      <c r="A266" s="436">
        <v>33202</v>
      </c>
      <c r="B266" s="19" t="s">
        <v>18</v>
      </c>
      <c r="C266" t="s">
        <v>532</v>
      </c>
      <c r="D266" s="563"/>
      <c r="E266" s="120"/>
      <c r="F266" s="563">
        <v>5971.63</v>
      </c>
      <c r="G266" s="120">
        <v>1.0830223526772192E-5</v>
      </c>
      <c r="H266" s="563">
        <v>17474.55</v>
      </c>
      <c r="I266" s="120">
        <v>6.3958484117550613E-5</v>
      </c>
      <c r="J266" s="563"/>
      <c r="K266" s="120"/>
      <c r="L266" s="563">
        <v>8048.57</v>
      </c>
      <c r="M266" s="120">
        <v>5.5773907335279239E-5</v>
      </c>
      <c r="N266" s="563">
        <v>41565.799999999996</v>
      </c>
      <c r="O266" s="120">
        <v>5.627738014873495E-5</v>
      </c>
      <c r="P266" s="124">
        <v>73060.549999999988</v>
      </c>
      <c r="Q266" s="124"/>
      <c r="T266" s="373"/>
      <c r="U266" s="541">
        <v>953</v>
      </c>
      <c r="V266" s="540" t="s">
        <v>533</v>
      </c>
      <c r="W266" s="442" t="s">
        <v>18</v>
      </c>
      <c r="X266" s="552" t="s">
        <v>532</v>
      </c>
      <c r="Y266" s="563"/>
      <c r="Z266" s="563">
        <v>39797.72</v>
      </c>
      <c r="AA266" s="563">
        <v>17069.420000000002</v>
      </c>
      <c r="AB266" s="563"/>
      <c r="AC266" s="563"/>
      <c r="AD266" s="563">
        <v>56867.14</v>
      </c>
      <c r="AE266" s="124"/>
      <c r="AF266" s="541">
        <v>953</v>
      </c>
      <c r="AG266" s="540" t="s">
        <v>533</v>
      </c>
      <c r="AH266" s="442" t="s">
        <v>18</v>
      </c>
      <c r="AI266" s="552" t="s">
        <v>532</v>
      </c>
      <c r="AJ266" s="563"/>
      <c r="AK266" s="563">
        <v>41565.799999999996</v>
      </c>
      <c r="AL266" s="563">
        <v>17474.55</v>
      </c>
      <c r="AM266" s="563"/>
      <c r="AN266" s="563"/>
      <c r="AO266" s="563">
        <v>59040.349999999991</v>
      </c>
      <c r="AR266" s="124">
        <f>+L266</f>
        <v>8048.57</v>
      </c>
      <c r="AS266" s="124">
        <f>+F266</f>
        <v>5971.63</v>
      </c>
      <c r="AV266" s="372">
        <f t="shared" si="9"/>
        <v>14020.2</v>
      </c>
      <c r="AW266" s="124">
        <f>+AV266+AO266-P266</f>
        <v>0</v>
      </c>
      <c r="AZ266" s="563"/>
      <c r="BA266" s="563">
        <v>1031.22</v>
      </c>
      <c r="BB266" s="563">
        <v>450.25</v>
      </c>
      <c r="BC266" s="563"/>
      <c r="BD266" s="563"/>
      <c r="BE266" s="563">
        <v>1481.47</v>
      </c>
      <c r="BF266" s="372"/>
      <c r="BO266" s="563"/>
      <c r="BP266" s="563">
        <v>90443.31</v>
      </c>
      <c r="BQ266" s="563">
        <v>40965.85</v>
      </c>
      <c r="BR266" s="563"/>
      <c r="BS266" s="563"/>
      <c r="BT266" s="563">
        <v>131409.16</v>
      </c>
      <c r="BW266" s="126">
        <v>172</v>
      </c>
      <c r="BX266" s="125">
        <v>33206</v>
      </c>
      <c r="BY266" s="19" t="s">
        <v>18</v>
      </c>
      <c r="BZ266" t="s">
        <v>772</v>
      </c>
    </row>
    <row r="267" spans="1:78" x14ac:dyDescent="0.3">
      <c r="A267" s="436">
        <v>33205</v>
      </c>
      <c r="B267" s="19" t="s">
        <v>18</v>
      </c>
      <c r="C267" t="s">
        <v>178</v>
      </c>
      <c r="D267" s="563"/>
      <c r="E267" s="120"/>
      <c r="F267" s="563">
        <v>2745.04</v>
      </c>
      <c r="G267" s="120">
        <v>4.9784391849345555E-6</v>
      </c>
      <c r="H267" s="563">
        <v>7988.47</v>
      </c>
      <c r="I267" s="120">
        <v>2.9238545863471713E-5</v>
      </c>
      <c r="J267" s="563">
        <v>0</v>
      </c>
      <c r="K267" s="120">
        <v>0</v>
      </c>
      <c r="L267" s="563">
        <v>2962.95</v>
      </c>
      <c r="M267" s="120">
        <v>2.0532255883848387E-5</v>
      </c>
      <c r="N267" s="563">
        <v>15255.199999999999</v>
      </c>
      <c r="O267" s="120">
        <v>2.0654545074195167E-5</v>
      </c>
      <c r="P267" s="124">
        <v>28951.659999999996</v>
      </c>
      <c r="Q267" s="124"/>
      <c r="T267" s="373"/>
      <c r="U267" s="541">
        <v>292</v>
      </c>
      <c r="V267" s="540" t="s">
        <v>179</v>
      </c>
      <c r="W267" s="442" t="s">
        <v>18</v>
      </c>
      <c r="X267" s="552" t="s">
        <v>178</v>
      </c>
      <c r="Y267" s="563">
        <v>0</v>
      </c>
      <c r="Z267" s="563">
        <v>19511.45</v>
      </c>
      <c r="AA267" s="563">
        <v>6645.09</v>
      </c>
      <c r="AB267" s="563"/>
      <c r="AC267" s="563"/>
      <c r="AD267" s="563">
        <v>26156.54</v>
      </c>
      <c r="AE267" s="124"/>
      <c r="AF267" s="541">
        <v>292</v>
      </c>
      <c r="AG267" s="540" t="s">
        <v>179</v>
      </c>
      <c r="AH267" s="442" t="s">
        <v>18</v>
      </c>
      <c r="AI267" s="552" t="s">
        <v>178</v>
      </c>
      <c r="AJ267" s="563">
        <v>0</v>
      </c>
      <c r="AK267" s="563">
        <v>15255.199999999999</v>
      </c>
      <c r="AL267" s="563">
        <v>7988.47</v>
      </c>
      <c r="AM267" s="563"/>
      <c r="AN267" s="563"/>
      <c r="AO267" s="563">
        <v>23243.67</v>
      </c>
      <c r="AR267" s="124">
        <f>+L267</f>
        <v>2962.95</v>
      </c>
      <c r="AS267" s="124">
        <f>+F267</f>
        <v>2745.04</v>
      </c>
      <c r="AV267" s="372">
        <f t="shared" si="9"/>
        <v>5707.99</v>
      </c>
      <c r="AW267" s="124">
        <f>+AV267+AO267-P267</f>
        <v>0</v>
      </c>
      <c r="AZ267" s="563">
        <v>0</v>
      </c>
      <c r="BA267" s="563">
        <v>378.33000000000004</v>
      </c>
      <c r="BB267" s="563">
        <v>205.76</v>
      </c>
      <c r="BC267" s="563"/>
      <c r="BD267" s="563"/>
      <c r="BE267" s="563">
        <v>584.09</v>
      </c>
      <c r="BF267" s="372"/>
      <c r="BO267" s="563">
        <v>0</v>
      </c>
      <c r="BP267" s="563">
        <v>38107.929999999993</v>
      </c>
      <c r="BQ267" s="563">
        <v>17584.36</v>
      </c>
      <c r="BR267" s="563"/>
      <c r="BS267" s="563"/>
      <c r="BT267" s="563">
        <v>55692.289999999994</v>
      </c>
      <c r="BW267" s="126">
        <v>568</v>
      </c>
      <c r="BX267" s="125">
        <v>33207</v>
      </c>
      <c r="BY267" s="19" t="s">
        <v>18</v>
      </c>
      <c r="BZ267" t="s">
        <v>864</v>
      </c>
    </row>
    <row r="268" spans="1:78" x14ac:dyDescent="0.3">
      <c r="A268" s="436">
        <v>33206</v>
      </c>
      <c r="B268" s="19" t="s">
        <v>18</v>
      </c>
      <c r="C268" t="s">
        <v>102</v>
      </c>
      <c r="D268" s="563"/>
      <c r="E268" s="120"/>
      <c r="F268" s="563">
        <v>12861.279999999999</v>
      </c>
      <c r="G268" s="120">
        <v>2.3325379710465091E-5</v>
      </c>
      <c r="H268" s="563">
        <v>38030.400000000001</v>
      </c>
      <c r="I268" s="120">
        <v>1.3919481385123492E-4</v>
      </c>
      <c r="J268" s="563">
        <v>0</v>
      </c>
      <c r="K268" s="120">
        <v>0</v>
      </c>
      <c r="L268" s="563">
        <v>18834.11</v>
      </c>
      <c r="M268" s="120">
        <v>1.3051410447849197E-4</v>
      </c>
      <c r="N268" s="563">
        <v>96665.84</v>
      </c>
      <c r="O268" s="120">
        <v>1.308792378608565E-4</v>
      </c>
      <c r="P268" s="124">
        <v>166391.63</v>
      </c>
      <c r="Q268" s="124"/>
      <c r="T268" s="373"/>
      <c r="U268" s="541">
        <v>172</v>
      </c>
      <c r="V268" s="540" t="s">
        <v>103</v>
      </c>
      <c r="W268" s="442" t="s">
        <v>18</v>
      </c>
      <c r="X268" s="552" t="s">
        <v>102</v>
      </c>
      <c r="Y268" s="563">
        <v>0</v>
      </c>
      <c r="Z268" s="563">
        <v>91682.62</v>
      </c>
      <c r="AA268" s="563">
        <v>36174.32</v>
      </c>
      <c r="AB268" s="563"/>
      <c r="AC268" s="563"/>
      <c r="AD268" s="563">
        <v>127856.94</v>
      </c>
      <c r="AE268" s="124"/>
      <c r="AF268" s="541">
        <v>172</v>
      </c>
      <c r="AG268" s="540" t="s">
        <v>103</v>
      </c>
      <c r="AH268" s="442" t="s">
        <v>18</v>
      </c>
      <c r="AI268" s="552" t="s">
        <v>102</v>
      </c>
      <c r="AJ268" s="563">
        <v>0</v>
      </c>
      <c r="AK268" s="563">
        <v>96665.84</v>
      </c>
      <c r="AL268" s="563">
        <v>38030.400000000001</v>
      </c>
      <c r="AM268" s="563"/>
      <c r="AN268" s="563"/>
      <c r="AO268" s="563">
        <v>134696.24</v>
      </c>
      <c r="AR268" s="124">
        <f>+L268</f>
        <v>18834.11</v>
      </c>
      <c r="AS268" s="124">
        <f>+F268</f>
        <v>12861.279999999999</v>
      </c>
      <c r="AV268" s="372">
        <f t="shared" si="9"/>
        <v>31695.39</v>
      </c>
      <c r="AW268" s="124">
        <f>+AV268+AO268-P268</f>
        <v>0</v>
      </c>
      <c r="AZ268" s="563">
        <v>0</v>
      </c>
      <c r="BA268" s="563">
        <v>2398.48</v>
      </c>
      <c r="BB268" s="563">
        <v>980.05</v>
      </c>
      <c r="BC268" s="563"/>
      <c r="BD268" s="563"/>
      <c r="BE268" s="563">
        <v>3378.5299999999997</v>
      </c>
      <c r="BF268" s="372"/>
      <c r="BO268" s="563">
        <v>0</v>
      </c>
      <c r="BP268" s="563">
        <v>209581.05</v>
      </c>
      <c r="BQ268" s="563">
        <v>88046.049999999988</v>
      </c>
      <c r="BR268" s="563"/>
      <c r="BS268" s="563"/>
      <c r="BT268" s="563">
        <v>297627.09999999998</v>
      </c>
      <c r="BW268" s="126">
        <v>652</v>
      </c>
      <c r="BX268" s="125">
        <v>33211</v>
      </c>
      <c r="BY268" s="19" t="s">
        <v>18</v>
      </c>
      <c r="BZ268" t="s">
        <v>895</v>
      </c>
    </row>
    <row r="269" spans="1:78" x14ac:dyDescent="0.3">
      <c r="A269" s="436">
        <v>33207</v>
      </c>
      <c r="B269" s="19" t="s">
        <v>18</v>
      </c>
      <c r="C269" t="s">
        <v>290</v>
      </c>
      <c r="D269" s="563"/>
      <c r="E269" s="120"/>
      <c r="F269" s="563">
        <v>36617.15</v>
      </c>
      <c r="G269" s="120">
        <v>6.6409325328820843E-5</v>
      </c>
      <c r="H269" s="563">
        <v>108135.03</v>
      </c>
      <c r="I269" s="120">
        <v>3.9578430339012221E-4</v>
      </c>
      <c r="J269" s="563"/>
      <c r="K269" s="120"/>
      <c r="L269" s="563">
        <v>50688.240000000005</v>
      </c>
      <c r="M269" s="120">
        <v>3.5125260769905647E-4</v>
      </c>
      <c r="N269" s="563">
        <v>258005.46000000002</v>
      </c>
      <c r="O269" s="120">
        <v>3.4932255250396315E-4</v>
      </c>
      <c r="P269" s="124">
        <v>453445.88</v>
      </c>
      <c r="Q269" s="124"/>
      <c r="T269" s="373"/>
      <c r="U269" s="541">
        <v>568</v>
      </c>
      <c r="V269" s="540" t="s">
        <v>291</v>
      </c>
      <c r="W269" s="442" t="s">
        <v>18</v>
      </c>
      <c r="X269" s="552" t="s">
        <v>290</v>
      </c>
      <c r="Y269" s="563"/>
      <c r="Z269" s="563">
        <v>252884.36</v>
      </c>
      <c r="AA269" s="563">
        <v>100016.29000000001</v>
      </c>
      <c r="AB269" s="563"/>
      <c r="AC269" s="563"/>
      <c r="AD269" s="563">
        <v>352900.65</v>
      </c>
      <c r="AE269" s="124"/>
      <c r="AF269" s="541">
        <v>568</v>
      </c>
      <c r="AG269" s="540" t="s">
        <v>291</v>
      </c>
      <c r="AH269" s="442" t="s">
        <v>18</v>
      </c>
      <c r="AI269" s="552" t="s">
        <v>290</v>
      </c>
      <c r="AJ269" s="563"/>
      <c r="AK269" s="563">
        <v>258005.46000000002</v>
      </c>
      <c r="AL269" s="563">
        <v>108135.03</v>
      </c>
      <c r="AM269" s="563"/>
      <c r="AN269" s="563"/>
      <c r="AO269" s="563">
        <v>366140.49</v>
      </c>
      <c r="AR269" s="124">
        <f>+L269</f>
        <v>50688.240000000005</v>
      </c>
      <c r="AS269" s="124">
        <f>+F269</f>
        <v>36617.15</v>
      </c>
      <c r="AV269" s="372">
        <f t="shared" si="9"/>
        <v>87305.390000000014</v>
      </c>
      <c r="AW269" s="124">
        <f>+AV269+AO269-P269</f>
        <v>0</v>
      </c>
      <c r="AZ269" s="563"/>
      <c r="BA269" s="563">
        <v>6400.13</v>
      </c>
      <c r="BB269" s="563">
        <v>2786.5</v>
      </c>
      <c r="BC269" s="563"/>
      <c r="BD269" s="563"/>
      <c r="BE269" s="563">
        <v>9186.630000000001</v>
      </c>
      <c r="BF269" s="372"/>
      <c r="BO269" s="563"/>
      <c r="BP269" s="563">
        <v>567978.18999999994</v>
      </c>
      <c r="BQ269" s="563">
        <v>247554.97</v>
      </c>
      <c r="BR269" s="563"/>
      <c r="BS269" s="563"/>
      <c r="BT269" s="563">
        <v>815533.15999999992</v>
      </c>
      <c r="BW269" s="126">
        <v>437</v>
      </c>
      <c r="BX269" s="125">
        <v>33212</v>
      </c>
      <c r="BY269" s="19" t="s">
        <v>18</v>
      </c>
      <c r="BZ269" t="s">
        <v>842</v>
      </c>
    </row>
    <row r="270" spans="1:78" x14ac:dyDescent="0.3">
      <c r="A270" s="436">
        <v>33211</v>
      </c>
      <c r="B270" s="19" t="s">
        <v>18</v>
      </c>
      <c r="C270" t="s">
        <v>358</v>
      </c>
      <c r="D270" s="563"/>
      <c r="E270" s="120"/>
      <c r="F270" s="563">
        <v>24245.360000000001</v>
      </c>
      <c r="G270" s="120">
        <v>4.3971690859457373E-5</v>
      </c>
      <c r="H270" s="563">
        <v>70699.459999999992</v>
      </c>
      <c r="I270" s="120">
        <v>2.58766622861785E-4</v>
      </c>
      <c r="J270" s="563"/>
      <c r="K270" s="120"/>
      <c r="L270" s="563">
        <v>31298.35</v>
      </c>
      <c r="M270" s="120">
        <v>2.168871330742153E-4</v>
      </c>
      <c r="N270" s="563">
        <v>161815.26999999999</v>
      </c>
      <c r="O270" s="120">
        <v>2.1908731369684178E-4</v>
      </c>
      <c r="P270" s="124">
        <v>288058.43999999994</v>
      </c>
      <c r="Q270" s="124"/>
      <c r="T270" s="373"/>
      <c r="U270" s="541">
        <v>652</v>
      </c>
      <c r="V270" s="540" t="s">
        <v>359</v>
      </c>
      <c r="W270" s="442" t="s">
        <v>18</v>
      </c>
      <c r="X270" s="552" t="s">
        <v>358</v>
      </c>
      <c r="Y270" s="563"/>
      <c r="Z270" s="563">
        <v>145820.04</v>
      </c>
      <c r="AA270" s="563">
        <v>62133.19</v>
      </c>
      <c r="AB270" s="563"/>
      <c r="AC270" s="563"/>
      <c r="AD270" s="563">
        <v>207953.23</v>
      </c>
      <c r="AE270" s="124"/>
      <c r="AF270" s="541">
        <v>652</v>
      </c>
      <c r="AG270" s="540" t="s">
        <v>359</v>
      </c>
      <c r="AH270" s="442" t="s">
        <v>18</v>
      </c>
      <c r="AI270" s="552" t="s">
        <v>358</v>
      </c>
      <c r="AJ270" s="563"/>
      <c r="AK270" s="563">
        <v>161815.26999999999</v>
      </c>
      <c r="AL270" s="563">
        <v>70699.459999999992</v>
      </c>
      <c r="AM270" s="563"/>
      <c r="AN270" s="563"/>
      <c r="AO270" s="563">
        <v>232514.72999999998</v>
      </c>
      <c r="AR270" s="124">
        <f>+L270</f>
        <v>31298.35</v>
      </c>
      <c r="AS270" s="124">
        <f>+F270</f>
        <v>24245.360000000001</v>
      </c>
      <c r="AV270" s="372">
        <f t="shared" si="9"/>
        <v>55543.71</v>
      </c>
      <c r="AW270" s="124">
        <f>+AV270+AO270-P270</f>
        <v>0</v>
      </c>
      <c r="AZ270" s="563"/>
      <c r="BA270" s="563">
        <v>4015.14</v>
      </c>
      <c r="BB270" s="563">
        <v>1822.01</v>
      </c>
      <c r="BC270" s="563"/>
      <c r="BD270" s="563"/>
      <c r="BE270" s="563">
        <v>5837.15</v>
      </c>
      <c r="BF270" s="372"/>
      <c r="BO270" s="563"/>
      <c r="BP270" s="563">
        <v>342948.80000000005</v>
      </c>
      <c r="BQ270" s="563">
        <v>158900.02000000002</v>
      </c>
      <c r="BR270" s="563"/>
      <c r="BS270" s="563"/>
      <c r="BT270" s="563">
        <v>501848.82000000007</v>
      </c>
      <c r="BW270" s="126">
        <v>1134</v>
      </c>
      <c r="BX270" s="125">
        <v>34002</v>
      </c>
      <c r="BY270" s="19" t="s">
        <v>13</v>
      </c>
      <c r="BZ270" t="s">
        <v>1021</v>
      </c>
    </row>
    <row r="271" spans="1:78" x14ac:dyDescent="0.3">
      <c r="A271" s="436">
        <v>33212</v>
      </c>
      <c r="B271" s="19" t="s">
        <v>18</v>
      </c>
      <c r="C271" t="s">
        <v>244</v>
      </c>
      <c r="D271" s="563"/>
      <c r="E271" s="120"/>
      <c r="F271" s="563">
        <v>82114.12</v>
      </c>
      <c r="G271" s="120">
        <v>1.4892320426821402E-4</v>
      </c>
      <c r="H271" s="563">
        <v>242938.59999999998</v>
      </c>
      <c r="I271" s="120">
        <v>8.8917795248747355E-4</v>
      </c>
      <c r="J271" s="563">
        <v>0</v>
      </c>
      <c r="K271" s="120">
        <v>0</v>
      </c>
      <c r="L271" s="563">
        <v>107561.23</v>
      </c>
      <c r="M271" s="120">
        <v>7.4536347138543337E-4</v>
      </c>
      <c r="N271" s="563">
        <v>550838.34</v>
      </c>
      <c r="O271" s="120">
        <v>7.4579915845907248E-4</v>
      </c>
      <c r="P271" s="124">
        <v>983452.28999999992</v>
      </c>
      <c r="Q271" s="124"/>
      <c r="T271" s="373"/>
      <c r="U271" s="541">
        <v>437</v>
      </c>
      <c r="V271" s="540" t="s">
        <v>245</v>
      </c>
      <c r="W271" s="442" t="s">
        <v>18</v>
      </c>
      <c r="X271" s="552" t="s">
        <v>244</v>
      </c>
      <c r="Y271" s="563">
        <v>0</v>
      </c>
      <c r="Z271" s="563">
        <v>505733.95</v>
      </c>
      <c r="AA271" s="563">
        <v>231846</v>
      </c>
      <c r="AB271" s="563"/>
      <c r="AC271" s="563"/>
      <c r="AD271" s="563">
        <v>737579.95</v>
      </c>
      <c r="AE271" s="124"/>
      <c r="AF271" s="541">
        <v>437</v>
      </c>
      <c r="AG271" s="540" t="s">
        <v>245</v>
      </c>
      <c r="AH271" s="442" t="s">
        <v>18</v>
      </c>
      <c r="AI271" s="552" t="s">
        <v>244</v>
      </c>
      <c r="AJ271" s="563">
        <v>0</v>
      </c>
      <c r="AK271" s="563">
        <v>550838.34</v>
      </c>
      <c r="AL271" s="563">
        <v>242938.59999999998</v>
      </c>
      <c r="AM271" s="563"/>
      <c r="AN271" s="563"/>
      <c r="AO271" s="563">
        <v>793776.94</v>
      </c>
      <c r="AR271" s="124">
        <f>+L271</f>
        <v>107561.23</v>
      </c>
      <c r="AS271" s="124">
        <f>+F271</f>
        <v>82114.12</v>
      </c>
      <c r="AV271" s="372">
        <f t="shared" si="9"/>
        <v>189675.34999999998</v>
      </c>
      <c r="AW271" s="124">
        <f>+AV271+AO271-P271</f>
        <v>0</v>
      </c>
      <c r="AZ271" s="563">
        <v>0</v>
      </c>
      <c r="BA271" s="563">
        <v>13668.3</v>
      </c>
      <c r="BB271" s="563">
        <v>6261.17</v>
      </c>
      <c r="BC271" s="563"/>
      <c r="BD271" s="563"/>
      <c r="BE271" s="563">
        <v>19929.47</v>
      </c>
      <c r="BF271" s="372"/>
      <c r="BO271" s="563">
        <v>0</v>
      </c>
      <c r="BP271" s="563">
        <v>1177801.82</v>
      </c>
      <c r="BQ271" s="563">
        <v>563159.89</v>
      </c>
      <c r="BR271" s="563"/>
      <c r="BS271" s="563"/>
      <c r="BT271" s="563">
        <v>1740961.71</v>
      </c>
      <c r="BW271" s="126">
        <v>651</v>
      </c>
      <c r="BX271" s="125">
        <v>34003</v>
      </c>
      <c r="BY271" s="19" t="s">
        <v>13</v>
      </c>
      <c r="BZ271" t="s">
        <v>1125</v>
      </c>
    </row>
    <row r="272" spans="1:78" x14ac:dyDescent="0.3">
      <c r="A272" s="436">
        <v>34002</v>
      </c>
      <c r="B272" s="19" t="s">
        <v>13</v>
      </c>
      <c r="C272" t="s">
        <v>624</v>
      </c>
      <c r="D272" s="563">
        <v>288.82</v>
      </c>
      <c r="E272" s="120">
        <v>5.238075967537078E-7</v>
      </c>
      <c r="F272" s="563">
        <v>385538.07</v>
      </c>
      <c r="G272" s="120">
        <v>6.9921670903594899E-4</v>
      </c>
      <c r="H272" s="563">
        <v>1140812.28</v>
      </c>
      <c r="I272" s="120">
        <v>4.1754794310289375E-3</v>
      </c>
      <c r="J272" s="563">
        <v>0</v>
      </c>
      <c r="K272" s="120">
        <v>0</v>
      </c>
      <c r="L272" s="563">
        <v>620846.21</v>
      </c>
      <c r="M272" s="120">
        <v>4.3022572936558066E-3</v>
      </c>
      <c r="N272" s="563">
        <v>3191412.26</v>
      </c>
      <c r="O272" s="120">
        <v>4.3209638926077053E-3</v>
      </c>
      <c r="P272" s="124">
        <v>5338897.6399999997</v>
      </c>
      <c r="Q272" s="124"/>
      <c r="T272" s="373"/>
      <c r="U272" s="541">
        <v>1134</v>
      </c>
      <c r="V272" s="540" t="s">
        <v>625</v>
      </c>
      <c r="W272" s="442" t="s">
        <v>13</v>
      </c>
      <c r="X272" s="552" t="s">
        <v>624</v>
      </c>
      <c r="Y272" s="563">
        <v>0</v>
      </c>
      <c r="Z272" s="563">
        <v>3036860.9299999997</v>
      </c>
      <c r="AA272" s="563">
        <v>1027810.99</v>
      </c>
      <c r="AB272" s="563">
        <v>185.73</v>
      </c>
      <c r="AC272" s="563"/>
      <c r="AD272" s="563">
        <v>4064857.6499999994</v>
      </c>
      <c r="AE272" s="124"/>
      <c r="AF272" s="541">
        <v>1134</v>
      </c>
      <c r="AG272" s="540" t="s">
        <v>625</v>
      </c>
      <c r="AH272" s="442" t="s">
        <v>13</v>
      </c>
      <c r="AI272" s="552" t="s">
        <v>624</v>
      </c>
      <c r="AJ272" s="563">
        <v>0</v>
      </c>
      <c r="AK272" s="563">
        <v>3191412.26</v>
      </c>
      <c r="AL272" s="563">
        <v>1140812.28</v>
      </c>
      <c r="AM272" s="563">
        <v>288.82</v>
      </c>
      <c r="AN272" s="563"/>
      <c r="AO272" s="563">
        <v>4332513.3599999994</v>
      </c>
      <c r="AR272" s="124">
        <f>+L272</f>
        <v>620846.21</v>
      </c>
      <c r="AS272" s="124">
        <f>+F272</f>
        <v>385538.07</v>
      </c>
      <c r="AV272" s="372">
        <f t="shared" si="9"/>
        <v>1006384.28</v>
      </c>
      <c r="AW272" s="124">
        <f>+AV272+AO272-P272</f>
        <v>0</v>
      </c>
      <c r="AZ272" s="563">
        <v>0</v>
      </c>
      <c r="BA272" s="563">
        <v>79191.19</v>
      </c>
      <c r="BB272" s="563">
        <v>29402.050000000003</v>
      </c>
      <c r="BC272" s="563">
        <v>6.18</v>
      </c>
      <c r="BD272" s="563"/>
      <c r="BE272" s="563">
        <v>108599.42000000001</v>
      </c>
      <c r="BF272" s="372"/>
      <c r="BO272" s="563">
        <v>0</v>
      </c>
      <c r="BP272" s="563">
        <v>6928310.5899999999</v>
      </c>
      <c r="BQ272" s="563">
        <v>2583563.3899999997</v>
      </c>
      <c r="BR272" s="563">
        <v>480.73</v>
      </c>
      <c r="BS272" s="563"/>
      <c r="BT272" s="563">
        <v>9512354.709999999</v>
      </c>
      <c r="BW272" s="126">
        <v>1003</v>
      </c>
      <c r="BX272" s="125">
        <v>34033</v>
      </c>
      <c r="BY272" s="19" t="s">
        <v>13</v>
      </c>
      <c r="BZ272" t="s">
        <v>991</v>
      </c>
    </row>
    <row r="273" spans="1:78" x14ac:dyDescent="0.3">
      <c r="A273" s="436">
        <v>34003</v>
      </c>
      <c r="B273" s="19" t="s">
        <v>13</v>
      </c>
      <c r="C273" t="s">
        <v>354</v>
      </c>
      <c r="D273" s="563">
        <v>8132.06</v>
      </c>
      <c r="E273" s="120">
        <v>1.4748406638241666E-5</v>
      </c>
      <c r="F273" s="563">
        <v>1202819.58</v>
      </c>
      <c r="G273" s="120">
        <v>2.1814487692268687E-3</v>
      </c>
      <c r="H273" s="563">
        <v>3514283.42</v>
      </c>
      <c r="I273" s="120">
        <v>1.2862605349072879E-2</v>
      </c>
      <c r="J273" s="563">
        <v>20155.400000000001</v>
      </c>
      <c r="K273" s="120">
        <v>1.3967020376358624E-4</v>
      </c>
      <c r="L273" s="563">
        <v>1976950.46</v>
      </c>
      <c r="M273" s="120">
        <v>1.3699607726897781E-2</v>
      </c>
      <c r="N273" s="563">
        <v>10226535.539999999</v>
      </c>
      <c r="O273" s="120">
        <v>1.3846061622514866E-2</v>
      </c>
      <c r="P273" s="124">
        <v>16948876.460000001</v>
      </c>
      <c r="Q273" s="124"/>
      <c r="T273" s="373"/>
      <c r="U273" s="541">
        <v>651</v>
      </c>
      <c r="V273" s="540" t="s">
        <v>355</v>
      </c>
      <c r="W273" s="442" t="s">
        <v>13</v>
      </c>
      <c r="X273" s="552" t="s">
        <v>354</v>
      </c>
      <c r="Y273" s="563">
        <v>12552.05</v>
      </c>
      <c r="Z273" s="563">
        <v>9794450.9900000002</v>
      </c>
      <c r="AA273" s="563">
        <v>3260993.8899999997</v>
      </c>
      <c r="AB273" s="563">
        <v>5409.17</v>
      </c>
      <c r="AC273" s="563"/>
      <c r="AD273" s="563">
        <v>13073406.1</v>
      </c>
      <c r="AE273" s="124"/>
      <c r="AF273" s="541">
        <v>651</v>
      </c>
      <c r="AG273" s="540" t="s">
        <v>355</v>
      </c>
      <c r="AH273" s="442" t="s">
        <v>13</v>
      </c>
      <c r="AI273" s="552" t="s">
        <v>354</v>
      </c>
      <c r="AJ273" s="563">
        <v>20155.400000000001</v>
      </c>
      <c r="AK273" s="563">
        <v>10226535.539999999</v>
      </c>
      <c r="AL273" s="563">
        <v>3514283.42</v>
      </c>
      <c r="AM273" s="563">
        <v>8132.06</v>
      </c>
      <c r="AN273" s="563"/>
      <c r="AO273" s="563">
        <v>13769106.419999998</v>
      </c>
      <c r="AR273" s="124">
        <f>+L273</f>
        <v>1976950.46</v>
      </c>
      <c r="AS273" s="124">
        <f>+F273</f>
        <v>1202819.58</v>
      </c>
      <c r="AV273" s="372">
        <f t="shared" si="9"/>
        <v>3179770.04</v>
      </c>
      <c r="AW273" s="124">
        <f>+AV273+AO273-P273</f>
        <v>0</v>
      </c>
      <c r="AZ273" s="563">
        <v>418.33</v>
      </c>
      <c r="BA273" s="563">
        <v>253759.59</v>
      </c>
      <c r="BB273" s="563">
        <v>90539</v>
      </c>
      <c r="BC273" s="563">
        <v>180.25</v>
      </c>
      <c r="BD273" s="563"/>
      <c r="BE273" s="563">
        <v>344897.17</v>
      </c>
      <c r="BF273" s="372"/>
      <c r="BO273" s="563">
        <v>33125.78</v>
      </c>
      <c r="BP273" s="563">
        <v>22251696.579999998</v>
      </c>
      <c r="BQ273" s="563">
        <v>8068635.8900000006</v>
      </c>
      <c r="BR273" s="563">
        <v>13721.48</v>
      </c>
      <c r="BS273" s="563"/>
      <c r="BT273" s="563">
        <v>30367179.73</v>
      </c>
      <c r="BW273" s="126">
        <v>673</v>
      </c>
      <c r="BX273" s="125">
        <v>34111</v>
      </c>
      <c r="BY273" s="19" t="s">
        <v>13</v>
      </c>
      <c r="BZ273" t="s">
        <v>904</v>
      </c>
    </row>
    <row r="274" spans="1:78" x14ac:dyDescent="0.3">
      <c r="A274" s="436">
        <v>34033</v>
      </c>
      <c r="B274" s="19" t="s">
        <v>13</v>
      </c>
      <c r="C274" t="s">
        <v>564</v>
      </c>
      <c r="D274" s="563">
        <v>904.85</v>
      </c>
      <c r="E274" s="120">
        <v>1.6410473787223619E-6</v>
      </c>
      <c r="F274" s="563">
        <v>523275.47</v>
      </c>
      <c r="G274" s="120">
        <v>9.4901899584816471E-4</v>
      </c>
      <c r="H274" s="563">
        <v>1550083.54</v>
      </c>
      <c r="I274" s="120">
        <v>5.6734504450167041E-3</v>
      </c>
      <c r="J274" s="563">
        <v>11821.09</v>
      </c>
      <c r="K274" s="120">
        <v>8.1916213471709391E-5</v>
      </c>
      <c r="L274" s="563">
        <v>775861.67999999993</v>
      </c>
      <c r="M274" s="120">
        <v>5.376462830703351E-3</v>
      </c>
      <c r="N274" s="563">
        <v>3976985.92</v>
      </c>
      <c r="O274" s="120">
        <v>5.3845793528816098E-3</v>
      </c>
      <c r="P274" s="124">
        <v>6838932.5499999998</v>
      </c>
      <c r="Q274" s="124"/>
      <c r="T274" s="373"/>
      <c r="U274" s="541">
        <v>1003</v>
      </c>
      <c r="V274" s="540" t="s">
        <v>565</v>
      </c>
      <c r="W274" s="442" t="s">
        <v>13</v>
      </c>
      <c r="X274" s="552" t="s">
        <v>564</v>
      </c>
      <c r="Y274" s="563">
        <v>7362.93</v>
      </c>
      <c r="Z274" s="563">
        <v>3824696.2800000003</v>
      </c>
      <c r="AA274" s="563">
        <v>1486240.1400000001</v>
      </c>
      <c r="AB274" s="563">
        <v>592.28</v>
      </c>
      <c r="AC274" s="563"/>
      <c r="AD274" s="563">
        <v>5318891.6300000008</v>
      </c>
      <c r="AE274" s="124"/>
      <c r="AF274" s="541">
        <v>1003</v>
      </c>
      <c r="AG274" s="540" t="s">
        <v>565</v>
      </c>
      <c r="AH274" s="442" t="s">
        <v>13</v>
      </c>
      <c r="AI274" s="552" t="s">
        <v>564</v>
      </c>
      <c r="AJ274" s="563">
        <v>11821.09</v>
      </c>
      <c r="AK274" s="563">
        <v>3976985.92</v>
      </c>
      <c r="AL274" s="563">
        <v>1550083.54</v>
      </c>
      <c r="AM274" s="563">
        <v>904.85</v>
      </c>
      <c r="AN274" s="563"/>
      <c r="AO274" s="563">
        <v>5539795.4000000004</v>
      </c>
      <c r="AR274" s="124">
        <f>+L274</f>
        <v>775861.67999999993</v>
      </c>
      <c r="AS274" s="124">
        <f>+F274</f>
        <v>523275.47</v>
      </c>
      <c r="AV274" s="372">
        <f t="shared" si="9"/>
        <v>1299137.1499999999</v>
      </c>
      <c r="AW274" s="124">
        <f>+AV274+AO274-P274</f>
        <v>0</v>
      </c>
      <c r="AZ274" s="563">
        <v>245.36</v>
      </c>
      <c r="BA274" s="563">
        <v>98681.87</v>
      </c>
      <c r="BB274" s="563">
        <v>39948.57</v>
      </c>
      <c r="BC274" s="563">
        <v>19.72</v>
      </c>
      <c r="BD274" s="563"/>
      <c r="BE274" s="563">
        <v>138895.51999999999</v>
      </c>
      <c r="BF274" s="372"/>
      <c r="BO274" s="563">
        <v>19429.38</v>
      </c>
      <c r="BP274" s="563">
        <v>8676225.75</v>
      </c>
      <c r="BQ274" s="563">
        <v>3599547.72</v>
      </c>
      <c r="BR274" s="563">
        <v>1516.85</v>
      </c>
      <c r="BS274" s="563"/>
      <c r="BT274" s="563">
        <v>12296719.699999999</v>
      </c>
      <c r="BW274" s="126">
        <v>793</v>
      </c>
      <c r="BX274" s="125">
        <v>34307</v>
      </c>
      <c r="BY274" s="19" t="s">
        <v>13</v>
      </c>
      <c r="BZ274" t="s">
        <v>935</v>
      </c>
    </row>
    <row r="275" spans="1:78" x14ac:dyDescent="0.3">
      <c r="A275" s="436">
        <v>34111</v>
      </c>
      <c r="B275" s="19" t="s">
        <v>13</v>
      </c>
      <c r="C275" t="s">
        <v>378</v>
      </c>
      <c r="D275" s="563">
        <v>11257.84</v>
      </c>
      <c r="E275" s="120">
        <v>2.0417360691911097E-5</v>
      </c>
      <c r="F275" s="563">
        <v>770251.45</v>
      </c>
      <c r="G275" s="120">
        <v>1.3969377498807519E-3</v>
      </c>
      <c r="H275" s="563">
        <v>2282858.4500000002</v>
      </c>
      <c r="I275" s="120">
        <v>8.355475014632208E-3</v>
      </c>
      <c r="J275" s="563">
        <v>0</v>
      </c>
      <c r="K275" s="120">
        <v>0</v>
      </c>
      <c r="L275" s="563">
        <v>1209522.02</v>
      </c>
      <c r="M275" s="120">
        <v>8.3815844384107687E-3</v>
      </c>
      <c r="N275" s="563">
        <v>6191185.6200000001</v>
      </c>
      <c r="O275" s="120">
        <v>8.38246122312385E-3</v>
      </c>
      <c r="P275" s="124">
        <v>10465075.379999999</v>
      </c>
      <c r="Q275" s="124"/>
      <c r="T275" s="373"/>
      <c r="U275" s="541">
        <v>673</v>
      </c>
      <c r="V275" s="540" t="s">
        <v>379</v>
      </c>
      <c r="W275" s="442" t="s">
        <v>13</v>
      </c>
      <c r="X275" s="552" t="s">
        <v>378</v>
      </c>
      <c r="Y275" s="563">
        <v>0</v>
      </c>
      <c r="Z275" s="563">
        <v>6038125.1299999999</v>
      </c>
      <c r="AA275" s="563">
        <v>2145340.9299999997</v>
      </c>
      <c r="AB275" s="563">
        <v>7560.51</v>
      </c>
      <c r="AC275" s="563"/>
      <c r="AD275" s="563">
        <v>8191026.5699999994</v>
      </c>
      <c r="AE275" s="124"/>
      <c r="AF275" s="541">
        <v>673</v>
      </c>
      <c r="AG275" s="540" t="s">
        <v>379</v>
      </c>
      <c r="AH275" s="442" t="s">
        <v>13</v>
      </c>
      <c r="AI275" s="552" t="s">
        <v>378</v>
      </c>
      <c r="AJ275" s="563">
        <v>0</v>
      </c>
      <c r="AK275" s="563">
        <v>6191185.6200000001</v>
      </c>
      <c r="AL275" s="563">
        <v>2282858.4500000002</v>
      </c>
      <c r="AM275" s="563">
        <v>11257.84</v>
      </c>
      <c r="AN275" s="563"/>
      <c r="AO275" s="563">
        <v>8485301.9100000001</v>
      </c>
      <c r="AR275" s="124">
        <f>+L275</f>
        <v>1209522.02</v>
      </c>
      <c r="AS275" s="124">
        <f>+F275</f>
        <v>770251.45</v>
      </c>
      <c r="AV275" s="372">
        <f t="shared" si="9"/>
        <v>1979773.47</v>
      </c>
      <c r="AW275" s="124">
        <f>+AV275+AO275-P275</f>
        <v>0</v>
      </c>
      <c r="AZ275" s="563">
        <v>0</v>
      </c>
      <c r="BA275" s="563">
        <v>153621.28</v>
      </c>
      <c r="BB275" s="563">
        <v>58846.27</v>
      </c>
      <c r="BC275" s="563">
        <v>251.95</v>
      </c>
      <c r="BD275" s="563"/>
      <c r="BE275" s="563">
        <v>212719.5</v>
      </c>
      <c r="BF275" s="372"/>
      <c r="BO275" s="563">
        <v>0</v>
      </c>
      <c r="BP275" s="563">
        <v>13592454.050000001</v>
      </c>
      <c r="BQ275" s="563">
        <v>5257297.0999999996</v>
      </c>
      <c r="BR275" s="563">
        <v>19070.3</v>
      </c>
      <c r="BS275" s="563"/>
      <c r="BT275" s="563">
        <v>18868821.449999999</v>
      </c>
      <c r="BW275" s="126">
        <v>368</v>
      </c>
      <c r="BX275" s="125">
        <v>34324</v>
      </c>
      <c r="BY275" s="19" t="s">
        <v>13</v>
      </c>
      <c r="BZ275" t="s">
        <v>826</v>
      </c>
    </row>
    <row r="276" spans="1:78" x14ac:dyDescent="0.3">
      <c r="A276" s="436">
        <v>34307</v>
      </c>
      <c r="B276" s="19" t="s">
        <v>13</v>
      </c>
      <c r="C276" t="s">
        <v>444</v>
      </c>
      <c r="D276" s="563"/>
      <c r="E276" s="120"/>
      <c r="F276" s="563">
        <v>62826.240000000005</v>
      </c>
      <c r="G276" s="120">
        <v>1.1394246169749904E-4</v>
      </c>
      <c r="H276" s="563">
        <v>186394.63</v>
      </c>
      <c r="I276" s="120">
        <v>6.8222174433400144E-4</v>
      </c>
      <c r="J276" s="563">
        <v>0</v>
      </c>
      <c r="K276" s="120">
        <v>0</v>
      </c>
      <c r="L276" s="563">
        <v>104787.94</v>
      </c>
      <c r="M276" s="120">
        <v>7.2614549608375164E-4</v>
      </c>
      <c r="N276" s="563">
        <v>532935.71</v>
      </c>
      <c r="O276" s="120">
        <v>7.2156016596591343E-4</v>
      </c>
      <c r="P276" s="124">
        <v>886944.52</v>
      </c>
      <c r="Q276" s="124"/>
      <c r="T276" s="373"/>
      <c r="U276" s="541">
        <v>793</v>
      </c>
      <c r="V276" s="540" t="s">
        <v>445</v>
      </c>
      <c r="W276" s="442" t="s">
        <v>13</v>
      </c>
      <c r="X276" s="552" t="s">
        <v>444</v>
      </c>
      <c r="Y276" s="563">
        <v>0</v>
      </c>
      <c r="Z276" s="563">
        <v>538983.14999999991</v>
      </c>
      <c r="AA276" s="563">
        <v>182308.65</v>
      </c>
      <c r="AB276" s="563"/>
      <c r="AC276" s="563"/>
      <c r="AD276" s="563">
        <v>721291.79999999993</v>
      </c>
      <c r="AE276" s="124"/>
      <c r="AF276" s="541">
        <v>793</v>
      </c>
      <c r="AG276" s="540" t="s">
        <v>445</v>
      </c>
      <c r="AH276" s="442" t="s">
        <v>13</v>
      </c>
      <c r="AI276" s="552" t="s">
        <v>444</v>
      </c>
      <c r="AJ276" s="563">
        <v>0</v>
      </c>
      <c r="AK276" s="563">
        <v>532935.71</v>
      </c>
      <c r="AL276" s="563">
        <v>186394.63</v>
      </c>
      <c r="AM276" s="563"/>
      <c r="AN276" s="563"/>
      <c r="AO276" s="563">
        <v>719330.34</v>
      </c>
      <c r="AR276" s="124">
        <f>+L276</f>
        <v>104787.94</v>
      </c>
      <c r="AS276" s="124">
        <f>+F276</f>
        <v>62826.240000000005</v>
      </c>
      <c r="AV276" s="372">
        <f t="shared" si="9"/>
        <v>167614.18</v>
      </c>
      <c r="AW276" s="124">
        <f>+AV276+AO276-P276</f>
        <v>0</v>
      </c>
      <c r="AZ276" s="563">
        <v>0</v>
      </c>
      <c r="BA276" s="563">
        <v>13210.71</v>
      </c>
      <c r="BB276" s="563">
        <v>4803.83</v>
      </c>
      <c r="BC276" s="563"/>
      <c r="BD276" s="563"/>
      <c r="BE276" s="563">
        <v>18014.54</v>
      </c>
      <c r="BF276" s="372"/>
      <c r="BO276" s="563">
        <v>0</v>
      </c>
      <c r="BP276" s="563">
        <v>1189917.51</v>
      </c>
      <c r="BQ276" s="563">
        <v>436333.35</v>
      </c>
      <c r="BR276" s="563"/>
      <c r="BS276" s="563"/>
      <c r="BT276" s="563">
        <v>1626250.8599999999</v>
      </c>
      <c r="BW276" s="126">
        <v>817</v>
      </c>
      <c r="BX276" s="125">
        <v>34401</v>
      </c>
      <c r="BY276" s="19" t="s">
        <v>13</v>
      </c>
      <c r="BZ276" t="s">
        <v>945</v>
      </c>
    </row>
    <row r="277" spans="1:78" x14ac:dyDescent="0.3">
      <c r="A277" s="436">
        <v>34324</v>
      </c>
      <c r="B277" s="19" t="s">
        <v>13</v>
      </c>
      <c r="C277" t="s">
        <v>212</v>
      </c>
      <c r="D277" s="563"/>
      <c r="E277" s="120"/>
      <c r="F277" s="563">
        <v>52881.459999999992</v>
      </c>
      <c r="G277" s="120">
        <v>9.5906483191701846E-5</v>
      </c>
      <c r="H277" s="563">
        <v>156961.66</v>
      </c>
      <c r="I277" s="120">
        <v>5.7449432678806497E-4</v>
      </c>
      <c r="J277" s="563">
        <v>0</v>
      </c>
      <c r="K277" s="120">
        <v>0</v>
      </c>
      <c r="L277" s="563">
        <v>68767.47</v>
      </c>
      <c r="M277" s="120">
        <v>4.765356453955914E-4</v>
      </c>
      <c r="N277" s="563">
        <v>352111.03</v>
      </c>
      <c r="O277" s="120">
        <v>4.7673535189681469E-4</v>
      </c>
      <c r="P277" s="124">
        <v>630721.62</v>
      </c>
      <c r="Q277" s="124"/>
      <c r="T277" s="373"/>
      <c r="U277" s="541">
        <v>368</v>
      </c>
      <c r="V277" s="540" t="s">
        <v>213</v>
      </c>
      <c r="W277" s="442" t="s">
        <v>13</v>
      </c>
      <c r="X277" s="552" t="s">
        <v>212</v>
      </c>
      <c r="Y277" s="563">
        <v>0</v>
      </c>
      <c r="Z277" s="563">
        <v>331493.12</v>
      </c>
      <c r="AA277" s="563">
        <v>146178.43</v>
      </c>
      <c r="AB277" s="563"/>
      <c r="AC277" s="563"/>
      <c r="AD277" s="563">
        <v>477671.55</v>
      </c>
      <c r="AE277" s="124"/>
      <c r="AF277" s="541">
        <v>368</v>
      </c>
      <c r="AG277" s="540" t="s">
        <v>213</v>
      </c>
      <c r="AH277" s="442" t="s">
        <v>13</v>
      </c>
      <c r="AI277" s="552" t="s">
        <v>212</v>
      </c>
      <c r="AJ277" s="563">
        <v>0</v>
      </c>
      <c r="AK277" s="563">
        <v>352111.03</v>
      </c>
      <c r="AL277" s="563">
        <v>156961.66</v>
      </c>
      <c r="AM277" s="563"/>
      <c r="AN277" s="563"/>
      <c r="AO277" s="563">
        <v>509072.69000000006</v>
      </c>
      <c r="AR277" s="124">
        <f>+L277</f>
        <v>68767.47</v>
      </c>
      <c r="AS277" s="124">
        <f>+F277</f>
        <v>52881.459999999992</v>
      </c>
      <c r="AV277" s="372">
        <f t="shared" si="9"/>
        <v>121648.93</v>
      </c>
      <c r="AW277" s="124">
        <f>+AV277+AO277-P277</f>
        <v>0</v>
      </c>
      <c r="AZ277" s="563">
        <v>0</v>
      </c>
      <c r="BA277" s="563">
        <v>8737.130000000001</v>
      </c>
      <c r="BB277" s="563">
        <v>4045.0199999999995</v>
      </c>
      <c r="BC277" s="563"/>
      <c r="BD277" s="563"/>
      <c r="BE277" s="563">
        <v>12782.150000000001</v>
      </c>
      <c r="BF277" s="372"/>
      <c r="BO277" s="563">
        <v>0</v>
      </c>
      <c r="BP277" s="563">
        <v>761108.75</v>
      </c>
      <c r="BQ277" s="563">
        <v>360066.57</v>
      </c>
      <c r="BR277" s="563"/>
      <c r="BS277" s="563"/>
      <c r="BT277" s="563">
        <v>1121175.32</v>
      </c>
      <c r="BW277" s="126">
        <v>972</v>
      </c>
      <c r="BX277" s="125">
        <v>34402</v>
      </c>
      <c r="BY277" s="19" t="s">
        <v>13</v>
      </c>
      <c r="BZ277" t="s">
        <v>983</v>
      </c>
    </row>
    <row r="278" spans="1:78" x14ac:dyDescent="0.3">
      <c r="A278" s="436">
        <v>34401</v>
      </c>
      <c r="B278" s="19" t="s">
        <v>13</v>
      </c>
      <c r="C278" t="s">
        <v>464</v>
      </c>
      <c r="D278" s="563"/>
      <c r="E278" s="120"/>
      <c r="F278" s="563">
        <v>111486.45999999999</v>
      </c>
      <c r="G278" s="120">
        <v>2.0219325075541297E-4</v>
      </c>
      <c r="H278" s="563">
        <v>325571.59999999998</v>
      </c>
      <c r="I278" s="120">
        <v>1.191622445655284E-3</v>
      </c>
      <c r="J278" s="563"/>
      <c r="K278" s="120"/>
      <c r="L278" s="563">
        <v>234833.55</v>
      </c>
      <c r="M278" s="120">
        <v>1.6273182263327106E-3</v>
      </c>
      <c r="N278" s="563">
        <v>1255790.1000000001</v>
      </c>
      <c r="O278" s="120">
        <v>1.7002578284242788E-3</v>
      </c>
      <c r="P278" s="124">
        <v>1927681.71</v>
      </c>
      <c r="Q278" s="124"/>
      <c r="T278" s="373"/>
      <c r="U278" s="541">
        <v>817</v>
      </c>
      <c r="V278" s="540" t="s">
        <v>465</v>
      </c>
      <c r="W278" s="442" t="s">
        <v>13</v>
      </c>
      <c r="X278" s="552" t="s">
        <v>464</v>
      </c>
      <c r="Y278" s="563"/>
      <c r="Z278" s="563">
        <v>1233530.9099999999</v>
      </c>
      <c r="AA278" s="563">
        <v>309864.33999999997</v>
      </c>
      <c r="AB278" s="563"/>
      <c r="AC278" s="563"/>
      <c r="AD278" s="563">
        <v>1543395.25</v>
      </c>
      <c r="AE278" s="124"/>
      <c r="AF278" s="541">
        <v>817</v>
      </c>
      <c r="AG278" s="540" t="s">
        <v>465</v>
      </c>
      <c r="AH278" s="442" t="s">
        <v>13</v>
      </c>
      <c r="AI278" s="552" t="s">
        <v>464</v>
      </c>
      <c r="AJ278" s="563"/>
      <c r="AK278" s="563">
        <v>1255790.1000000001</v>
      </c>
      <c r="AL278" s="563">
        <v>325571.59999999998</v>
      </c>
      <c r="AM278" s="563"/>
      <c r="AN278" s="563"/>
      <c r="AO278" s="563">
        <v>1581361.7000000002</v>
      </c>
      <c r="AR278" s="124">
        <f>+L278</f>
        <v>234833.55</v>
      </c>
      <c r="AS278" s="124">
        <f>+F278</f>
        <v>111486.45999999999</v>
      </c>
      <c r="AV278" s="372">
        <f t="shared" si="9"/>
        <v>346320.01</v>
      </c>
      <c r="AW278" s="124">
        <f>+AV278+AO278-P278</f>
        <v>0</v>
      </c>
      <c r="AZ278" s="563"/>
      <c r="BA278" s="563">
        <v>31191.08</v>
      </c>
      <c r="BB278" s="563">
        <v>8390.91</v>
      </c>
      <c r="BC278" s="563"/>
      <c r="BD278" s="563"/>
      <c r="BE278" s="563">
        <v>39581.990000000005</v>
      </c>
      <c r="BF278" s="372"/>
      <c r="BO278" s="563"/>
      <c r="BP278" s="563">
        <v>2755345.6399999997</v>
      </c>
      <c r="BQ278" s="563">
        <v>755313.30999999994</v>
      </c>
      <c r="BR278" s="563"/>
      <c r="BS278" s="563"/>
      <c r="BT278" s="563">
        <v>3510658.9499999997</v>
      </c>
      <c r="BW278" s="126">
        <v>262</v>
      </c>
      <c r="BX278" s="125">
        <v>34801</v>
      </c>
      <c r="BY278" s="19">
        <v>113</v>
      </c>
      <c r="BZ278" t="s">
        <v>799</v>
      </c>
    </row>
    <row r="279" spans="1:78" x14ac:dyDescent="0.3">
      <c r="A279" s="436">
        <v>34402</v>
      </c>
      <c r="B279" s="19" t="s">
        <v>13</v>
      </c>
      <c r="C279" t="s">
        <v>546</v>
      </c>
      <c r="D279" s="563"/>
      <c r="E279" s="120"/>
      <c r="F279" s="563">
        <v>84846.64</v>
      </c>
      <c r="G279" s="120">
        <v>1.538789370231529E-4</v>
      </c>
      <c r="H279" s="563">
        <v>251119.85</v>
      </c>
      <c r="I279" s="120">
        <v>9.1912209114550561E-4</v>
      </c>
      <c r="J279" s="563"/>
      <c r="K279" s="120"/>
      <c r="L279" s="563">
        <v>129500.87</v>
      </c>
      <c r="M279" s="120">
        <v>8.9739786362273591E-4</v>
      </c>
      <c r="N279" s="563">
        <v>664743.30000000005</v>
      </c>
      <c r="O279" s="120">
        <v>9.0001903958120784E-4</v>
      </c>
      <c r="P279" s="124">
        <v>1130210.6600000001</v>
      </c>
      <c r="Q279" s="124"/>
      <c r="T279" s="373"/>
      <c r="U279" s="541">
        <v>972</v>
      </c>
      <c r="V279" s="540" t="s">
        <v>547</v>
      </c>
      <c r="W279" s="442" t="s">
        <v>13</v>
      </c>
      <c r="X279" s="552" t="s">
        <v>546</v>
      </c>
      <c r="Y279" s="563"/>
      <c r="Z279" s="563">
        <v>728056.28</v>
      </c>
      <c r="AA279" s="563">
        <v>243269.57</v>
      </c>
      <c r="AB279" s="563"/>
      <c r="AC279" s="563"/>
      <c r="AD279" s="563">
        <v>971325.85000000009</v>
      </c>
      <c r="AE279" s="124"/>
      <c r="AF279" s="541">
        <v>972</v>
      </c>
      <c r="AG279" s="540" t="s">
        <v>547</v>
      </c>
      <c r="AH279" s="442" t="s">
        <v>13</v>
      </c>
      <c r="AI279" s="552" t="s">
        <v>546</v>
      </c>
      <c r="AJ279" s="563"/>
      <c r="AK279" s="563">
        <v>664743.30000000005</v>
      </c>
      <c r="AL279" s="563">
        <v>251119.85</v>
      </c>
      <c r="AM279" s="563"/>
      <c r="AN279" s="563"/>
      <c r="AO279" s="563">
        <v>915863.15</v>
      </c>
      <c r="AR279" s="124">
        <f>+L279</f>
        <v>129500.87</v>
      </c>
      <c r="AS279" s="124">
        <f>+F279</f>
        <v>84846.64</v>
      </c>
      <c r="AV279" s="372">
        <f t="shared" si="9"/>
        <v>214347.51</v>
      </c>
      <c r="AW279" s="124">
        <f>+AV279+AO279-P279</f>
        <v>0</v>
      </c>
      <c r="AZ279" s="563"/>
      <c r="BA279" s="563">
        <v>16494.72</v>
      </c>
      <c r="BB279" s="563">
        <v>6472.01</v>
      </c>
      <c r="BC279" s="563"/>
      <c r="BD279" s="563"/>
      <c r="BE279" s="563">
        <v>22966.730000000003</v>
      </c>
      <c r="BF279" s="372"/>
      <c r="BO279" s="563"/>
      <c r="BP279" s="563">
        <v>1538795.17</v>
      </c>
      <c r="BQ279" s="563">
        <v>585708.07000000007</v>
      </c>
      <c r="BR279" s="563"/>
      <c r="BS279" s="563"/>
      <c r="BT279" s="563">
        <v>2124503.2400000002</v>
      </c>
      <c r="BW279" s="126">
        <v>1043</v>
      </c>
      <c r="BX279" s="125">
        <v>35200</v>
      </c>
      <c r="BY279" s="19" t="s">
        <v>34</v>
      </c>
      <c r="BZ279" t="s">
        <v>997</v>
      </c>
    </row>
    <row r="280" spans="1:78" x14ac:dyDescent="0.3">
      <c r="A280" s="436">
        <v>34801</v>
      </c>
      <c r="B280" s="19">
        <v>113</v>
      </c>
      <c r="C280" t="s">
        <v>156</v>
      </c>
      <c r="D280" s="563"/>
      <c r="E280" s="120"/>
      <c r="F280" s="563">
        <v>606421.16999999993</v>
      </c>
      <c r="G280" s="120">
        <v>1.0998130866223658E-3</v>
      </c>
      <c r="H280" s="563">
        <v>1797157.8199999998</v>
      </c>
      <c r="I280" s="120">
        <v>6.5777653723387373E-3</v>
      </c>
      <c r="J280" s="563"/>
      <c r="K280" s="120"/>
      <c r="L280" s="563">
        <v>128178.8</v>
      </c>
      <c r="M280" s="120">
        <v>8.8823635919763272E-4</v>
      </c>
      <c r="N280" s="563">
        <v>655729.72</v>
      </c>
      <c r="O280" s="120">
        <v>8.8781524058874188E-4</v>
      </c>
      <c r="P280" s="124">
        <v>3187487.51</v>
      </c>
      <c r="Q280" s="124"/>
      <c r="T280" s="373"/>
      <c r="U280" s="541">
        <v>262</v>
      </c>
      <c r="V280" s="540" t="s">
        <v>157</v>
      </c>
      <c r="W280" s="442">
        <v>113</v>
      </c>
      <c r="X280" s="552" t="s">
        <v>156</v>
      </c>
      <c r="Y280" s="563"/>
      <c r="Z280" s="563">
        <v>662899.82000000007</v>
      </c>
      <c r="AA280" s="563">
        <v>1746931.92</v>
      </c>
      <c r="AB280" s="563"/>
      <c r="AC280" s="563"/>
      <c r="AD280" s="563">
        <v>2409831.7400000002</v>
      </c>
      <c r="AE280" s="124"/>
      <c r="AF280" s="541">
        <v>262</v>
      </c>
      <c r="AG280" s="540" t="s">
        <v>157</v>
      </c>
      <c r="AH280" s="442">
        <v>113</v>
      </c>
      <c r="AI280" s="552" t="s">
        <v>156</v>
      </c>
      <c r="AJ280" s="563"/>
      <c r="AK280" s="563">
        <v>655729.72</v>
      </c>
      <c r="AL280" s="563">
        <v>1797157.8199999998</v>
      </c>
      <c r="AM280" s="563"/>
      <c r="AN280" s="563"/>
      <c r="AO280" s="563">
        <v>2452887.54</v>
      </c>
      <c r="AR280" s="124">
        <f>+L280</f>
        <v>128178.8</v>
      </c>
      <c r="AS280" s="124">
        <f>+F280</f>
        <v>606421.16999999993</v>
      </c>
      <c r="AV280" s="372">
        <f t="shared" si="9"/>
        <v>734599.97</v>
      </c>
      <c r="AW280" s="124">
        <f>+AV280+AO280-P280</f>
        <v>0</v>
      </c>
      <c r="AZ280" s="563"/>
      <c r="BA280" s="563">
        <v>16270.69</v>
      </c>
      <c r="BB280" s="563">
        <v>46325.55</v>
      </c>
      <c r="BC280" s="563"/>
      <c r="BD280" s="563"/>
      <c r="BE280" s="563">
        <v>62596.240000000005</v>
      </c>
      <c r="BF280" s="372"/>
      <c r="BO280" s="563"/>
      <c r="BP280" s="563">
        <v>1463079.03</v>
      </c>
      <c r="BQ280" s="563">
        <v>4196836.46</v>
      </c>
      <c r="BR280" s="563"/>
      <c r="BS280" s="563"/>
      <c r="BT280" s="563">
        <v>5659915.4900000002</v>
      </c>
      <c r="BW280" s="126">
        <v>232</v>
      </c>
      <c r="BX280" s="125">
        <v>36101</v>
      </c>
      <c r="BY280" s="19" t="s">
        <v>26</v>
      </c>
      <c r="BZ280" t="s">
        <v>790</v>
      </c>
    </row>
    <row r="281" spans="1:78" x14ac:dyDescent="0.3">
      <c r="A281" s="436">
        <v>35200</v>
      </c>
      <c r="B281" s="19" t="s">
        <v>34</v>
      </c>
      <c r="C281" t="s">
        <v>576</v>
      </c>
      <c r="D281" s="563"/>
      <c r="E281" s="120"/>
      <c r="F281" s="563">
        <v>29236.2</v>
      </c>
      <c r="G281" s="120">
        <v>5.302314126518508E-5</v>
      </c>
      <c r="H281" s="563">
        <v>86171.67</v>
      </c>
      <c r="I281" s="120">
        <v>3.1539635567598667E-4</v>
      </c>
      <c r="J281" s="563"/>
      <c r="K281" s="120"/>
      <c r="L281" s="563">
        <v>36997.39</v>
      </c>
      <c r="M281" s="120">
        <v>2.5637958065932048E-4</v>
      </c>
      <c r="N281" s="563">
        <v>189811.96000000002</v>
      </c>
      <c r="O281" s="120">
        <v>2.5699300457819829E-4</v>
      </c>
      <c r="P281" s="124">
        <v>342217.22000000003</v>
      </c>
      <c r="Q281" s="124"/>
      <c r="T281" s="373"/>
      <c r="U281" s="541">
        <v>1043</v>
      </c>
      <c r="V281" s="540" t="s">
        <v>577</v>
      </c>
      <c r="W281" s="442" t="s">
        <v>34</v>
      </c>
      <c r="X281" s="552" t="s">
        <v>576</v>
      </c>
      <c r="Y281" s="563"/>
      <c r="Z281" s="563">
        <v>200146.27000000002</v>
      </c>
      <c r="AA281" s="563">
        <v>83359.399999999994</v>
      </c>
      <c r="AB281" s="563"/>
      <c r="AC281" s="563"/>
      <c r="AD281" s="563">
        <v>283505.67000000004</v>
      </c>
      <c r="AE281" s="124"/>
      <c r="AF281" s="541">
        <v>1043</v>
      </c>
      <c r="AG281" s="540" t="s">
        <v>577</v>
      </c>
      <c r="AH281" s="442" t="s">
        <v>34</v>
      </c>
      <c r="AI281" s="552" t="s">
        <v>576</v>
      </c>
      <c r="AJ281" s="563"/>
      <c r="AK281" s="563">
        <v>189811.96000000002</v>
      </c>
      <c r="AL281" s="563">
        <v>86171.67</v>
      </c>
      <c r="AM281" s="563"/>
      <c r="AN281" s="563"/>
      <c r="AO281" s="563">
        <v>275983.63</v>
      </c>
      <c r="AR281" s="124">
        <f>+L281</f>
        <v>36997.39</v>
      </c>
      <c r="AS281" s="124">
        <f>+F281</f>
        <v>29236.2</v>
      </c>
      <c r="AV281" s="372">
        <f t="shared" si="9"/>
        <v>66233.59</v>
      </c>
      <c r="AW281" s="124">
        <f>+AV281+AO281-P281</f>
        <v>0</v>
      </c>
      <c r="AZ281" s="563"/>
      <c r="BA281" s="563">
        <v>4709.84</v>
      </c>
      <c r="BB281" s="563">
        <v>2220.8000000000002</v>
      </c>
      <c r="BC281" s="563"/>
      <c r="BD281" s="563"/>
      <c r="BE281" s="563">
        <v>6930.64</v>
      </c>
      <c r="BF281" s="372"/>
      <c r="BO281" s="563"/>
      <c r="BP281" s="563">
        <v>431665.45999999996</v>
      </c>
      <c r="BQ281" s="563">
        <v>200988.07</v>
      </c>
      <c r="BR281" s="563"/>
      <c r="BS281" s="563"/>
      <c r="BT281" s="563">
        <v>632653.53</v>
      </c>
      <c r="BW281" s="126">
        <v>1056</v>
      </c>
      <c r="BX281" s="125">
        <v>36140</v>
      </c>
      <c r="BY281" s="19" t="s">
        <v>26</v>
      </c>
      <c r="BZ281" t="s">
        <v>1000</v>
      </c>
    </row>
    <row r="282" spans="1:78" x14ac:dyDescent="0.3">
      <c r="A282" s="436">
        <v>36101</v>
      </c>
      <c r="B282" s="19" t="s">
        <v>26</v>
      </c>
      <c r="C282" t="s">
        <v>138</v>
      </c>
      <c r="D282" s="563"/>
      <c r="E282" s="120"/>
      <c r="F282" s="563">
        <v>5710.07</v>
      </c>
      <c r="G282" s="120">
        <v>1.0355855010025083E-5</v>
      </c>
      <c r="H282" s="563">
        <v>16718.41</v>
      </c>
      <c r="I282" s="120">
        <v>6.1190941137580048E-5</v>
      </c>
      <c r="J282" s="563"/>
      <c r="K282" s="120"/>
      <c r="L282" s="563">
        <v>2943.23</v>
      </c>
      <c r="M282" s="120">
        <v>2.0395602856956444E-5</v>
      </c>
      <c r="N282" s="563">
        <v>15151.46</v>
      </c>
      <c r="O282" s="120">
        <v>2.0514087885433496E-5</v>
      </c>
      <c r="P282" s="124">
        <v>40523.17</v>
      </c>
      <c r="Q282" s="124"/>
      <c r="T282" s="373"/>
      <c r="U282" s="541">
        <v>232</v>
      </c>
      <c r="V282" s="540" t="s">
        <v>139</v>
      </c>
      <c r="W282" s="442" t="s">
        <v>26</v>
      </c>
      <c r="X282" s="552" t="s">
        <v>138</v>
      </c>
      <c r="Y282" s="563"/>
      <c r="Z282" s="563">
        <v>12400.72</v>
      </c>
      <c r="AA282" s="563">
        <v>16021.779999999999</v>
      </c>
      <c r="AB282" s="563"/>
      <c r="AC282" s="563"/>
      <c r="AD282" s="563">
        <v>28422.5</v>
      </c>
      <c r="AE282" s="124"/>
      <c r="AF282" s="541">
        <v>232</v>
      </c>
      <c r="AG282" s="540" t="s">
        <v>139</v>
      </c>
      <c r="AH282" s="442" t="s">
        <v>26</v>
      </c>
      <c r="AI282" s="552" t="s">
        <v>138</v>
      </c>
      <c r="AJ282" s="563"/>
      <c r="AK282" s="563">
        <v>15151.46</v>
      </c>
      <c r="AL282" s="563">
        <v>16718.41</v>
      </c>
      <c r="AM282" s="563"/>
      <c r="AN282" s="563"/>
      <c r="AO282" s="563">
        <v>31869.87</v>
      </c>
      <c r="AR282" s="124">
        <f>+L282</f>
        <v>2943.23</v>
      </c>
      <c r="AS282" s="124">
        <f>+F282</f>
        <v>5710.07</v>
      </c>
      <c r="AV282" s="372">
        <f t="shared" si="9"/>
        <v>8653.2999999999993</v>
      </c>
      <c r="AW282" s="124">
        <f>+AV282+AO282-P282</f>
        <v>0</v>
      </c>
      <c r="AZ282" s="563"/>
      <c r="BA282" s="563">
        <v>375.89</v>
      </c>
      <c r="BB282" s="563">
        <v>430.74</v>
      </c>
      <c r="BC282" s="563"/>
      <c r="BD282" s="563"/>
      <c r="BE282" s="563">
        <v>806.63</v>
      </c>
      <c r="BF282" s="372"/>
      <c r="BO282" s="563"/>
      <c r="BP282" s="563">
        <v>30871.300000000003</v>
      </c>
      <c r="BQ282" s="563">
        <v>38881</v>
      </c>
      <c r="BR282" s="563"/>
      <c r="BS282" s="563"/>
      <c r="BT282" s="563">
        <v>69752.3</v>
      </c>
      <c r="BW282" s="126">
        <v>167</v>
      </c>
      <c r="BX282" s="125">
        <v>36250</v>
      </c>
      <c r="BY282" s="19" t="s">
        <v>26</v>
      </c>
      <c r="BZ282" t="s">
        <v>770</v>
      </c>
    </row>
    <row r="283" spans="1:78" x14ac:dyDescent="0.3">
      <c r="A283" s="436">
        <v>36140</v>
      </c>
      <c r="B283" s="19" t="s">
        <v>26</v>
      </c>
      <c r="C283" t="s">
        <v>582</v>
      </c>
      <c r="D283" s="563">
        <v>3501.23</v>
      </c>
      <c r="E283" s="120">
        <v>6.3498749116473391E-6</v>
      </c>
      <c r="F283" s="563">
        <v>398126.73</v>
      </c>
      <c r="G283" s="120">
        <v>7.2204766167409569E-4</v>
      </c>
      <c r="H283" s="563">
        <v>1174081.51</v>
      </c>
      <c r="I283" s="120">
        <v>4.2972479182608334E-3</v>
      </c>
      <c r="J283" s="563">
        <v>0</v>
      </c>
      <c r="K283" s="120">
        <v>0</v>
      </c>
      <c r="L283" s="563">
        <v>615606.92000000004</v>
      </c>
      <c r="M283" s="120">
        <v>4.2659507603259542E-3</v>
      </c>
      <c r="N283" s="563">
        <v>3167081.67</v>
      </c>
      <c r="O283" s="120">
        <v>4.2880218618354593E-3</v>
      </c>
      <c r="P283" s="124">
        <v>5358398.0600000005</v>
      </c>
      <c r="Q283" s="124"/>
      <c r="T283" s="373"/>
      <c r="U283" s="541">
        <v>1056</v>
      </c>
      <c r="V283" s="540" t="s">
        <v>583</v>
      </c>
      <c r="W283" s="442" t="s">
        <v>26</v>
      </c>
      <c r="X283" s="552" t="s">
        <v>582</v>
      </c>
      <c r="Y283" s="563">
        <v>0</v>
      </c>
      <c r="Z283" s="563">
        <v>3112836.11</v>
      </c>
      <c r="AA283" s="563">
        <v>1104380.8500000001</v>
      </c>
      <c r="AB283" s="563">
        <v>2340.81</v>
      </c>
      <c r="AC283" s="563"/>
      <c r="AD283" s="563">
        <v>4219557.7699999996</v>
      </c>
      <c r="AE283" s="124"/>
      <c r="AF283" s="541">
        <v>1056</v>
      </c>
      <c r="AG283" s="540" t="s">
        <v>583</v>
      </c>
      <c r="AH283" s="442" t="s">
        <v>26</v>
      </c>
      <c r="AI283" s="552" t="s">
        <v>582</v>
      </c>
      <c r="AJ283" s="563">
        <v>0</v>
      </c>
      <c r="AK283" s="563">
        <v>3167081.67</v>
      </c>
      <c r="AL283" s="563">
        <v>1174081.51</v>
      </c>
      <c r="AM283" s="563">
        <v>3501.23</v>
      </c>
      <c r="AN283" s="563"/>
      <c r="AO283" s="563">
        <v>4344664.41</v>
      </c>
      <c r="AR283" s="124">
        <f>+L283</f>
        <v>615606.92000000004</v>
      </c>
      <c r="AS283" s="124">
        <f>+F283</f>
        <v>398126.73</v>
      </c>
      <c r="AV283" s="372">
        <f t="shared" si="9"/>
        <v>1013733.65</v>
      </c>
      <c r="AW283" s="124">
        <f>+AV283+AO283-P283</f>
        <v>0</v>
      </c>
      <c r="AZ283" s="563">
        <v>0</v>
      </c>
      <c r="BA283" s="563">
        <v>78586.33</v>
      </c>
      <c r="BB283" s="563">
        <v>30259.589999999997</v>
      </c>
      <c r="BC283" s="563">
        <v>77.94</v>
      </c>
      <c r="BD283" s="563"/>
      <c r="BE283" s="563">
        <v>108923.86</v>
      </c>
      <c r="BF283" s="372"/>
      <c r="BO283" s="563">
        <v>0</v>
      </c>
      <c r="BP283" s="563">
        <v>6974111.0299999993</v>
      </c>
      <c r="BQ283" s="563">
        <v>2706848.68</v>
      </c>
      <c r="BR283" s="563">
        <v>5919.98</v>
      </c>
      <c r="BS283" s="563"/>
      <c r="BT283" s="563">
        <v>9686879.6899999995</v>
      </c>
      <c r="BW283" s="126">
        <v>993</v>
      </c>
      <c r="BX283" s="125">
        <v>36300</v>
      </c>
      <c r="BY283" s="19" t="s">
        <v>26</v>
      </c>
      <c r="BZ283" t="s">
        <v>988</v>
      </c>
    </row>
    <row r="284" spans="1:78" x14ac:dyDescent="0.3">
      <c r="A284" s="436">
        <v>36250</v>
      </c>
      <c r="B284" s="19" t="s">
        <v>26</v>
      </c>
      <c r="C284" t="s">
        <v>98</v>
      </c>
      <c r="D284" s="563"/>
      <c r="E284" s="120"/>
      <c r="F284" s="563">
        <v>111418</v>
      </c>
      <c r="G284" s="120">
        <v>2.0206909083548446E-4</v>
      </c>
      <c r="H284" s="563">
        <v>329714.94</v>
      </c>
      <c r="I284" s="120">
        <v>1.206787456804848E-3</v>
      </c>
      <c r="J284" s="563">
        <v>0</v>
      </c>
      <c r="K284" s="120">
        <v>0</v>
      </c>
      <c r="L284" s="563">
        <v>175510.21000000002</v>
      </c>
      <c r="M284" s="120">
        <v>1.2162272539016747E-3</v>
      </c>
      <c r="N284" s="563">
        <v>901158.51</v>
      </c>
      <c r="O284" s="120">
        <v>1.2201098028075381E-3</v>
      </c>
      <c r="P284" s="124">
        <v>1517801.6600000001</v>
      </c>
      <c r="Q284" s="124"/>
      <c r="T284" s="373"/>
      <c r="U284" s="541">
        <v>167</v>
      </c>
      <c r="V284" s="540" t="s">
        <v>99</v>
      </c>
      <c r="W284" s="442" t="s">
        <v>26</v>
      </c>
      <c r="X284" s="552" t="s">
        <v>98</v>
      </c>
      <c r="Y284" s="563">
        <v>0</v>
      </c>
      <c r="Z284" s="563">
        <v>880844.4</v>
      </c>
      <c r="AA284" s="563">
        <v>312072.84000000003</v>
      </c>
      <c r="AB284" s="563"/>
      <c r="AC284" s="563"/>
      <c r="AD284" s="563">
        <v>1192917.24</v>
      </c>
      <c r="AE284" s="124"/>
      <c r="AF284" s="541">
        <v>167</v>
      </c>
      <c r="AG284" s="540" t="s">
        <v>99</v>
      </c>
      <c r="AH284" s="442" t="s">
        <v>26</v>
      </c>
      <c r="AI284" s="552" t="s">
        <v>98</v>
      </c>
      <c r="AJ284" s="563">
        <v>0</v>
      </c>
      <c r="AK284" s="563">
        <v>901158.51</v>
      </c>
      <c r="AL284" s="563">
        <v>329714.94</v>
      </c>
      <c r="AM284" s="563"/>
      <c r="AN284" s="563"/>
      <c r="AO284" s="563">
        <v>1230873.45</v>
      </c>
      <c r="AR284" s="124">
        <f>+L284</f>
        <v>175510.21000000002</v>
      </c>
      <c r="AS284" s="124">
        <f>+F284</f>
        <v>111418</v>
      </c>
      <c r="AV284" s="372">
        <f t="shared" si="9"/>
        <v>286928.21000000002</v>
      </c>
      <c r="AW284" s="124">
        <f>+AV284+AO284-P284</f>
        <v>0</v>
      </c>
      <c r="AZ284" s="563">
        <v>0</v>
      </c>
      <c r="BA284" s="563">
        <v>22360.49</v>
      </c>
      <c r="BB284" s="563">
        <v>8497.67</v>
      </c>
      <c r="BC284" s="563"/>
      <c r="BD284" s="563"/>
      <c r="BE284" s="563">
        <v>30858.160000000003</v>
      </c>
      <c r="BF284" s="372"/>
      <c r="BO284" s="563">
        <v>0</v>
      </c>
      <c r="BP284" s="563">
        <v>1979873.6099999999</v>
      </c>
      <c r="BQ284" s="563">
        <v>761703.45</v>
      </c>
      <c r="BR284" s="563"/>
      <c r="BS284" s="563"/>
      <c r="BT284" s="563">
        <v>2741577.0599999996</v>
      </c>
      <c r="BW284" s="126">
        <v>173</v>
      </c>
      <c r="BX284" s="125">
        <v>36400</v>
      </c>
      <c r="BY284" s="19" t="s">
        <v>26</v>
      </c>
      <c r="BZ284" t="s">
        <v>773</v>
      </c>
    </row>
    <row r="285" spans="1:78" x14ac:dyDescent="0.3">
      <c r="A285" s="436">
        <v>36300</v>
      </c>
      <c r="B285" s="19" t="s">
        <v>26</v>
      </c>
      <c r="C285" t="s">
        <v>556</v>
      </c>
      <c r="D285" s="563"/>
      <c r="E285" s="120"/>
      <c r="F285" s="563">
        <v>12696.43</v>
      </c>
      <c r="G285" s="120">
        <v>2.3026405670146387E-5</v>
      </c>
      <c r="H285" s="563">
        <v>37393.040000000001</v>
      </c>
      <c r="I285" s="120">
        <v>1.3686201675848221E-4</v>
      </c>
      <c r="J285" s="563"/>
      <c r="K285" s="120"/>
      <c r="L285" s="563">
        <v>28620.85</v>
      </c>
      <c r="M285" s="120">
        <v>1.9833295054362784E-4</v>
      </c>
      <c r="N285" s="563">
        <v>148187.01</v>
      </c>
      <c r="O285" s="120">
        <v>2.0063553919025709E-4</v>
      </c>
      <c r="P285" s="124">
        <v>226897.33000000002</v>
      </c>
      <c r="Q285" s="124"/>
      <c r="T285" s="373"/>
      <c r="U285" s="541">
        <v>993</v>
      </c>
      <c r="V285" s="540" t="s">
        <v>557</v>
      </c>
      <c r="W285" s="442" t="s">
        <v>26</v>
      </c>
      <c r="X285" s="552" t="s">
        <v>556</v>
      </c>
      <c r="Y285" s="563"/>
      <c r="Z285" s="563">
        <v>140120.09</v>
      </c>
      <c r="AA285" s="563">
        <v>35848.92</v>
      </c>
      <c r="AB285" s="563"/>
      <c r="AC285" s="563"/>
      <c r="AD285" s="563">
        <v>175969.01</v>
      </c>
      <c r="AE285" s="124"/>
      <c r="AF285" s="541">
        <v>993</v>
      </c>
      <c r="AG285" s="540" t="s">
        <v>557</v>
      </c>
      <c r="AH285" s="442" t="s">
        <v>26</v>
      </c>
      <c r="AI285" s="552" t="s">
        <v>556</v>
      </c>
      <c r="AJ285" s="563"/>
      <c r="AK285" s="563">
        <v>148187.01</v>
      </c>
      <c r="AL285" s="563">
        <v>37393.040000000001</v>
      </c>
      <c r="AM285" s="563"/>
      <c r="AN285" s="563"/>
      <c r="AO285" s="563">
        <v>185580.05000000002</v>
      </c>
      <c r="AR285" s="124">
        <f>+L285</f>
        <v>28620.85</v>
      </c>
      <c r="AS285" s="124">
        <f>+F285</f>
        <v>12696.43</v>
      </c>
      <c r="AV285" s="372">
        <f t="shared" si="9"/>
        <v>41317.279999999999</v>
      </c>
      <c r="AW285" s="124">
        <f>+AV285+AO285-P285</f>
        <v>0</v>
      </c>
      <c r="AZ285" s="563"/>
      <c r="BA285" s="563">
        <v>3677.9</v>
      </c>
      <c r="BB285" s="563">
        <v>964.02</v>
      </c>
      <c r="BC285" s="563"/>
      <c r="BD285" s="563"/>
      <c r="BE285" s="563">
        <v>4641.92</v>
      </c>
      <c r="BF285" s="372"/>
      <c r="BO285" s="563"/>
      <c r="BP285" s="563">
        <v>320605.84999999998</v>
      </c>
      <c r="BQ285" s="563">
        <v>86902.41</v>
      </c>
      <c r="BR285" s="563"/>
      <c r="BS285" s="563"/>
      <c r="BT285" s="563">
        <v>407508.26</v>
      </c>
      <c r="BW285" s="126">
        <v>1046</v>
      </c>
      <c r="BX285" s="125">
        <v>36401</v>
      </c>
      <c r="BY285" s="19" t="s">
        <v>26</v>
      </c>
      <c r="BZ285" t="s">
        <v>999</v>
      </c>
    </row>
    <row r="286" spans="1:78" x14ac:dyDescent="0.3">
      <c r="A286" s="436">
        <v>36400</v>
      </c>
      <c r="B286" s="19" t="s">
        <v>26</v>
      </c>
      <c r="C286" t="s">
        <v>104</v>
      </c>
      <c r="D286" s="563">
        <v>3921.07</v>
      </c>
      <c r="E286" s="120">
        <v>7.1113020338032728E-6</v>
      </c>
      <c r="F286" s="563">
        <v>56253.33</v>
      </c>
      <c r="G286" s="120">
        <v>1.0202174917489529E-4</v>
      </c>
      <c r="H286" s="563">
        <v>166156.91999999998</v>
      </c>
      <c r="I286" s="120">
        <v>6.0814983669628853E-4</v>
      </c>
      <c r="J286" s="563">
        <v>0</v>
      </c>
      <c r="K286" s="120">
        <v>0</v>
      </c>
      <c r="L286" s="563">
        <v>97729.989999999991</v>
      </c>
      <c r="M286" s="120">
        <v>6.7723625515312238E-4</v>
      </c>
      <c r="N286" s="563">
        <v>500895.93</v>
      </c>
      <c r="O286" s="120">
        <v>6.7818039512205065E-4</v>
      </c>
      <c r="P286" s="124">
        <v>824957.24</v>
      </c>
      <c r="Q286" s="124"/>
      <c r="T286" s="373"/>
      <c r="U286" s="541">
        <v>173</v>
      </c>
      <c r="V286" s="540" t="s">
        <v>105</v>
      </c>
      <c r="W286" s="442" t="s">
        <v>26</v>
      </c>
      <c r="X286" s="552" t="s">
        <v>104</v>
      </c>
      <c r="Y286" s="563">
        <v>0</v>
      </c>
      <c r="Z286" s="563">
        <v>527771.11</v>
      </c>
      <c r="AA286" s="563">
        <v>159506.21</v>
      </c>
      <c r="AB286" s="563">
        <v>2622.14</v>
      </c>
      <c r="AC286" s="563"/>
      <c r="AD286" s="563">
        <v>689899.46</v>
      </c>
      <c r="AE286" s="124"/>
      <c r="AF286" s="541">
        <v>173</v>
      </c>
      <c r="AG286" s="540" t="s">
        <v>105</v>
      </c>
      <c r="AH286" s="442" t="s">
        <v>26</v>
      </c>
      <c r="AI286" s="552" t="s">
        <v>104</v>
      </c>
      <c r="AJ286" s="563">
        <v>0</v>
      </c>
      <c r="AK286" s="563">
        <v>500895.93</v>
      </c>
      <c r="AL286" s="563">
        <v>166156.91999999998</v>
      </c>
      <c r="AM286" s="563">
        <v>3921.07</v>
      </c>
      <c r="AN286" s="563"/>
      <c r="AO286" s="563">
        <v>670973.91999999993</v>
      </c>
      <c r="AR286" s="124">
        <f>+L286</f>
        <v>97729.989999999991</v>
      </c>
      <c r="AS286" s="124">
        <f>+F286</f>
        <v>56253.33</v>
      </c>
      <c r="AV286" s="372">
        <f t="shared" si="9"/>
        <v>153983.32</v>
      </c>
      <c r="AW286" s="124">
        <f>+AV286+AO286-P286</f>
        <v>0</v>
      </c>
      <c r="AZ286" s="563">
        <v>0</v>
      </c>
      <c r="BA286" s="563">
        <v>12428.92</v>
      </c>
      <c r="BB286" s="563">
        <v>4282.2700000000004</v>
      </c>
      <c r="BC286" s="563">
        <v>87.34</v>
      </c>
      <c r="BD286" s="563"/>
      <c r="BE286" s="563">
        <v>16798.53</v>
      </c>
      <c r="BF286" s="372"/>
      <c r="BO286" s="563">
        <v>0</v>
      </c>
      <c r="BP286" s="563">
        <v>1138825.95</v>
      </c>
      <c r="BQ286" s="563">
        <v>386198.73</v>
      </c>
      <c r="BR286" s="563">
        <v>6630.55</v>
      </c>
      <c r="BS286" s="563"/>
      <c r="BT286" s="563">
        <v>1531655.23</v>
      </c>
      <c r="BW286" s="126">
        <v>761</v>
      </c>
      <c r="BX286" s="125">
        <v>36402</v>
      </c>
      <c r="BY286" s="19" t="s">
        <v>26</v>
      </c>
      <c r="BZ286" t="s">
        <v>926</v>
      </c>
    </row>
    <row r="287" spans="1:78" x14ac:dyDescent="0.3">
      <c r="A287" s="436">
        <v>36401</v>
      </c>
      <c r="B287" s="19" t="s">
        <v>26</v>
      </c>
      <c r="C287" t="s">
        <v>580</v>
      </c>
      <c r="D287" s="563"/>
      <c r="E287" s="120"/>
      <c r="F287" s="563">
        <v>24941.309999999998</v>
      </c>
      <c r="G287" s="120">
        <v>4.5233874561973614E-5</v>
      </c>
      <c r="H287" s="563">
        <v>72793.88</v>
      </c>
      <c r="I287" s="120">
        <v>2.6643239556010804E-4</v>
      </c>
      <c r="J287" s="563"/>
      <c r="K287" s="120"/>
      <c r="L287" s="563">
        <v>25515.120000000003</v>
      </c>
      <c r="M287" s="120">
        <v>1.7681127685148173E-4</v>
      </c>
      <c r="N287" s="563">
        <v>131270.14000000001</v>
      </c>
      <c r="O287" s="120">
        <v>1.777312013953216E-4</v>
      </c>
      <c r="P287" s="124">
        <v>254520.45</v>
      </c>
      <c r="Q287" s="124"/>
      <c r="T287" s="373"/>
      <c r="U287" s="541">
        <v>1046</v>
      </c>
      <c r="V287" s="540" t="s">
        <v>581</v>
      </c>
      <c r="W287" s="442" t="s">
        <v>26</v>
      </c>
      <c r="X287" s="552" t="s">
        <v>580</v>
      </c>
      <c r="Y287" s="563"/>
      <c r="Z287" s="563">
        <v>120970.32</v>
      </c>
      <c r="AA287" s="563">
        <v>68979.790000000008</v>
      </c>
      <c r="AB287" s="563"/>
      <c r="AC287" s="563"/>
      <c r="AD287" s="563">
        <v>189950.11000000002</v>
      </c>
      <c r="AE287" s="124"/>
      <c r="AF287" s="541">
        <v>1046</v>
      </c>
      <c r="AG287" s="540" t="s">
        <v>581</v>
      </c>
      <c r="AH287" s="442" t="s">
        <v>26</v>
      </c>
      <c r="AI287" s="552" t="s">
        <v>580</v>
      </c>
      <c r="AJ287" s="563"/>
      <c r="AK287" s="563">
        <v>131270.14000000001</v>
      </c>
      <c r="AL287" s="563">
        <v>72793.88</v>
      </c>
      <c r="AM287" s="563"/>
      <c r="AN287" s="563"/>
      <c r="AO287" s="563">
        <v>204064.02000000002</v>
      </c>
      <c r="AR287" s="124">
        <f>+L287</f>
        <v>25515.120000000003</v>
      </c>
      <c r="AS287" s="124">
        <f>+F287</f>
        <v>24941.309999999998</v>
      </c>
      <c r="AV287" s="372">
        <f t="shared" si="9"/>
        <v>50456.43</v>
      </c>
      <c r="AW287" s="124">
        <f>+AV287+AO287-P287</f>
        <v>0</v>
      </c>
      <c r="AZ287" s="563"/>
      <c r="BA287" s="563">
        <v>3256.54</v>
      </c>
      <c r="BB287" s="563">
        <v>1876.02</v>
      </c>
      <c r="BC287" s="563"/>
      <c r="BD287" s="563"/>
      <c r="BE287" s="563">
        <v>5132.5599999999995</v>
      </c>
      <c r="BF287" s="372"/>
      <c r="BO287" s="563"/>
      <c r="BP287" s="563">
        <v>281012.12</v>
      </c>
      <c r="BQ287" s="563">
        <v>168591</v>
      </c>
      <c r="BR287" s="563"/>
      <c r="BS287" s="563"/>
      <c r="BT287" s="563">
        <v>449603.12</v>
      </c>
      <c r="BW287" s="126">
        <v>2905</v>
      </c>
      <c r="BX287" s="125">
        <v>36901</v>
      </c>
      <c r="BY287" s="19" t="s">
        <v>1039</v>
      </c>
      <c r="BZ287" t="s">
        <v>1126</v>
      </c>
    </row>
    <row r="288" spans="1:78" x14ac:dyDescent="0.3">
      <c r="A288" s="436">
        <v>36402</v>
      </c>
      <c r="B288" s="19" t="s">
        <v>26</v>
      </c>
      <c r="C288" t="s">
        <v>424</v>
      </c>
      <c r="D288" s="563"/>
      <c r="E288" s="120"/>
      <c r="F288" s="563">
        <v>30458.95</v>
      </c>
      <c r="G288" s="120">
        <v>5.5240736095635169E-5</v>
      </c>
      <c r="H288" s="563">
        <v>88188.84</v>
      </c>
      <c r="I288" s="120">
        <v>3.2277938616360438E-4</v>
      </c>
      <c r="J288" s="563">
        <v>0</v>
      </c>
      <c r="K288" s="120">
        <v>0</v>
      </c>
      <c r="L288" s="563">
        <v>45829.42</v>
      </c>
      <c r="M288" s="120">
        <v>3.1758260465021652E-4</v>
      </c>
      <c r="N288" s="563">
        <v>226514.2</v>
      </c>
      <c r="O288" s="120">
        <v>3.0668544193752028E-4</v>
      </c>
      <c r="P288" s="124">
        <v>390991.41000000003</v>
      </c>
      <c r="Q288" s="124"/>
      <c r="T288" s="373"/>
      <c r="U288" s="541">
        <v>761</v>
      </c>
      <c r="V288" s="540" t="s">
        <v>425</v>
      </c>
      <c r="W288" s="442" t="s">
        <v>26</v>
      </c>
      <c r="X288" s="552" t="s">
        <v>424</v>
      </c>
      <c r="Y288" s="563">
        <v>0</v>
      </c>
      <c r="Z288" s="563">
        <v>227286.97</v>
      </c>
      <c r="AA288" s="563">
        <v>82324.700000000012</v>
      </c>
      <c r="AB288" s="563"/>
      <c r="AC288" s="563"/>
      <c r="AD288" s="563">
        <v>309611.67000000004</v>
      </c>
      <c r="AE288" s="124"/>
      <c r="AF288" s="541">
        <v>761</v>
      </c>
      <c r="AG288" s="540" t="s">
        <v>425</v>
      </c>
      <c r="AH288" s="442" t="s">
        <v>26</v>
      </c>
      <c r="AI288" s="552" t="s">
        <v>424</v>
      </c>
      <c r="AJ288" s="563">
        <v>0</v>
      </c>
      <c r="AK288" s="563">
        <v>226514.2</v>
      </c>
      <c r="AL288" s="563">
        <v>88188.84</v>
      </c>
      <c r="AM288" s="563"/>
      <c r="AN288" s="563"/>
      <c r="AO288" s="563">
        <v>314703.04000000004</v>
      </c>
      <c r="AR288" s="124">
        <f>+L288</f>
        <v>45829.42</v>
      </c>
      <c r="AS288" s="124">
        <f>+F288</f>
        <v>30458.95</v>
      </c>
      <c r="AV288" s="372">
        <f t="shared" si="9"/>
        <v>76288.37</v>
      </c>
      <c r="AW288" s="124">
        <f>+AV288+AO288-P288</f>
        <v>0</v>
      </c>
      <c r="AZ288" s="563">
        <v>0</v>
      </c>
      <c r="BA288" s="563">
        <v>5612.16</v>
      </c>
      <c r="BB288" s="563">
        <v>2272.6400000000003</v>
      </c>
      <c r="BC288" s="563"/>
      <c r="BD288" s="563"/>
      <c r="BE288" s="563">
        <v>7884.8</v>
      </c>
      <c r="BF288" s="372"/>
      <c r="BO288" s="563">
        <v>0</v>
      </c>
      <c r="BP288" s="563">
        <v>505242.75</v>
      </c>
      <c r="BQ288" s="563">
        <v>203245.13</v>
      </c>
      <c r="BR288" s="563"/>
      <c r="BS288" s="563"/>
      <c r="BT288" s="563">
        <v>708487.88</v>
      </c>
      <c r="BW288" s="126">
        <v>54</v>
      </c>
      <c r="BX288" s="125">
        <v>37501</v>
      </c>
      <c r="BY288" s="19" t="s">
        <v>21</v>
      </c>
      <c r="BZ288" t="s">
        <v>741</v>
      </c>
    </row>
    <row r="289" spans="1:78" x14ac:dyDescent="0.3">
      <c r="A289" s="436">
        <v>37501</v>
      </c>
      <c r="B289" s="19" t="s">
        <v>21</v>
      </c>
      <c r="C289" t="s">
        <v>37</v>
      </c>
      <c r="D289" s="563"/>
      <c r="E289" s="120"/>
      <c r="F289" s="563">
        <v>1012874.1</v>
      </c>
      <c r="G289" s="120">
        <v>1.8369612496886461E-3</v>
      </c>
      <c r="H289" s="563">
        <v>2998908.62</v>
      </c>
      <c r="I289" s="120">
        <v>1.0976285474719271E-2</v>
      </c>
      <c r="J289" s="563"/>
      <c r="K289" s="120"/>
      <c r="L289" s="563">
        <v>1642940.71</v>
      </c>
      <c r="M289" s="120">
        <v>1.1385031492165427E-2</v>
      </c>
      <c r="N289" s="563">
        <v>8414531.8000000007</v>
      </c>
      <c r="O289" s="120">
        <v>1.1392726830284009E-2</v>
      </c>
      <c r="P289" s="124">
        <v>14069255.23</v>
      </c>
      <c r="Q289" s="124"/>
      <c r="T289" s="373"/>
      <c r="U289" s="541">
        <v>54</v>
      </c>
      <c r="V289" s="540" t="s">
        <v>38</v>
      </c>
      <c r="W289" s="442" t="s">
        <v>21</v>
      </c>
      <c r="X289" s="552" t="s">
        <v>37</v>
      </c>
      <c r="Y289" s="563"/>
      <c r="Z289" s="563">
        <v>8620568.8900000006</v>
      </c>
      <c r="AA289" s="563">
        <v>3029323.29</v>
      </c>
      <c r="AB289" s="563"/>
      <c r="AC289" s="563"/>
      <c r="AD289" s="563">
        <v>11649892.18</v>
      </c>
      <c r="AE289" s="124"/>
      <c r="AF289" s="541">
        <v>54</v>
      </c>
      <c r="AG289" s="540" t="s">
        <v>38</v>
      </c>
      <c r="AH289" s="442" t="s">
        <v>21</v>
      </c>
      <c r="AI289" s="552" t="s">
        <v>37</v>
      </c>
      <c r="AJ289" s="563"/>
      <c r="AK289" s="563">
        <v>8414531.8000000007</v>
      </c>
      <c r="AL289" s="563">
        <v>2998908.62</v>
      </c>
      <c r="AM289" s="563"/>
      <c r="AN289" s="563"/>
      <c r="AO289" s="563">
        <v>11413440.420000002</v>
      </c>
      <c r="AR289" s="124">
        <f>+L289</f>
        <v>1642940.71</v>
      </c>
      <c r="AS289" s="124">
        <f>+F289</f>
        <v>1012874.1</v>
      </c>
      <c r="AV289" s="372">
        <f t="shared" si="9"/>
        <v>2655814.81</v>
      </c>
      <c r="AW289" s="124">
        <f>+AV289+AO289-P289</f>
        <v>0</v>
      </c>
      <c r="AZ289" s="563"/>
      <c r="BA289" s="563">
        <v>208773.8</v>
      </c>
      <c r="BB289" s="563">
        <v>77291.09</v>
      </c>
      <c r="BC289" s="563"/>
      <c r="BD289" s="563"/>
      <c r="BE289" s="563">
        <v>286064.89</v>
      </c>
      <c r="BF289" s="372"/>
      <c r="BO289" s="563"/>
      <c r="BP289" s="563">
        <v>18886815.199999999</v>
      </c>
      <c r="BQ289" s="563">
        <v>7118397.0999999996</v>
      </c>
      <c r="BR289" s="563"/>
      <c r="BS289" s="563"/>
      <c r="BT289" s="563">
        <v>26005212.299999997</v>
      </c>
      <c r="BW289" s="126">
        <v>72</v>
      </c>
      <c r="BX289" s="125">
        <v>37503</v>
      </c>
      <c r="BY289" s="19" t="s">
        <v>21</v>
      </c>
      <c r="BZ289" t="s">
        <v>745</v>
      </c>
    </row>
    <row r="290" spans="1:78" x14ac:dyDescent="0.3">
      <c r="A290" s="436">
        <v>37502</v>
      </c>
      <c r="B290" s="19" t="s">
        <v>21</v>
      </c>
      <c r="C290" t="s">
        <v>182</v>
      </c>
      <c r="D290" s="563"/>
      <c r="E290" s="120"/>
      <c r="F290" s="563">
        <v>374799.13</v>
      </c>
      <c r="G290" s="120">
        <v>6.79740431932278E-4</v>
      </c>
      <c r="H290" s="563">
        <v>1105740.3700000001</v>
      </c>
      <c r="I290" s="120">
        <v>4.0471129667304486E-3</v>
      </c>
      <c r="J290" s="563">
        <v>2030.06</v>
      </c>
      <c r="K290" s="120">
        <v>1.4067639136524497E-5</v>
      </c>
      <c r="L290" s="563">
        <v>554458.66999999993</v>
      </c>
      <c r="M290" s="120">
        <v>3.8422137698774029E-3</v>
      </c>
      <c r="N290" s="563">
        <v>2855450.46</v>
      </c>
      <c r="O290" s="120">
        <v>3.8660935440506402E-3</v>
      </c>
      <c r="P290" s="124">
        <v>4892478.6899999995</v>
      </c>
      <c r="Q290" s="124"/>
      <c r="T290" s="373"/>
      <c r="U290" s="541">
        <v>297</v>
      </c>
      <c r="V290" s="540" t="s">
        <v>183</v>
      </c>
      <c r="W290" s="442" t="s">
        <v>21</v>
      </c>
      <c r="X290" s="552" t="s">
        <v>182</v>
      </c>
      <c r="Y290" s="563">
        <v>1281.95</v>
      </c>
      <c r="Z290" s="563">
        <v>2706003.8</v>
      </c>
      <c r="AA290" s="563">
        <v>1077599.75</v>
      </c>
      <c r="AB290" s="563"/>
      <c r="AC290" s="563"/>
      <c r="AD290" s="563">
        <v>3784885.5</v>
      </c>
      <c r="AE290" s="124"/>
      <c r="AF290" s="541">
        <v>297</v>
      </c>
      <c r="AG290" s="540" t="s">
        <v>183</v>
      </c>
      <c r="AH290" s="442" t="s">
        <v>21</v>
      </c>
      <c r="AI290" s="552" t="s">
        <v>182</v>
      </c>
      <c r="AJ290" s="563">
        <v>2030.06</v>
      </c>
      <c r="AK290" s="563">
        <v>2855450.46</v>
      </c>
      <c r="AL290" s="563">
        <v>1105740.3700000001</v>
      </c>
      <c r="AM290" s="563"/>
      <c r="AN290" s="563"/>
      <c r="AO290" s="563">
        <v>3963220.89</v>
      </c>
      <c r="AR290" s="124">
        <f>+L290</f>
        <v>554458.66999999993</v>
      </c>
      <c r="AS290" s="124">
        <f>+F290</f>
        <v>374799.13</v>
      </c>
      <c r="AV290" s="372">
        <f t="shared" si="9"/>
        <v>929257.79999999993</v>
      </c>
      <c r="AW290" s="124">
        <f>+AV290+AO290-P290</f>
        <v>0</v>
      </c>
      <c r="AZ290" s="563">
        <v>42.72</v>
      </c>
      <c r="BA290" s="563">
        <v>70854.14</v>
      </c>
      <c r="BB290" s="563">
        <v>28498.309999999998</v>
      </c>
      <c r="BC290" s="563"/>
      <c r="BD290" s="563"/>
      <c r="BE290" s="563">
        <v>99395.17</v>
      </c>
      <c r="BF290" s="372"/>
      <c r="BO290" s="563">
        <v>3354.73</v>
      </c>
      <c r="BP290" s="563">
        <v>6186767.0699999994</v>
      </c>
      <c r="BQ290" s="563">
        <v>2586637.56</v>
      </c>
      <c r="BR290" s="563"/>
      <c r="BS290" s="563"/>
      <c r="BT290" s="563">
        <v>8776759.3599999994</v>
      </c>
      <c r="BW290" s="126">
        <v>557</v>
      </c>
      <c r="BX290" s="125">
        <v>37504</v>
      </c>
      <c r="BY290" s="19" t="s">
        <v>21</v>
      </c>
      <c r="BZ290" t="s">
        <v>859</v>
      </c>
    </row>
    <row r="291" spans="1:78" x14ac:dyDescent="0.3">
      <c r="A291" s="436">
        <v>37503</v>
      </c>
      <c r="B291" s="19" t="s">
        <v>21</v>
      </c>
      <c r="C291" t="s">
        <v>46</v>
      </c>
      <c r="D291" s="563"/>
      <c r="E291" s="120"/>
      <c r="F291" s="563">
        <v>178584.03</v>
      </c>
      <c r="G291" s="120">
        <v>3.2388225044280891E-4</v>
      </c>
      <c r="H291" s="563">
        <v>520347.57</v>
      </c>
      <c r="I291" s="120">
        <v>1.904520676724211E-3</v>
      </c>
      <c r="J291" s="563">
        <v>0</v>
      </c>
      <c r="K291" s="120">
        <v>0</v>
      </c>
      <c r="L291" s="563">
        <v>287113.78000000003</v>
      </c>
      <c r="M291" s="120">
        <v>1.9896027940866207E-3</v>
      </c>
      <c r="N291" s="563">
        <v>1467934.35</v>
      </c>
      <c r="O291" s="120">
        <v>1.9874872960062395E-3</v>
      </c>
      <c r="P291" s="124">
        <v>2453979.73</v>
      </c>
      <c r="Q291" s="124"/>
      <c r="T291" s="373"/>
      <c r="U291" s="541">
        <v>72</v>
      </c>
      <c r="V291" s="540" t="s">
        <v>47</v>
      </c>
      <c r="W291" s="442" t="s">
        <v>21</v>
      </c>
      <c r="X291" s="552" t="s">
        <v>46</v>
      </c>
      <c r="Y291" s="563">
        <v>0</v>
      </c>
      <c r="Z291" s="563">
        <v>1530702.96</v>
      </c>
      <c r="AA291" s="563">
        <v>521221.68000000005</v>
      </c>
      <c r="AB291" s="563"/>
      <c r="AC291" s="563"/>
      <c r="AD291" s="563">
        <v>2051924.6400000001</v>
      </c>
      <c r="AE291" s="124"/>
      <c r="AF291" s="541">
        <v>72</v>
      </c>
      <c r="AG291" s="540" t="s">
        <v>47</v>
      </c>
      <c r="AH291" s="442" t="s">
        <v>21</v>
      </c>
      <c r="AI291" s="552" t="s">
        <v>46</v>
      </c>
      <c r="AJ291" s="563">
        <v>0</v>
      </c>
      <c r="AK291" s="563">
        <v>1467934.35</v>
      </c>
      <c r="AL291" s="563">
        <v>520347.57</v>
      </c>
      <c r="AM291" s="563"/>
      <c r="AN291" s="563"/>
      <c r="AO291" s="563">
        <v>1988281.9200000002</v>
      </c>
      <c r="AR291" s="124">
        <f>+L291</f>
        <v>287113.78000000003</v>
      </c>
      <c r="AS291" s="124">
        <f>+F291</f>
        <v>178584.03</v>
      </c>
      <c r="AV291" s="372">
        <f t="shared" si="9"/>
        <v>465697.81000000006</v>
      </c>
      <c r="AW291" s="124">
        <f>+AV291+AO291-P291</f>
        <v>0</v>
      </c>
      <c r="AZ291" s="563">
        <v>0</v>
      </c>
      <c r="BA291" s="563">
        <v>36412.51</v>
      </c>
      <c r="BB291" s="563">
        <v>13403.970000000001</v>
      </c>
      <c r="BC291" s="563"/>
      <c r="BD291" s="563"/>
      <c r="BE291" s="563">
        <v>49816.480000000003</v>
      </c>
      <c r="BF291" s="372"/>
      <c r="BO291" s="563">
        <v>0</v>
      </c>
      <c r="BP291" s="563">
        <v>3322163.5999999996</v>
      </c>
      <c r="BQ291" s="563">
        <v>1233557.25</v>
      </c>
      <c r="BR291" s="563"/>
      <c r="BS291" s="563"/>
      <c r="BT291" s="563">
        <v>4555720.8499999996</v>
      </c>
      <c r="BW291" s="126">
        <v>586</v>
      </c>
      <c r="BX291" s="125">
        <v>37505</v>
      </c>
      <c r="BY291" s="19" t="s">
        <v>21</v>
      </c>
      <c r="BZ291" t="s">
        <v>870</v>
      </c>
    </row>
    <row r="292" spans="1:78" x14ac:dyDescent="0.3">
      <c r="A292" s="436">
        <v>37504</v>
      </c>
      <c r="B292" s="19" t="s">
        <v>21</v>
      </c>
      <c r="C292" t="s">
        <v>280</v>
      </c>
      <c r="D292" s="563"/>
      <c r="E292" s="120"/>
      <c r="F292" s="563">
        <v>243812.65</v>
      </c>
      <c r="G292" s="120">
        <v>4.4218169882505678E-4</v>
      </c>
      <c r="H292" s="563">
        <v>721993.61</v>
      </c>
      <c r="I292" s="120">
        <v>2.6425640052623982E-3</v>
      </c>
      <c r="J292" s="563">
        <v>0</v>
      </c>
      <c r="K292" s="120">
        <v>0</v>
      </c>
      <c r="L292" s="563">
        <v>420493.9</v>
      </c>
      <c r="M292" s="120">
        <v>2.9138825671703394E-3</v>
      </c>
      <c r="N292" s="563">
        <v>2157427.36</v>
      </c>
      <c r="O292" s="120">
        <v>2.9210158274832112E-3</v>
      </c>
      <c r="P292" s="124">
        <v>3543727.52</v>
      </c>
      <c r="Q292" s="124"/>
      <c r="T292" s="373"/>
      <c r="U292" s="541">
        <v>557</v>
      </c>
      <c r="V292" s="540" t="s">
        <v>281</v>
      </c>
      <c r="W292" s="442" t="s">
        <v>21</v>
      </c>
      <c r="X292" s="552" t="s">
        <v>280</v>
      </c>
      <c r="Y292" s="563">
        <v>0</v>
      </c>
      <c r="Z292" s="563">
        <v>2210018.4</v>
      </c>
      <c r="AA292" s="563">
        <v>706238.84</v>
      </c>
      <c r="AB292" s="563"/>
      <c r="AC292" s="563"/>
      <c r="AD292" s="563">
        <v>2916257.2399999998</v>
      </c>
      <c r="AE292" s="124"/>
      <c r="AF292" s="541">
        <v>557</v>
      </c>
      <c r="AG292" s="540" t="s">
        <v>281</v>
      </c>
      <c r="AH292" s="442" t="s">
        <v>21</v>
      </c>
      <c r="AI292" s="552" t="s">
        <v>280</v>
      </c>
      <c r="AJ292" s="563">
        <v>0</v>
      </c>
      <c r="AK292" s="563">
        <v>2157427.36</v>
      </c>
      <c r="AL292" s="563">
        <v>721993.61</v>
      </c>
      <c r="AM292" s="563"/>
      <c r="AN292" s="563"/>
      <c r="AO292" s="563">
        <v>2879420.9699999997</v>
      </c>
      <c r="AR292" s="124">
        <f>+L292</f>
        <v>420493.9</v>
      </c>
      <c r="AS292" s="124">
        <f>+F292</f>
        <v>243812.65</v>
      </c>
      <c r="AV292" s="372">
        <f t="shared" si="9"/>
        <v>664306.55000000005</v>
      </c>
      <c r="AW292" s="124">
        <f>+AV292+AO292-P292</f>
        <v>0</v>
      </c>
      <c r="AZ292" s="563">
        <v>0</v>
      </c>
      <c r="BA292" s="563">
        <v>53533.71</v>
      </c>
      <c r="BB292" s="563">
        <v>18607.949999999997</v>
      </c>
      <c r="BC292" s="563"/>
      <c r="BD292" s="563"/>
      <c r="BE292" s="563">
        <v>72141.66</v>
      </c>
      <c r="BF292" s="372"/>
      <c r="BO292" s="563">
        <v>0</v>
      </c>
      <c r="BP292" s="563">
        <v>4841473.37</v>
      </c>
      <c r="BQ292" s="563">
        <v>1690653.0499999998</v>
      </c>
      <c r="BR292" s="563"/>
      <c r="BS292" s="563"/>
      <c r="BT292" s="563">
        <v>6532126.4199999999</v>
      </c>
      <c r="BW292" s="126">
        <v>643</v>
      </c>
      <c r="BX292" s="125">
        <v>37506</v>
      </c>
      <c r="BY292" s="19" t="s">
        <v>21</v>
      </c>
      <c r="BZ292" t="s">
        <v>890</v>
      </c>
    </row>
    <row r="293" spans="1:78" x14ac:dyDescent="0.3">
      <c r="A293" s="436">
        <v>37505</v>
      </c>
      <c r="B293" s="19" t="s">
        <v>21</v>
      </c>
      <c r="C293" t="s">
        <v>302</v>
      </c>
      <c r="D293" s="563"/>
      <c r="E293" s="120"/>
      <c r="F293" s="563">
        <v>148309.21</v>
      </c>
      <c r="G293" s="120">
        <v>2.6897545483879572E-4</v>
      </c>
      <c r="H293" s="563">
        <v>438594.72</v>
      </c>
      <c r="I293" s="120">
        <v>1.6052976147117699E-3</v>
      </c>
      <c r="J293" s="563">
        <v>0</v>
      </c>
      <c r="K293" s="120">
        <v>0</v>
      </c>
      <c r="L293" s="563">
        <v>219648.37</v>
      </c>
      <c r="M293" s="120">
        <v>1.5220899904859035E-3</v>
      </c>
      <c r="N293" s="563">
        <v>1122907.56</v>
      </c>
      <c r="O293" s="120">
        <v>1.5203435426723029E-3</v>
      </c>
      <c r="P293" s="124">
        <v>1929459.8599999999</v>
      </c>
      <c r="Q293" s="124"/>
      <c r="T293" s="373"/>
      <c r="U293" s="541">
        <v>586</v>
      </c>
      <c r="V293" s="540" t="s">
        <v>303</v>
      </c>
      <c r="W293" s="442" t="s">
        <v>21</v>
      </c>
      <c r="X293" s="552" t="s">
        <v>302</v>
      </c>
      <c r="Y293" s="563">
        <v>0</v>
      </c>
      <c r="Z293" s="563">
        <v>1224750.6800000002</v>
      </c>
      <c r="AA293" s="563">
        <v>424972.29000000004</v>
      </c>
      <c r="AB293" s="563"/>
      <c r="AC293" s="563"/>
      <c r="AD293" s="563">
        <v>1649722.9700000002</v>
      </c>
      <c r="AE293" s="124"/>
      <c r="AF293" s="541">
        <v>586</v>
      </c>
      <c r="AG293" s="540" t="s">
        <v>303</v>
      </c>
      <c r="AH293" s="442" t="s">
        <v>21</v>
      </c>
      <c r="AI293" s="552" t="s">
        <v>302</v>
      </c>
      <c r="AJ293" s="563">
        <v>0</v>
      </c>
      <c r="AK293" s="563">
        <v>1122907.56</v>
      </c>
      <c r="AL293" s="563">
        <v>438594.72</v>
      </c>
      <c r="AM293" s="563"/>
      <c r="AN293" s="563"/>
      <c r="AO293" s="563">
        <v>1561502.28</v>
      </c>
      <c r="AR293" s="124">
        <f>+L293</f>
        <v>219648.37</v>
      </c>
      <c r="AS293" s="124">
        <f>+F293</f>
        <v>148309.21</v>
      </c>
      <c r="AV293" s="372">
        <f t="shared" si="9"/>
        <v>367957.57999999996</v>
      </c>
      <c r="AW293" s="124">
        <f>+AV293+AO293-P293</f>
        <v>0</v>
      </c>
      <c r="AZ293" s="563">
        <v>0</v>
      </c>
      <c r="BA293" s="563">
        <v>27861.360000000001</v>
      </c>
      <c r="BB293" s="563">
        <v>11306.25</v>
      </c>
      <c r="BC293" s="563"/>
      <c r="BD293" s="563"/>
      <c r="BE293" s="563">
        <v>39167.61</v>
      </c>
      <c r="BF293" s="372"/>
      <c r="BO293" s="563">
        <v>0</v>
      </c>
      <c r="BP293" s="563">
        <v>2595167.9700000002</v>
      </c>
      <c r="BQ293" s="563">
        <v>1023182.47</v>
      </c>
      <c r="BR293" s="563"/>
      <c r="BS293" s="563"/>
      <c r="BT293" s="563">
        <v>3618350.4400000004</v>
      </c>
      <c r="BW293" s="126">
        <v>615</v>
      </c>
      <c r="BX293" s="125">
        <v>37507</v>
      </c>
      <c r="BY293" s="19" t="s">
        <v>21</v>
      </c>
      <c r="BZ293" t="s">
        <v>879</v>
      </c>
    </row>
    <row r="294" spans="1:78" x14ac:dyDescent="0.3">
      <c r="A294" s="436">
        <v>37506</v>
      </c>
      <c r="B294" s="19" t="s">
        <v>21</v>
      </c>
      <c r="C294" t="s">
        <v>340</v>
      </c>
      <c r="D294" s="563"/>
      <c r="E294" s="120"/>
      <c r="F294" s="563">
        <v>154674.88</v>
      </c>
      <c r="G294" s="120">
        <v>2.8052031428214168E-4</v>
      </c>
      <c r="H294" s="563">
        <v>457921.77</v>
      </c>
      <c r="I294" s="120">
        <v>1.676036421746235E-3</v>
      </c>
      <c r="J294" s="563"/>
      <c r="K294" s="120"/>
      <c r="L294" s="563">
        <v>242107.78</v>
      </c>
      <c r="M294" s="120">
        <v>1.6777262155724772E-3</v>
      </c>
      <c r="N294" s="563">
        <v>1242618.3500000001</v>
      </c>
      <c r="O294" s="120">
        <v>1.6824241386607208E-3</v>
      </c>
      <c r="P294" s="124">
        <v>2097322.7800000003</v>
      </c>
      <c r="Q294" s="124"/>
      <c r="T294" s="373"/>
      <c r="U294" s="541">
        <v>643</v>
      </c>
      <c r="V294" s="540" t="s">
        <v>341</v>
      </c>
      <c r="W294" s="442" t="s">
        <v>21</v>
      </c>
      <c r="X294" s="552" t="s">
        <v>340</v>
      </c>
      <c r="Y294" s="563"/>
      <c r="Z294" s="563">
        <v>1213431.71</v>
      </c>
      <c r="AA294" s="563">
        <v>456352.85</v>
      </c>
      <c r="AB294" s="563"/>
      <c r="AC294" s="563"/>
      <c r="AD294" s="563">
        <v>1669784.56</v>
      </c>
      <c r="AE294" s="124"/>
      <c r="AF294" s="541">
        <v>643</v>
      </c>
      <c r="AG294" s="540" t="s">
        <v>341</v>
      </c>
      <c r="AH294" s="442" t="s">
        <v>21</v>
      </c>
      <c r="AI294" s="552" t="s">
        <v>340</v>
      </c>
      <c r="AJ294" s="563"/>
      <c r="AK294" s="563">
        <v>1242618.3500000001</v>
      </c>
      <c r="AL294" s="563">
        <v>457921.77</v>
      </c>
      <c r="AM294" s="563"/>
      <c r="AN294" s="563"/>
      <c r="AO294" s="563">
        <v>1700540.12</v>
      </c>
      <c r="AR294" s="124">
        <f>+L294</f>
        <v>242107.78</v>
      </c>
      <c r="AS294" s="124">
        <f>+F294</f>
        <v>154674.88</v>
      </c>
      <c r="AV294" s="372">
        <f t="shared" si="9"/>
        <v>396782.66000000003</v>
      </c>
      <c r="AW294" s="124">
        <f>+AV294+AO294-P294</f>
        <v>0</v>
      </c>
      <c r="AZ294" s="563"/>
      <c r="BA294" s="563">
        <v>30834.010000000002</v>
      </c>
      <c r="BB294" s="563">
        <v>11801.84</v>
      </c>
      <c r="BC294" s="563"/>
      <c r="BD294" s="563"/>
      <c r="BE294" s="563">
        <v>42635.850000000006</v>
      </c>
      <c r="BF294" s="372"/>
      <c r="BO294" s="563"/>
      <c r="BP294" s="563">
        <v>2728991.85</v>
      </c>
      <c r="BQ294" s="563">
        <v>1080751.3399999999</v>
      </c>
      <c r="BR294" s="563"/>
      <c r="BS294" s="563"/>
      <c r="BT294" s="563">
        <v>3809743.19</v>
      </c>
      <c r="BW294" s="126">
        <v>512</v>
      </c>
      <c r="BX294" s="125">
        <v>38126</v>
      </c>
      <c r="BY294" s="19" t="s">
        <v>18</v>
      </c>
      <c r="BZ294" t="s">
        <v>1057</v>
      </c>
    </row>
    <row r="295" spans="1:78" x14ac:dyDescent="0.3">
      <c r="A295" s="436">
        <v>37507</v>
      </c>
      <c r="B295" s="19" t="s">
        <v>21</v>
      </c>
      <c r="C295" t="s">
        <v>320</v>
      </c>
      <c r="D295" s="563"/>
      <c r="E295" s="120"/>
      <c r="F295" s="563">
        <v>152512.28999999998</v>
      </c>
      <c r="G295" s="120">
        <v>2.7659821376741411E-4</v>
      </c>
      <c r="H295" s="563">
        <v>449919.19999999995</v>
      </c>
      <c r="I295" s="120">
        <v>1.6467462685666344E-3</v>
      </c>
      <c r="J295" s="563">
        <v>0</v>
      </c>
      <c r="K295" s="120">
        <v>0</v>
      </c>
      <c r="L295" s="563">
        <v>215090.43</v>
      </c>
      <c r="M295" s="120">
        <v>1.4905049855471674E-3</v>
      </c>
      <c r="N295" s="563">
        <v>1104400.07</v>
      </c>
      <c r="O295" s="120">
        <v>1.4952856092191056E-3</v>
      </c>
      <c r="P295" s="124">
        <v>1921921.99</v>
      </c>
      <c r="Q295" s="124"/>
      <c r="T295" s="373"/>
      <c r="U295" s="541">
        <v>615</v>
      </c>
      <c r="V295" s="540" t="s">
        <v>321</v>
      </c>
      <c r="W295" s="442" t="s">
        <v>21</v>
      </c>
      <c r="X295" s="552" t="s">
        <v>320</v>
      </c>
      <c r="Y295" s="563">
        <v>0</v>
      </c>
      <c r="Z295" s="563">
        <v>1158093.92</v>
      </c>
      <c r="AA295" s="563">
        <v>422655.49</v>
      </c>
      <c r="AB295" s="563"/>
      <c r="AC295" s="563"/>
      <c r="AD295" s="563">
        <v>1580749.41</v>
      </c>
      <c r="AE295" s="124"/>
      <c r="AF295" s="541">
        <v>615</v>
      </c>
      <c r="AG295" s="540" t="s">
        <v>321</v>
      </c>
      <c r="AH295" s="442" t="s">
        <v>21</v>
      </c>
      <c r="AI295" s="552" t="s">
        <v>320</v>
      </c>
      <c r="AJ295" s="563">
        <v>0</v>
      </c>
      <c r="AK295" s="563">
        <v>1104400.07</v>
      </c>
      <c r="AL295" s="563">
        <v>449919.19999999995</v>
      </c>
      <c r="AM295" s="563"/>
      <c r="AN295" s="563"/>
      <c r="AO295" s="563">
        <v>1554319.27</v>
      </c>
      <c r="AR295" s="124">
        <f>+L295</f>
        <v>215090.43</v>
      </c>
      <c r="AS295" s="124">
        <f>+F295</f>
        <v>152512.28999999998</v>
      </c>
      <c r="AV295" s="372">
        <f t="shared" si="9"/>
        <v>367602.72</v>
      </c>
      <c r="AW295" s="124">
        <f>+AV295+AO295-P295</f>
        <v>0</v>
      </c>
      <c r="AZ295" s="563">
        <v>0</v>
      </c>
      <c r="BA295" s="563">
        <v>27402.6</v>
      </c>
      <c r="BB295" s="563">
        <v>11595.740000000002</v>
      </c>
      <c r="BC295" s="563"/>
      <c r="BD295" s="563"/>
      <c r="BE295" s="563">
        <v>38998.339999999997</v>
      </c>
      <c r="BF295" s="372"/>
      <c r="BO295" s="563">
        <v>0</v>
      </c>
      <c r="BP295" s="563">
        <v>2504987.02</v>
      </c>
      <c r="BQ295" s="563">
        <v>1036682.72</v>
      </c>
      <c r="BR295" s="563"/>
      <c r="BS295" s="563"/>
      <c r="BT295" s="563">
        <v>3541669.74</v>
      </c>
      <c r="BW295" s="126">
        <v>523</v>
      </c>
      <c r="BX295" s="125">
        <v>38264</v>
      </c>
      <c r="BY295" s="19" t="s">
        <v>18</v>
      </c>
      <c r="BZ295" t="s">
        <v>852</v>
      </c>
    </row>
    <row r="296" spans="1:78" x14ac:dyDescent="0.3">
      <c r="A296" s="440">
        <v>37902</v>
      </c>
      <c r="B296" s="19" t="s">
        <v>1039</v>
      </c>
      <c r="C296" t="s">
        <v>1182</v>
      </c>
      <c r="D296" s="563"/>
      <c r="E296" s="120"/>
      <c r="F296" s="563">
        <v>4287.21</v>
      </c>
      <c r="G296" s="120">
        <v>7.7753381582939683E-6</v>
      </c>
      <c r="H296" s="563">
        <v>12634.49</v>
      </c>
      <c r="I296" s="120">
        <v>4.6243412734425329E-5</v>
      </c>
      <c r="J296" s="563"/>
      <c r="K296" s="120"/>
      <c r="L296" s="563">
        <v>11823.35</v>
      </c>
      <c r="M296" s="120">
        <v>8.193187451840188E-5</v>
      </c>
      <c r="N296" s="563">
        <v>61002.32</v>
      </c>
      <c r="O296" s="120">
        <v>8.2593159582993169E-5</v>
      </c>
      <c r="P296" s="124">
        <v>89747.37</v>
      </c>
      <c r="Q296" s="124"/>
      <c r="T296" s="373"/>
      <c r="U296" s="548">
        <v>4276</v>
      </c>
      <c r="V296" s="542" t="s">
        <v>1181</v>
      </c>
      <c r="W296" s="442" t="s">
        <v>1039</v>
      </c>
      <c r="X296" s="552" t="s">
        <v>1182</v>
      </c>
      <c r="Y296" s="563"/>
      <c r="Z296" s="563">
        <v>64150.42</v>
      </c>
      <c r="AA296" s="563">
        <v>12610.990000000002</v>
      </c>
      <c r="AB296" s="563"/>
      <c r="AC296" s="563"/>
      <c r="AD296" s="563">
        <v>76761.41</v>
      </c>
      <c r="AE296" s="124"/>
      <c r="AF296" s="548">
        <v>4276</v>
      </c>
      <c r="AG296" s="542" t="s">
        <v>1181</v>
      </c>
      <c r="AH296" s="442" t="s">
        <v>1039</v>
      </c>
      <c r="AI296" s="552" t="s">
        <v>1182</v>
      </c>
      <c r="AJ296" s="563"/>
      <c r="AK296" s="563">
        <v>61002.32</v>
      </c>
      <c r="AL296" s="563">
        <v>12634.49</v>
      </c>
      <c r="AM296" s="563"/>
      <c r="AN296" s="563"/>
      <c r="AO296" s="563">
        <v>73636.81</v>
      </c>
      <c r="AR296" s="124">
        <f>+L296</f>
        <v>11823.35</v>
      </c>
      <c r="AS296" s="124">
        <f>+F296</f>
        <v>4287.21</v>
      </c>
      <c r="AV296" s="372">
        <f t="shared" si="9"/>
        <v>16110.560000000001</v>
      </c>
      <c r="AW296" s="124">
        <f>+AV296+AO296-P296</f>
        <v>0</v>
      </c>
      <c r="AZ296" s="563"/>
      <c r="BA296" s="563">
        <v>1513.56</v>
      </c>
      <c r="BB296" s="563">
        <v>325.49</v>
      </c>
      <c r="BC296" s="563"/>
      <c r="BD296" s="563"/>
      <c r="BE296" s="563">
        <v>1839.05</v>
      </c>
      <c r="BF296" s="372"/>
      <c r="BO296" s="563"/>
      <c r="BP296" s="563">
        <v>138489.65000000002</v>
      </c>
      <c r="BQ296" s="563">
        <v>29858.18</v>
      </c>
      <c r="BR296" s="563"/>
      <c r="BS296" s="563"/>
      <c r="BT296" s="563">
        <v>168347.83000000002</v>
      </c>
      <c r="BW296" s="126">
        <v>971</v>
      </c>
      <c r="BX296" s="125">
        <v>38265</v>
      </c>
      <c r="BY296" s="19" t="s">
        <v>18</v>
      </c>
      <c r="BZ296" t="s">
        <v>982</v>
      </c>
    </row>
    <row r="297" spans="1:78" x14ac:dyDescent="0.3">
      <c r="A297" s="436">
        <v>38126</v>
      </c>
      <c r="B297" s="19" t="s">
        <v>18</v>
      </c>
      <c r="C297" t="s">
        <v>256</v>
      </c>
      <c r="D297" s="563"/>
      <c r="E297" s="120"/>
      <c r="F297" s="563">
        <v>13757.23</v>
      </c>
      <c r="G297" s="120">
        <v>2.4950285936874218E-5</v>
      </c>
      <c r="H297" s="563">
        <v>40705.660000000003</v>
      </c>
      <c r="I297" s="120">
        <v>1.4898651516659462E-4</v>
      </c>
      <c r="J297" s="563">
        <v>0</v>
      </c>
      <c r="K297" s="120">
        <v>0</v>
      </c>
      <c r="L297" s="563">
        <v>16546.82</v>
      </c>
      <c r="M297" s="120">
        <v>1.1466394718236224E-4</v>
      </c>
      <c r="N297" s="563">
        <v>84885.03</v>
      </c>
      <c r="O297" s="120">
        <v>1.1492879006892135E-4</v>
      </c>
      <c r="P297" s="124">
        <v>155894.74</v>
      </c>
      <c r="Q297" s="124"/>
      <c r="T297" s="373"/>
      <c r="U297" s="541">
        <v>512</v>
      </c>
      <c r="V297" s="540" t="s">
        <v>257</v>
      </c>
      <c r="W297" s="442" t="s">
        <v>18</v>
      </c>
      <c r="X297" s="552" t="s">
        <v>256</v>
      </c>
      <c r="Y297" s="563">
        <v>0</v>
      </c>
      <c r="Z297" s="563">
        <v>86126.78</v>
      </c>
      <c r="AA297" s="563">
        <v>34498.85</v>
      </c>
      <c r="AB297" s="563"/>
      <c r="AC297" s="563"/>
      <c r="AD297" s="563">
        <v>120625.63</v>
      </c>
      <c r="AE297" s="124"/>
      <c r="AF297" s="541">
        <v>512</v>
      </c>
      <c r="AG297" s="540" t="s">
        <v>257</v>
      </c>
      <c r="AH297" s="442" t="s">
        <v>18</v>
      </c>
      <c r="AI297" s="552" t="s">
        <v>256</v>
      </c>
      <c r="AJ297" s="563">
        <v>0</v>
      </c>
      <c r="AK297" s="563">
        <v>84885.03</v>
      </c>
      <c r="AL297" s="563">
        <v>40705.660000000003</v>
      </c>
      <c r="AM297" s="563"/>
      <c r="AN297" s="563"/>
      <c r="AO297" s="563">
        <v>125590.69</v>
      </c>
      <c r="AR297" s="124">
        <f>+L297</f>
        <v>16546.82</v>
      </c>
      <c r="AS297" s="124">
        <f>+F297</f>
        <v>13757.23</v>
      </c>
      <c r="AV297" s="372">
        <f t="shared" si="9"/>
        <v>30304.05</v>
      </c>
      <c r="AW297" s="124">
        <f>+AV297+AO297-P297</f>
        <v>0</v>
      </c>
      <c r="AZ297" s="563">
        <v>0</v>
      </c>
      <c r="BA297" s="563">
        <v>2106.1800000000003</v>
      </c>
      <c r="BB297" s="563">
        <v>1049.02</v>
      </c>
      <c r="BC297" s="563"/>
      <c r="BD297" s="563"/>
      <c r="BE297" s="563">
        <v>3155.2000000000003</v>
      </c>
      <c r="BF297" s="372"/>
      <c r="BO297" s="563">
        <v>0</v>
      </c>
      <c r="BP297" s="563">
        <v>189664.81</v>
      </c>
      <c r="BQ297" s="563">
        <v>90010.760000000009</v>
      </c>
      <c r="BR297" s="563"/>
      <c r="BS297" s="563"/>
      <c r="BT297" s="563">
        <v>279675.57</v>
      </c>
      <c r="BW297" s="126">
        <v>781</v>
      </c>
      <c r="BX297" s="125">
        <v>38267</v>
      </c>
      <c r="BY297" s="19" t="s">
        <v>18</v>
      </c>
      <c r="BZ297" t="s">
        <v>928</v>
      </c>
    </row>
    <row r="298" spans="1:78" x14ac:dyDescent="0.3">
      <c r="A298" s="436">
        <v>38264</v>
      </c>
      <c r="B298" s="19" t="s">
        <v>18</v>
      </c>
      <c r="C298" t="s">
        <v>266</v>
      </c>
      <c r="D298" s="563"/>
      <c r="E298" s="120"/>
      <c r="F298" s="563">
        <v>4094.94</v>
      </c>
      <c r="G298" s="120">
        <v>7.4266348599495482E-6</v>
      </c>
      <c r="H298" s="563">
        <v>12156.41</v>
      </c>
      <c r="I298" s="120">
        <v>4.4493595309260243E-5</v>
      </c>
      <c r="J298" s="563">
        <v>0</v>
      </c>
      <c r="K298" s="120">
        <v>0</v>
      </c>
      <c r="L298" s="563">
        <v>7665.1</v>
      </c>
      <c r="M298" s="120">
        <v>5.311658805423186E-5</v>
      </c>
      <c r="N298" s="563">
        <v>39308.129999999997</v>
      </c>
      <c r="O298" s="120">
        <v>5.3220642329653051E-5</v>
      </c>
      <c r="P298" s="124">
        <v>63224.58</v>
      </c>
      <c r="Q298" s="124"/>
      <c r="T298" s="373"/>
      <c r="U298" s="541">
        <v>523</v>
      </c>
      <c r="V298" s="540" t="s">
        <v>267</v>
      </c>
      <c r="W298" s="442" t="s">
        <v>18</v>
      </c>
      <c r="X298" s="552" t="s">
        <v>266</v>
      </c>
      <c r="Y298" s="563">
        <v>0</v>
      </c>
      <c r="Z298" s="563">
        <v>48668.13</v>
      </c>
      <c r="AA298" s="563">
        <v>9938.35</v>
      </c>
      <c r="AB298" s="563"/>
      <c r="AC298" s="563"/>
      <c r="AD298" s="563">
        <v>58606.479999999996</v>
      </c>
      <c r="AE298" s="124"/>
      <c r="AF298" s="541">
        <v>523</v>
      </c>
      <c r="AG298" s="540" t="s">
        <v>267</v>
      </c>
      <c r="AH298" s="442" t="s">
        <v>18</v>
      </c>
      <c r="AI298" s="552" t="s">
        <v>266</v>
      </c>
      <c r="AJ298" s="563">
        <v>0</v>
      </c>
      <c r="AK298" s="563">
        <v>39308.129999999997</v>
      </c>
      <c r="AL298" s="563">
        <v>12156.41</v>
      </c>
      <c r="AM298" s="563"/>
      <c r="AN298" s="563"/>
      <c r="AO298" s="563">
        <v>51464.539999999994</v>
      </c>
      <c r="AR298" s="124">
        <f>+L298</f>
        <v>7665.1</v>
      </c>
      <c r="AS298" s="124">
        <f>+F298</f>
        <v>4094.94</v>
      </c>
      <c r="AV298" s="372">
        <f t="shared" si="9"/>
        <v>11760.04</v>
      </c>
      <c r="AW298" s="124">
        <f>+AV298+AO298-P298</f>
        <v>0</v>
      </c>
      <c r="AZ298" s="563">
        <v>0</v>
      </c>
      <c r="BA298" s="563">
        <v>975.31</v>
      </c>
      <c r="BB298" s="563">
        <v>313.14</v>
      </c>
      <c r="BC298" s="563"/>
      <c r="BD298" s="563"/>
      <c r="BE298" s="563">
        <v>1288.4499999999998</v>
      </c>
      <c r="BF298" s="372"/>
      <c r="BO298" s="563">
        <v>0</v>
      </c>
      <c r="BP298" s="563">
        <v>96616.67</v>
      </c>
      <c r="BQ298" s="563">
        <v>26502.84</v>
      </c>
      <c r="BR298" s="563"/>
      <c r="BS298" s="563"/>
      <c r="BT298" s="563">
        <v>123119.51</v>
      </c>
      <c r="BW298" s="126">
        <v>165</v>
      </c>
      <c r="BX298" s="125">
        <v>38300</v>
      </c>
      <c r="BY298" s="19" t="s">
        <v>18</v>
      </c>
      <c r="BZ298" t="s">
        <v>769</v>
      </c>
    </row>
    <row r="299" spans="1:78" x14ac:dyDescent="0.3">
      <c r="A299" s="436">
        <v>38265</v>
      </c>
      <c r="B299" s="19" t="s">
        <v>18</v>
      </c>
      <c r="C299" t="s">
        <v>544</v>
      </c>
      <c r="D299" s="563"/>
      <c r="E299" s="120"/>
      <c r="F299" s="563">
        <v>17563.95</v>
      </c>
      <c r="G299" s="120">
        <v>3.1854201367641742E-5</v>
      </c>
      <c r="H299" s="563">
        <v>50069.33</v>
      </c>
      <c r="I299" s="120">
        <v>1.8325842139462251E-4</v>
      </c>
      <c r="J299" s="563">
        <v>0</v>
      </c>
      <c r="K299" s="120">
        <v>0</v>
      </c>
      <c r="L299" s="563">
        <v>26047.61</v>
      </c>
      <c r="M299" s="120">
        <v>1.8050125506089814E-4</v>
      </c>
      <c r="N299" s="563">
        <v>133861.16</v>
      </c>
      <c r="O299" s="120">
        <v>1.8123927335623598E-4</v>
      </c>
      <c r="P299" s="124">
        <v>227542.05</v>
      </c>
      <c r="Q299" s="124"/>
      <c r="T299" s="373"/>
      <c r="U299" s="541">
        <v>971</v>
      </c>
      <c r="V299" s="540" t="s">
        <v>545</v>
      </c>
      <c r="W299" s="442" t="s">
        <v>18</v>
      </c>
      <c r="X299" s="552" t="s">
        <v>544</v>
      </c>
      <c r="Y299" s="563">
        <v>0</v>
      </c>
      <c r="Z299" s="563">
        <v>128684.69</v>
      </c>
      <c r="AA299" s="563">
        <v>48284.92</v>
      </c>
      <c r="AB299" s="563"/>
      <c r="AC299" s="563"/>
      <c r="AD299" s="563">
        <v>176969.61</v>
      </c>
      <c r="AE299" s="124"/>
      <c r="AF299" s="541">
        <v>971</v>
      </c>
      <c r="AG299" s="540" t="s">
        <v>545</v>
      </c>
      <c r="AH299" s="442" t="s">
        <v>18</v>
      </c>
      <c r="AI299" s="552" t="s">
        <v>544</v>
      </c>
      <c r="AJ299" s="563">
        <v>0</v>
      </c>
      <c r="AK299" s="563">
        <v>133861.16</v>
      </c>
      <c r="AL299" s="563">
        <v>50069.33</v>
      </c>
      <c r="AM299" s="563"/>
      <c r="AN299" s="563"/>
      <c r="AO299" s="563">
        <v>183930.49</v>
      </c>
      <c r="AR299" s="124">
        <f>+L299</f>
        <v>26047.61</v>
      </c>
      <c r="AS299" s="124">
        <f>+F299</f>
        <v>17563.95</v>
      </c>
      <c r="AV299" s="372">
        <f t="shared" si="9"/>
        <v>43611.56</v>
      </c>
      <c r="AW299" s="124">
        <f>+AV299+AO299-P299</f>
        <v>0</v>
      </c>
      <c r="AZ299" s="563">
        <v>0</v>
      </c>
      <c r="BA299" s="563">
        <v>3321.52</v>
      </c>
      <c r="BB299" s="563">
        <v>1282.03</v>
      </c>
      <c r="BC299" s="563"/>
      <c r="BD299" s="563"/>
      <c r="BE299" s="563">
        <v>4603.55</v>
      </c>
      <c r="BF299" s="372"/>
      <c r="BO299" s="563">
        <v>0</v>
      </c>
      <c r="BP299" s="563">
        <v>291914.98</v>
      </c>
      <c r="BQ299" s="563">
        <v>117200.23000000001</v>
      </c>
      <c r="BR299" s="563"/>
      <c r="BS299" s="563"/>
      <c r="BT299" s="563">
        <v>409115.20999999996</v>
      </c>
      <c r="BW299" s="126">
        <v>703</v>
      </c>
      <c r="BX299" s="125">
        <v>38301</v>
      </c>
      <c r="BY299" s="19" t="s">
        <v>18</v>
      </c>
      <c r="BZ299" t="s">
        <v>916</v>
      </c>
    </row>
    <row r="300" spans="1:78" x14ac:dyDescent="0.3">
      <c r="A300" s="436">
        <v>38267</v>
      </c>
      <c r="B300" s="19" t="s">
        <v>18</v>
      </c>
      <c r="C300" t="s">
        <v>430</v>
      </c>
      <c r="D300" s="563"/>
      <c r="E300" s="120"/>
      <c r="F300" s="563">
        <v>174612.6</v>
      </c>
      <c r="G300" s="120">
        <v>3.1667961487748941E-4</v>
      </c>
      <c r="H300" s="563">
        <v>517458.27999999997</v>
      </c>
      <c r="I300" s="120">
        <v>1.8939456056307636E-3</v>
      </c>
      <c r="J300" s="563">
        <v>0</v>
      </c>
      <c r="K300" s="120">
        <v>0</v>
      </c>
      <c r="L300" s="563">
        <v>304946.20999999996</v>
      </c>
      <c r="M300" s="120">
        <v>2.1131755900470023E-3</v>
      </c>
      <c r="N300" s="563">
        <v>1566859.6600000001</v>
      </c>
      <c r="O300" s="120">
        <v>2.1214257087686897E-3</v>
      </c>
      <c r="P300" s="124">
        <v>2563876.75</v>
      </c>
      <c r="Q300" s="124"/>
      <c r="T300" s="373"/>
      <c r="U300" s="541">
        <v>781</v>
      </c>
      <c r="V300" s="540" t="s">
        <v>431</v>
      </c>
      <c r="W300" s="442" t="s">
        <v>18</v>
      </c>
      <c r="X300" s="552" t="s">
        <v>430</v>
      </c>
      <c r="Y300" s="563">
        <v>0</v>
      </c>
      <c r="Z300" s="563">
        <v>1571355.3900000001</v>
      </c>
      <c r="AA300" s="563">
        <v>517153.44</v>
      </c>
      <c r="AB300" s="563"/>
      <c r="AC300" s="563"/>
      <c r="AD300" s="563">
        <v>2088508.83</v>
      </c>
      <c r="AE300" s="124"/>
      <c r="AF300" s="541">
        <v>781</v>
      </c>
      <c r="AG300" s="540" t="s">
        <v>431</v>
      </c>
      <c r="AH300" s="442" t="s">
        <v>18</v>
      </c>
      <c r="AI300" s="552" t="s">
        <v>430</v>
      </c>
      <c r="AJ300" s="563">
        <v>0</v>
      </c>
      <c r="AK300" s="563">
        <v>1566859.6600000001</v>
      </c>
      <c r="AL300" s="563">
        <v>517458.27999999997</v>
      </c>
      <c r="AM300" s="563"/>
      <c r="AN300" s="563"/>
      <c r="AO300" s="563">
        <v>2084317.9400000002</v>
      </c>
      <c r="AR300" s="124">
        <f>+L300</f>
        <v>304946.20999999996</v>
      </c>
      <c r="AS300" s="124">
        <f>+F300</f>
        <v>174612.6</v>
      </c>
      <c r="AV300" s="372">
        <f t="shared" si="9"/>
        <v>479558.80999999994</v>
      </c>
      <c r="AW300" s="124">
        <f>+AV300+AO300-P300</f>
        <v>0</v>
      </c>
      <c r="AZ300" s="563">
        <v>0</v>
      </c>
      <c r="BA300" s="563">
        <v>38879.740000000005</v>
      </c>
      <c r="BB300" s="563">
        <v>13336.43</v>
      </c>
      <c r="BC300" s="563"/>
      <c r="BD300" s="563"/>
      <c r="BE300" s="563">
        <v>52216.170000000006</v>
      </c>
      <c r="BF300" s="372"/>
      <c r="BO300" s="563">
        <v>0</v>
      </c>
      <c r="BP300" s="563">
        <v>3482041</v>
      </c>
      <c r="BQ300" s="563">
        <v>1222560.75</v>
      </c>
      <c r="BR300" s="563"/>
      <c r="BS300" s="563"/>
      <c r="BT300" s="563">
        <v>4704601.75</v>
      </c>
      <c r="BW300" s="126">
        <v>328</v>
      </c>
      <c r="BX300" s="125">
        <v>38302</v>
      </c>
      <c r="BY300" s="19" t="s">
        <v>18</v>
      </c>
      <c r="BZ300" t="s">
        <v>816</v>
      </c>
    </row>
    <row r="301" spans="1:78" x14ac:dyDescent="0.3">
      <c r="A301" s="436">
        <v>38300</v>
      </c>
      <c r="B301" s="19" t="s">
        <v>18</v>
      </c>
      <c r="C301" t="s">
        <v>96</v>
      </c>
      <c r="D301" s="563"/>
      <c r="E301" s="120"/>
      <c r="F301" s="563">
        <v>36538.21</v>
      </c>
      <c r="G301" s="120">
        <v>6.626615874864031E-5</v>
      </c>
      <c r="H301" s="563">
        <v>106880.13</v>
      </c>
      <c r="I301" s="120">
        <v>3.9119125225466441E-4</v>
      </c>
      <c r="J301" s="563"/>
      <c r="K301" s="120"/>
      <c r="L301" s="563">
        <v>58636.369999999995</v>
      </c>
      <c r="M301" s="120">
        <v>4.0633049931318823E-4</v>
      </c>
      <c r="N301" s="563">
        <v>303178.08</v>
      </c>
      <c r="O301" s="120">
        <v>4.1048333151108796E-4</v>
      </c>
      <c r="P301" s="124">
        <v>505232.79000000004</v>
      </c>
      <c r="Q301" s="124"/>
      <c r="T301" s="373"/>
      <c r="U301" s="541">
        <v>165</v>
      </c>
      <c r="V301" s="540" t="s">
        <v>97</v>
      </c>
      <c r="W301" s="442" t="s">
        <v>18</v>
      </c>
      <c r="X301" s="552" t="s">
        <v>96</v>
      </c>
      <c r="Y301" s="563"/>
      <c r="Z301" s="563">
        <v>310450.16000000003</v>
      </c>
      <c r="AA301" s="563">
        <v>91163.43</v>
      </c>
      <c r="AB301" s="563"/>
      <c r="AC301" s="563"/>
      <c r="AD301" s="563">
        <v>401613.59</v>
      </c>
      <c r="AE301" s="124"/>
      <c r="AF301" s="541">
        <v>165</v>
      </c>
      <c r="AG301" s="540" t="s">
        <v>97</v>
      </c>
      <c r="AH301" s="442" t="s">
        <v>18</v>
      </c>
      <c r="AI301" s="552" t="s">
        <v>96</v>
      </c>
      <c r="AJ301" s="563"/>
      <c r="AK301" s="563">
        <v>303178.08</v>
      </c>
      <c r="AL301" s="563">
        <v>106880.13</v>
      </c>
      <c r="AM301" s="563"/>
      <c r="AN301" s="563"/>
      <c r="AO301" s="563">
        <v>410058.21</v>
      </c>
      <c r="AR301" s="124">
        <f>+L301</f>
        <v>58636.369999999995</v>
      </c>
      <c r="AS301" s="124">
        <f>+F301</f>
        <v>36538.21</v>
      </c>
      <c r="AV301" s="372">
        <f t="shared" si="9"/>
        <v>95174.579999999987</v>
      </c>
      <c r="AW301" s="124">
        <f>+AV301+AO301-P301</f>
        <v>0</v>
      </c>
      <c r="AZ301" s="563"/>
      <c r="BA301" s="563">
        <v>7522.63</v>
      </c>
      <c r="BB301" s="563">
        <v>2754.5200000000004</v>
      </c>
      <c r="BC301" s="563"/>
      <c r="BD301" s="563"/>
      <c r="BE301" s="563">
        <v>10277.150000000001</v>
      </c>
      <c r="BF301" s="372"/>
      <c r="BO301" s="563"/>
      <c r="BP301" s="563">
        <v>679787.24</v>
      </c>
      <c r="BQ301" s="563">
        <v>237336.28999999998</v>
      </c>
      <c r="BR301" s="563"/>
      <c r="BS301" s="563"/>
      <c r="BT301" s="563">
        <v>917123.53</v>
      </c>
      <c r="BW301" s="126">
        <v>945</v>
      </c>
      <c r="BX301" s="125">
        <v>38304</v>
      </c>
      <c r="BY301" s="19" t="s">
        <v>18</v>
      </c>
      <c r="BZ301" t="s">
        <v>974</v>
      </c>
    </row>
    <row r="302" spans="1:78" x14ac:dyDescent="0.3">
      <c r="A302" s="436">
        <v>38301</v>
      </c>
      <c r="B302" s="19" t="s">
        <v>18</v>
      </c>
      <c r="C302" t="s">
        <v>404</v>
      </c>
      <c r="D302" s="563"/>
      <c r="E302" s="120"/>
      <c r="F302" s="563">
        <v>13284.310000000001</v>
      </c>
      <c r="G302" s="120">
        <v>2.4092592256877119E-5</v>
      </c>
      <c r="H302" s="563">
        <v>39333</v>
      </c>
      <c r="I302" s="120">
        <v>1.4396245143912824E-4</v>
      </c>
      <c r="J302" s="563">
        <v>0</v>
      </c>
      <c r="K302" s="120">
        <v>0</v>
      </c>
      <c r="L302" s="563">
        <v>27427.58</v>
      </c>
      <c r="M302" s="120">
        <v>1.9006398718666276E-4</v>
      </c>
      <c r="N302" s="563">
        <v>140887.19</v>
      </c>
      <c r="O302" s="120">
        <v>1.9075205937855281E-4</v>
      </c>
      <c r="P302" s="124">
        <v>220932.08000000002</v>
      </c>
      <c r="Q302" s="124"/>
      <c r="T302" s="373"/>
      <c r="U302" s="541">
        <v>703</v>
      </c>
      <c r="V302" s="540" t="s">
        <v>405</v>
      </c>
      <c r="W302" s="442" t="s">
        <v>18</v>
      </c>
      <c r="X302" s="552" t="s">
        <v>404</v>
      </c>
      <c r="Y302" s="563">
        <v>0</v>
      </c>
      <c r="Z302" s="563">
        <v>139270.95000000001</v>
      </c>
      <c r="AA302" s="563">
        <v>38982.31</v>
      </c>
      <c r="AB302" s="563"/>
      <c r="AC302" s="563"/>
      <c r="AD302" s="563">
        <v>178253.26</v>
      </c>
      <c r="AE302" s="124"/>
      <c r="AF302" s="541">
        <v>703</v>
      </c>
      <c r="AG302" s="540" t="s">
        <v>405</v>
      </c>
      <c r="AH302" s="442" t="s">
        <v>18</v>
      </c>
      <c r="AI302" s="552" t="s">
        <v>404</v>
      </c>
      <c r="AJ302" s="563">
        <v>0</v>
      </c>
      <c r="AK302" s="563">
        <v>140887.19</v>
      </c>
      <c r="AL302" s="563">
        <v>39333</v>
      </c>
      <c r="AM302" s="563"/>
      <c r="AN302" s="563"/>
      <c r="AO302" s="563">
        <v>180220.19</v>
      </c>
      <c r="AR302" s="124">
        <f>+L302</f>
        <v>27427.58</v>
      </c>
      <c r="AS302" s="124">
        <f>+F302</f>
        <v>13284.310000000001</v>
      </c>
      <c r="AV302" s="372">
        <f t="shared" si="9"/>
        <v>40711.89</v>
      </c>
      <c r="AW302" s="124">
        <f>+AV302+AO302-P302</f>
        <v>0</v>
      </c>
      <c r="AZ302" s="563">
        <v>0</v>
      </c>
      <c r="BA302" s="563">
        <v>3495.8199999999997</v>
      </c>
      <c r="BB302" s="563">
        <v>1013.62</v>
      </c>
      <c r="BC302" s="563"/>
      <c r="BD302" s="563"/>
      <c r="BE302" s="563">
        <v>4509.4399999999996</v>
      </c>
      <c r="BF302" s="372"/>
      <c r="BO302" s="563">
        <v>0</v>
      </c>
      <c r="BP302" s="563">
        <v>311081.54000000004</v>
      </c>
      <c r="BQ302" s="563">
        <v>92613.239999999991</v>
      </c>
      <c r="BR302" s="563"/>
      <c r="BS302" s="563"/>
      <c r="BT302" s="563">
        <v>403694.78</v>
      </c>
      <c r="BW302" s="126">
        <v>168</v>
      </c>
      <c r="BX302" s="125">
        <v>38306</v>
      </c>
      <c r="BY302" s="19" t="s">
        <v>18</v>
      </c>
      <c r="BZ302" t="s">
        <v>771</v>
      </c>
    </row>
    <row r="303" spans="1:78" x14ac:dyDescent="0.3">
      <c r="A303" s="436">
        <v>38302</v>
      </c>
      <c r="B303" s="19" t="s">
        <v>18</v>
      </c>
      <c r="C303" t="s">
        <v>192</v>
      </c>
      <c r="D303" s="563"/>
      <c r="E303" s="120"/>
      <c r="F303" s="563">
        <v>15880.259999999998</v>
      </c>
      <c r="G303" s="120">
        <v>2.8800639936375723E-5</v>
      </c>
      <c r="H303" s="563">
        <v>46079.09</v>
      </c>
      <c r="I303" s="120">
        <v>1.686537705357898E-4</v>
      </c>
      <c r="J303" s="563">
        <v>0</v>
      </c>
      <c r="K303" s="120">
        <v>0</v>
      </c>
      <c r="L303" s="563">
        <v>18366.96</v>
      </c>
      <c r="M303" s="120">
        <v>1.2727691068982195E-4</v>
      </c>
      <c r="N303" s="563">
        <v>94908.03</v>
      </c>
      <c r="O303" s="120">
        <v>1.284992778552931E-4</v>
      </c>
      <c r="P303" s="124">
        <v>175234.34</v>
      </c>
      <c r="Q303" s="124"/>
      <c r="T303" s="373"/>
      <c r="U303" s="541">
        <v>328</v>
      </c>
      <c r="V303" s="540" t="s">
        <v>193</v>
      </c>
      <c r="W303" s="442" t="s">
        <v>18</v>
      </c>
      <c r="X303" s="552" t="s">
        <v>192</v>
      </c>
      <c r="Y303" s="563">
        <v>0</v>
      </c>
      <c r="Z303" s="563">
        <v>78194.899999999994</v>
      </c>
      <c r="AA303" s="563">
        <v>46455.56</v>
      </c>
      <c r="AB303" s="563"/>
      <c r="AC303" s="563"/>
      <c r="AD303" s="563">
        <v>124650.45999999999</v>
      </c>
      <c r="AE303" s="124"/>
      <c r="AF303" s="541">
        <v>328</v>
      </c>
      <c r="AG303" s="540" t="s">
        <v>193</v>
      </c>
      <c r="AH303" s="442" t="s">
        <v>18</v>
      </c>
      <c r="AI303" s="552" t="s">
        <v>192</v>
      </c>
      <c r="AJ303" s="563">
        <v>0</v>
      </c>
      <c r="AK303" s="563">
        <v>94908.03</v>
      </c>
      <c r="AL303" s="563">
        <v>46079.09</v>
      </c>
      <c r="AM303" s="563"/>
      <c r="AN303" s="563"/>
      <c r="AO303" s="563">
        <v>140987.12</v>
      </c>
      <c r="AR303" s="124">
        <f>+L303</f>
        <v>18366.96</v>
      </c>
      <c r="AS303" s="124">
        <f>+F303</f>
        <v>15880.259999999998</v>
      </c>
      <c r="AV303" s="372">
        <f t="shared" si="9"/>
        <v>34247.22</v>
      </c>
      <c r="AW303" s="124">
        <f>+AV303+AO303-P303</f>
        <v>0</v>
      </c>
      <c r="AZ303" s="563">
        <v>0</v>
      </c>
      <c r="BA303" s="563">
        <v>2354.9299999999998</v>
      </c>
      <c r="BB303" s="563">
        <v>1187.47</v>
      </c>
      <c r="BC303" s="563"/>
      <c r="BD303" s="563"/>
      <c r="BE303" s="563">
        <v>3542.3999999999996</v>
      </c>
      <c r="BF303" s="372"/>
      <c r="BO303" s="563">
        <v>0</v>
      </c>
      <c r="BP303" s="563">
        <v>193824.82</v>
      </c>
      <c r="BQ303" s="563">
        <v>109602.38</v>
      </c>
      <c r="BR303" s="563"/>
      <c r="BS303" s="563"/>
      <c r="BT303" s="563">
        <v>303427.20000000001</v>
      </c>
      <c r="BW303" s="126">
        <v>274</v>
      </c>
      <c r="BX303" s="125">
        <v>38308</v>
      </c>
      <c r="BY303" s="19" t="s">
        <v>18</v>
      </c>
      <c r="BZ303" t="s">
        <v>803</v>
      </c>
    </row>
    <row r="304" spans="1:78" x14ac:dyDescent="0.3">
      <c r="A304" s="436">
        <v>38304</v>
      </c>
      <c r="B304" s="19" t="s">
        <v>18</v>
      </c>
      <c r="C304" t="s">
        <v>526</v>
      </c>
      <c r="D304" s="563"/>
      <c r="E304" s="120"/>
      <c r="F304" s="563">
        <v>2895.33</v>
      </c>
      <c r="G304" s="120">
        <v>5.2510070255138599E-6</v>
      </c>
      <c r="H304" s="563">
        <v>8349.35</v>
      </c>
      <c r="I304" s="120">
        <v>3.0559400348900045E-5</v>
      </c>
      <c r="J304" s="563"/>
      <c r="K304" s="120"/>
      <c r="L304" s="563">
        <v>6326.82</v>
      </c>
      <c r="M304" s="120">
        <v>4.384275373227684E-5</v>
      </c>
      <c r="N304" s="563">
        <v>32667.81</v>
      </c>
      <c r="O304" s="120">
        <v>4.4230082471566653E-5</v>
      </c>
      <c r="P304" s="124">
        <v>50239.31</v>
      </c>
      <c r="Q304" s="124"/>
      <c r="T304" s="373"/>
      <c r="U304" s="541">
        <v>945</v>
      </c>
      <c r="V304" s="540" t="s">
        <v>527</v>
      </c>
      <c r="W304" s="442" t="s">
        <v>18</v>
      </c>
      <c r="X304" s="552" t="s">
        <v>526</v>
      </c>
      <c r="Y304" s="563"/>
      <c r="Z304" s="563">
        <v>37273.29</v>
      </c>
      <c r="AA304" s="563">
        <v>6354.82</v>
      </c>
      <c r="AB304" s="563"/>
      <c r="AC304" s="563"/>
      <c r="AD304" s="563">
        <v>43628.11</v>
      </c>
      <c r="AE304" s="124"/>
      <c r="AF304" s="541">
        <v>945</v>
      </c>
      <c r="AG304" s="540" t="s">
        <v>527</v>
      </c>
      <c r="AH304" s="442" t="s">
        <v>18</v>
      </c>
      <c r="AI304" s="552" t="s">
        <v>526</v>
      </c>
      <c r="AJ304" s="563"/>
      <c r="AK304" s="563">
        <v>32667.81</v>
      </c>
      <c r="AL304" s="563">
        <v>8349.35</v>
      </c>
      <c r="AM304" s="563"/>
      <c r="AN304" s="563"/>
      <c r="AO304" s="563">
        <v>41017.160000000003</v>
      </c>
      <c r="AR304" s="124">
        <f>+L304</f>
        <v>6326.82</v>
      </c>
      <c r="AS304" s="124">
        <f>+F304</f>
        <v>2895.33</v>
      </c>
      <c r="AV304" s="372">
        <f t="shared" si="9"/>
        <v>9222.15</v>
      </c>
      <c r="AW304" s="124">
        <f>+AV304+AO304-P304</f>
        <v>0</v>
      </c>
      <c r="AZ304" s="563"/>
      <c r="BA304" s="563">
        <v>810.55</v>
      </c>
      <c r="BB304" s="563">
        <v>215.07999999999998</v>
      </c>
      <c r="BC304" s="563"/>
      <c r="BD304" s="563"/>
      <c r="BE304" s="563">
        <v>1025.6299999999999</v>
      </c>
      <c r="BF304" s="372"/>
      <c r="BO304" s="563"/>
      <c r="BP304" s="563">
        <v>77078.47</v>
      </c>
      <c r="BQ304" s="563">
        <v>17814.579999999998</v>
      </c>
      <c r="BR304" s="563"/>
      <c r="BS304" s="563"/>
      <c r="BT304" s="563">
        <v>94893.05</v>
      </c>
      <c r="BW304" s="126">
        <v>820</v>
      </c>
      <c r="BX304" s="125">
        <v>38320</v>
      </c>
      <c r="BY304" s="19" t="s">
        <v>18</v>
      </c>
      <c r="BZ304" t="s">
        <v>947</v>
      </c>
    </row>
    <row r="305" spans="1:78" x14ac:dyDescent="0.3">
      <c r="A305" s="436">
        <v>38306</v>
      </c>
      <c r="B305" s="19" t="s">
        <v>18</v>
      </c>
      <c r="C305" t="s">
        <v>100</v>
      </c>
      <c r="D305" s="563"/>
      <c r="E305" s="120"/>
      <c r="F305" s="563">
        <v>15044.24</v>
      </c>
      <c r="G305" s="120">
        <v>2.7284423514251096E-5</v>
      </c>
      <c r="H305" s="563">
        <v>44631.01</v>
      </c>
      <c r="I305" s="120">
        <v>1.6335366256843486E-4</v>
      </c>
      <c r="J305" s="563">
        <v>0</v>
      </c>
      <c r="K305" s="120">
        <v>0</v>
      </c>
      <c r="L305" s="563">
        <v>22425.61</v>
      </c>
      <c r="M305" s="120">
        <v>1.5540200235285417E-4</v>
      </c>
      <c r="N305" s="563">
        <v>115095.59</v>
      </c>
      <c r="O305" s="120">
        <v>1.5583191642823998E-4</v>
      </c>
      <c r="P305" s="124">
        <v>197196.45</v>
      </c>
      <c r="Q305" s="124"/>
      <c r="T305" s="373"/>
      <c r="U305" s="541">
        <v>168</v>
      </c>
      <c r="V305" s="540" t="s">
        <v>101</v>
      </c>
      <c r="W305" s="442" t="s">
        <v>18</v>
      </c>
      <c r="X305" s="552" t="s">
        <v>100</v>
      </c>
      <c r="Y305" s="563">
        <v>0</v>
      </c>
      <c r="Z305" s="563">
        <v>109733.41</v>
      </c>
      <c r="AA305" s="563">
        <v>45181.09</v>
      </c>
      <c r="AB305" s="563"/>
      <c r="AC305" s="563"/>
      <c r="AD305" s="563">
        <v>154914.5</v>
      </c>
      <c r="AE305" s="124"/>
      <c r="AF305" s="541">
        <v>168</v>
      </c>
      <c r="AG305" s="540" t="s">
        <v>101</v>
      </c>
      <c r="AH305" s="442" t="s">
        <v>18</v>
      </c>
      <c r="AI305" s="552" t="s">
        <v>100</v>
      </c>
      <c r="AJ305" s="563">
        <v>0</v>
      </c>
      <c r="AK305" s="563">
        <v>115095.59</v>
      </c>
      <c r="AL305" s="563">
        <v>44631.01</v>
      </c>
      <c r="AM305" s="563"/>
      <c r="AN305" s="563"/>
      <c r="AO305" s="563">
        <v>159726.6</v>
      </c>
      <c r="AR305" s="124">
        <f>+L305</f>
        <v>22425.61</v>
      </c>
      <c r="AS305" s="124">
        <f>+F305</f>
        <v>15044.24</v>
      </c>
      <c r="AV305" s="372">
        <f t="shared" si="9"/>
        <v>37469.85</v>
      </c>
      <c r="AW305" s="124">
        <f>+AV305+AO305-P305</f>
        <v>0</v>
      </c>
      <c r="AZ305" s="563">
        <v>0</v>
      </c>
      <c r="BA305" s="563">
        <v>2855.83</v>
      </c>
      <c r="BB305" s="563">
        <v>1150.1399999999999</v>
      </c>
      <c r="BC305" s="563"/>
      <c r="BD305" s="563"/>
      <c r="BE305" s="563">
        <v>4005.97</v>
      </c>
      <c r="BF305" s="372"/>
      <c r="BO305" s="563">
        <v>0</v>
      </c>
      <c r="BP305" s="563">
        <v>250110.44</v>
      </c>
      <c r="BQ305" s="563">
        <v>106006.48</v>
      </c>
      <c r="BR305" s="563"/>
      <c r="BS305" s="563"/>
      <c r="BT305" s="563">
        <v>356116.92</v>
      </c>
      <c r="BW305" s="126">
        <v>929</v>
      </c>
      <c r="BX305" s="125">
        <v>38322</v>
      </c>
      <c r="BY305" s="19" t="s">
        <v>18</v>
      </c>
      <c r="BZ305" t="s">
        <v>970</v>
      </c>
    </row>
    <row r="306" spans="1:78" x14ac:dyDescent="0.3">
      <c r="A306" s="436">
        <v>38308</v>
      </c>
      <c r="B306" s="19" t="s">
        <v>18</v>
      </c>
      <c r="C306" t="s">
        <v>164</v>
      </c>
      <c r="D306" s="563"/>
      <c r="E306" s="120"/>
      <c r="F306" s="563">
        <v>12613.029999999999</v>
      </c>
      <c r="G306" s="120">
        <v>2.2875150377683054E-5</v>
      </c>
      <c r="H306" s="563">
        <v>37195.06</v>
      </c>
      <c r="I306" s="120">
        <v>1.3613739147854119E-4</v>
      </c>
      <c r="J306" s="563"/>
      <c r="K306" s="120"/>
      <c r="L306" s="563">
        <v>18879.16</v>
      </c>
      <c r="M306" s="120">
        <v>1.3082628596233995E-4</v>
      </c>
      <c r="N306" s="563">
        <v>96787.55</v>
      </c>
      <c r="O306" s="120">
        <v>1.3104402525669401E-4</v>
      </c>
      <c r="P306" s="124">
        <v>165474.79999999999</v>
      </c>
      <c r="Q306" s="124"/>
      <c r="T306" s="373"/>
      <c r="U306" s="541">
        <v>274</v>
      </c>
      <c r="V306" s="540" t="s">
        <v>165</v>
      </c>
      <c r="W306" s="442" t="s">
        <v>18</v>
      </c>
      <c r="X306" s="552" t="s">
        <v>164</v>
      </c>
      <c r="Y306" s="563"/>
      <c r="Z306" s="563">
        <v>101886.83</v>
      </c>
      <c r="AA306" s="563">
        <v>32808.630000000005</v>
      </c>
      <c r="AB306" s="563"/>
      <c r="AC306" s="563"/>
      <c r="AD306" s="563">
        <v>134695.46000000002</v>
      </c>
      <c r="AE306" s="124"/>
      <c r="AF306" s="541">
        <v>274</v>
      </c>
      <c r="AG306" s="540" t="s">
        <v>165</v>
      </c>
      <c r="AH306" s="442" t="s">
        <v>18</v>
      </c>
      <c r="AI306" s="552" t="s">
        <v>164</v>
      </c>
      <c r="AJ306" s="563"/>
      <c r="AK306" s="563">
        <v>96787.55</v>
      </c>
      <c r="AL306" s="563">
        <v>37195.06</v>
      </c>
      <c r="AM306" s="563"/>
      <c r="AN306" s="563"/>
      <c r="AO306" s="563">
        <v>133982.60999999999</v>
      </c>
      <c r="AR306" s="124">
        <f>+L306</f>
        <v>18879.16</v>
      </c>
      <c r="AS306" s="124">
        <f>+F306</f>
        <v>12613.029999999999</v>
      </c>
      <c r="AV306" s="372">
        <f t="shared" si="9"/>
        <v>31492.19</v>
      </c>
      <c r="AW306" s="124">
        <f>+AV306+AO306-P306</f>
        <v>0</v>
      </c>
      <c r="AZ306" s="563"/>
      <c r="BA306" s="563">
        <v>2401.5299999999997</v>
      </c>
      <c r="BB306" s="563">
        <v>958.5</v>
      </c>
      <c r="BC306" s="563"/>
      <c r="BD306" s="563"/>
      <c r="BE306" s="563">
        <v>3360.0299999999997</v>
      </c>
      <c r="BF306" s="372"/>
      <c r="BO306" s="563"/>
      <c r="BP306" s="563">
        <v>219955.07</v>
      </c>
      <c r="BQ306" s="563">
        <v>83575.22</v>
      </c>
      <c r="BR306" s="563"/>
      <c r="BS306" s="563"/>
      <c r="BT306" s="563">
        <v>303530.29000000004</v>
      </c>
      <c r="BW306" s="126">
        <v>658</v>
      </c>
      <c r="BX306" s="125">
        <v>38324</v>
      </c>
      <c r="BY306" s="19" t="s">
        <v>18</v>
      </c>
      <c r="BZ306" t="s">
        <v>898</v>
      </c>
    </row>
    <row r="307" spans="1:78" x14ac:dyDescent="0.3">
      <c r="A307" s="436">
        <v>38320</v>
      </c>
      <c r="B307" s="19" t="s">
        <v>18</v>
      </c>
      <c r="C307" t="s">
        <v>468</v>
      </c>
      <c r="D307" s="563"/>
      <c r="E307" s="120"/>
      <c r="F307" s="563">
        <v>19569.45</v>
      </c>
      <c r="G307" s="120">
        <v>3.5491401475977595E-5</v>
      </c>
      <c r="H307" s="563">
        <v>57333.55</v>
      </c>
      <c r="I307" s="120">
        <v>2.0984614465481484E-4</v>
      </c>
      <c r="J307" s="563"/>
      <c r="K307" s="120"/>
      <c r="L307" s="563">
        <v>26237.440000000002</v>
      </c>
      <c r="M307" s="120">
        <v>1.8181671368640008E-4</v>
      </c>
      <c r="N307" s="563">
        <v>135298.72</v>
      </c>
      <c r="O307" s="120">
        <v>1.8318563576491368E-4</v>
      </c>
      <c r="P307" s="124">
        <v>238439.16</v>
      </c>
      <c r="Q307" s="124"/>
      <c r="T307" s="373"/>
      <c r="U307" s="541">
        <v>820</v>
      </c>
      <c r="V307" s="540" t="s">
        <v>469</v>
      </c>
      <c r="W307" s="442" t="s">
        <v>18</v>
      </c>
      <c r="X307" s="552" t="s">
        <v>468</v>
      </c>
      <c r="Y307" s="563"/>
      <c r="Z307" s="563">
        <v>140963.88</v>
      </c>
      <c r="AA307" s="563">
        <v>59981.009999999995</v>
      </c>
      <c r="AB307" s="563"/>
      <c r="AC307" s="563"/>
      <c r="AD307" s="563">
        <v>200944.89</v>
      </c>
      <c r="AE307" s="124"/>
      <c r="AF307" s="541">
        <v>820</v>
      </c>
      <c r="AG307" s="540" t="s">
        <v>469</v>
      </c>
      <c r="AH307" s="442" t="s">
        <v>18</v>
      </c>
      <c r="AI307" s="552" t="s">
        <v>468</v>
      </c>
      <c r="AJ307" s="563"/>
      <c r="AK307" s="563">
        <v>135298.72</v>
      </c>
      <c r="AL307" s="563">
        <v>57333.55</v>
      </c>
      <c r="AM307" s="563"/>
      <c r="AN307" s="563"/>
      <c r="AO307" s="563">
        <v>192632.27000000002</v>
      </c>
      <c r="AR307" s="124">
        <f>+L307</f>
        <v>26237.440000000002</v>
      </c>
      <c r="AS307" s="124">
        <f>+F307</f>
        <v>19569.45</v>
      </c>
      <c r="AV307" s="372">
        <f t="shared" si="9"/>
        <v>45806.89</v>
      </c>
      <c r="AW307" s="124">
        <f>+AV307+AO307-P307</f>
        <v>0</v>
      </c>
      <c r="AZ307" s="563"/>
      <c r="BA307" s="563">
        <v>3356.8</v>
      </c>
      <c r="BB307" s="563">
        <v>1477.53</v>
      </c>
      <c r="BC307" s="563"/>
      <c r="BD307" s="563"/>
      <c r="BE307" s="563">
        <v>4834.33</v>
      </c>
      <c r="BF307" s="372"/>
      <c r="BO307" s="563"/>
      <c r="BP307" s="563">
        <v>305856.84000000003</v>
      </c>
      <c r="BQ307" s="563">
        <v>138361.53999999998</v>
      </c>
      <c r="BR307" s="563"/>
      <c r="BS307" s="563"/>
      <c r="BT307" s="563">
        <v>444218.38</v>
      </c>
      <c r="BW307" s="126">
        <v>1007</v>
      </c>
      <c r="BX307" s="125">
        <v>39002</v>
      </c>
      <c r="BY307" s="19" t="s">
        <v>45</v>
      </c>
      <c r="BZ307" t="s">
        <v>992</v>
      </c>
    </row>
    <row r="308" spans="1:78" x14ac:dyDescent="0.3">
      <c r="A308" s="436">
        <v>38322</v>
      </c>
      <c r="B308" s="19" t="s">
        <v>18</v>
      </c>
      <c r="C308" t="s">
        <v>472</v>
      </c>
      <c r="D308" s="563">
        <v>2120.83</v>
      </c>
      <c r="E308" s="120">
        <v>3.8463640517386825E-6</v>
      </c>
      <c r="F308" s="563">
        <v>12425.05</v>
      </c>
      <c r="G308" s="120">
        <v>2.2534227477476134E-5</v>
      </c>
      <c r="H308" s="563">
        <v>36503.589999999997</v>
      </c>
      <c r="I308" s="120">
        <v>1.3360654673502776E-4</v>
      </c>
      <c r="J308" s="563">
        <v>0</v>
      </c>
      <c r="K308" s="120">
        <v>0</v>
      </c>
      <c r="L308" s="563">
        <v>15947.98</v>
      </c>
      <c r="M308" s="120">
        <v>1.105141855888545E-4</v>
      </c>
      <c r="N308" s="563">
        <v>82273.709999999992</v>
      </c>
      <c r="O308" s="120">
        <v>1.113932332330131E-4</v>
      </c>
      <c r="P308" s="124">
        <v>149271.15999999997</v>
      </c>
      <c r="Q308" s="124"/>
      <c r="T308" s="373"/>
      <c r="U308" s="541">
        <v>929</v>
      </c>
      <c r="V308" s="540" t="s">
        <v>473</v>
      </c>
      <c r="W308" s="442" t="s">
        <v>18</v>
      </c>
      <c r="X308" s="552" t="s">
        <v>472</v>
      </c>
      <c r="Y308" s="563">
        <v>0</v>
      </c>
      <c r="Z308" s="563">
        <v>74191.290000000008</v>
      </c>
      <c r="AA308" s="563">
        <v>33628.57</v>
      </c>
      <c r="AB308" s="563">
        <v>1418.71</v>
      </c>
      <c r="AC308" s="563"/>
      <c r="AD308" s="563">
        <v>109238.57</v>
      </c>
      <c r="AE308" s="124"/>
      <c r="AF308" s="541">
        <v>929</v>
      </c>
      <c r="AG308" s="540" t="s">
        <v>473</v>
      </c>
      <c r="AH308" s="442" t="s">
        <v>18</v>
      </c>
      <c r="AI308" s="552" t="s">
        <v>472</v>
      </c>
      <c r="AJ308" s="563">
        <v>0</v>
      </c>
      <c r="AK308" s="563">
        <v>82273.709999999992</v>
      </c>
      <c r="AL308" s="563">
        <v>36503.589999999997</v>
      </c>
      <c r="AM308" s="563">
        <v>2120.83</v>
      </c>
      <c r="AN308" s="563"/>
      <c r="AO308" s="563">
        <v>120898.12999999999</v>
      </c>
      <c r="AR308" s="124">
        <f>+L308</f>
        <v>15947.98</v>
      </c>
      <c r="AS308" s="124">
        <f>+F308</f>
        <v>12425.05</v>
      </c>
      <c r="AV308" s="372">
        <f t="shared" si="9"/>
        <v>28373.03</v>
      </c>
      <c r="AW308" s="124">
        <f>+AV308+AO308-P308</f>
        <v>0</v>
      </c>
      <c r="AZ308" s="563">
        <v>0</v>
      </c>
      <c r="BA308" s="563">
        <v>2041.42</v>
      </c>
      <c r="BB308" s="563">
        <v>940.68000000000006</v>
      </c>
      <c r="BC308" s="563">
        <v>47.26</v>
      </c>
      <c r="BD308" s="563"/>
      <c r="BE308" s="563">
        <v>3029.36</v>
      </c>
      <c r="BF308" s="372"/>
      <c r="BO308" s="563">
        <v>0</v>
      </c>
      <c r="BP308" s="563">
        <v>174454.40000000002</v>
      </c>
      <c r="BQ308" s="563">
        <v>83497.89</v>
      </c>
      <c r="BR308" s="563">
        <v>3586.8</v>
      </c>
      <c r="BS308" s="563"/>
      <c r="BT308" s="563">
        <v>261539.09000000003</v>
      </c>
      <c r="BW308" s="126">
        <v>630</v>
      </c>
      <c r="BX308" s="125">
        <v>39003</v>
      </c>
      <c r="BY308" s="19" t="s">
        <v>45</v>
      </c>
      <c r="BZ308" t="s">
        <v>884</v>
      </c>
    </row>
    <row r="309" spans="1:78" x14ac:dyDescent="0.3">
      <c r="A309" s="436">
        <v>38324</v>
      </c>
      <c r="B309" s="19" t="s">
        <v>18</v>
      </c>
      <c r="C309" t="s">
        <v>366</v>
      </c>
      <c r="D309" s="563"/>
      <c r="E309" s="120"/>
      <c r="F309" s="563">
        <v>20096.03</v>
      </c>
      <c r="G309" s="120">
        <v>3.6446413609135151E-5</v>
      </c>
      <c r="H309" s="563">
        <v>59621.68</v>
      </c>
      <c r="I309" s="120">
        <v>2.1822091403450651E-4</v>
      </c>
      <c r="J309" s="563">
        <v>4810.26</v>
      </c>
      <c r="K309" s="120">
        <v>3.3333498434951842E-5</v>
      </c>
      <c r="L309" s="563">
        <v>17857.91</v>
      </c>
      <c r="M309" s="120">
        <v>1.2374936386733997E-4</v>
      </c>
      <c r="N309" s="563">
        <v>91448.41</v>
      </c>
      <c r="O309" s="120">
        <v>1.2381517818897689E-4</v>
      </c>
      <c r="P309" s="124">
        <v>193834.28999999998</v>
      </c>
      <c r="Q309" s="124"/>
      <c r="T309" s="373"/>
      <c r="U309" s="541">
        <v>658</v>
      </c>
      <c r="V309" s="540" t="s">
        <v>367</v>
      </c>
      <c r="W309" s="442" t="s">
        <v>18</v>
      </c>
      <c r="X309" s="552" t="s">
        <v>366</v>
      </c>
      <c r="Y309" s="563">
        <v>2995.51</v>
      </c>
      <c r="Z309" s="563">
        <v>96590.31</v>
      </c>
      <c r="AA309" s="563">
        <v>55788.67</v>
      </c>
      <c r="AB309" s="563"/>
      <c r="AC309" s="563"/>
      <c r="AD309" s="563">
        <v>155374.49</v>
      </c>
      <c r="AE309" s="124"/>
      <c r="AF309" s="541">
        <v>658</v>
      </c>
      <c r="AG309" s="540" t="s">
        <v>367</v>
      </c>
      <c r="AH309" s="442" t="s">
        <v>18</v>
      </c>
      <c r="AI309" s="552" t="s">
        <v>366</v>
      </c>
      <c r="AJ309" s="563">
        <v>4810.26</v>
      </c>
      <c r="AK309" s="563">
        <v>91448.41</v>
      </c>
      <c r="AL309" s="563">
        <v>59621.68</v>
      </c>
      <c r="AM309" s="563"/>
      <c r="AN309" s="563"/>
      <c r="AO309" s="563">
        <v>155880.35</v>
      </c>
      <c r="AR309" s="124">
        <f>+L309</f>
        <v>17857.91</v>
      </c>
      <c r="AS309" s="124">
        <f>+F309</f>
        <v>20096.03</v>
      </c>
      <c r="AV309" s="372">
        <f t="shared" si="9"/>
        <v>37953.94</v>
      </c>
      <c r="AW309" s="124">
        <f>+AV309+AO309-P309</f>
        <v>0</v>
      </c>
      <c r="AZ309" s="563">
        <v>99.76</v>
      </c>
      <c r="BA309" s="563">
        <v>2269.0700000000002</v>
      </c>
      <c r="BB309" s="563">
        <v>1536.53</v>
      </c>
      <c r="BC309" s="563"/>
      <c r="BD309" s="563"/>
      <c r="BE309" s="563">
        <v>3905.36</v>
      </c>
      <c r="BF309" s="372"/>
      <c r="BO309" s="563">
        <v>7905.53</v>
      </c>
      <c r="BP309" s="563">
        <v>208165.7</v>
      </c>
      <c r="BQ309" s="563">
        <v>137042.91</v>
      </c>
      <c r="BR309" s="563"/>
      <c r="BS309" s="563"/>
      <c r="BT309" s="563">
        <v>353114.14</v>
      </c>
      <c r="BW309" s="126">
        <v>1128</v>
      </c>
      <c r="BX309" s="125">
        <v>39007</v>
      </c>
      <c r="BY309" s="19" t="s">
        <v>45</v>
      </c>
      <c r="BZ309" t="s">
        <v>1020</v>
      </c>
    </row>
    <row r="310" spans="1:78" x14ac:dyDescent="0.3">
      <c r="A310" s="440">
        <v>38901</v>
      </c>
      <c r="B310" s="19" t="s">
        <v>1039</v>
      </c>
      <c r="C310" t="s">
        <v>1184</v>
      </c>
      <c r="D310" s="563"/>
      <c r="E310" s="120"/>
      <c r="F310" s="563">
        <v>2184.6</v>
      </c>
      <c r="G310" s="120">
        <v>3.9620181284819271E-6</v>
      </c>
      <c r="H310" s="563">
        <v>5350.87</v>
      </c>
      <c r="I310" s="120">
        <v>1.9584683663389221E-5</v>
      </c>
      <c r="J310" s="563"/>
      <c r="K310" s="120"/>
      <c r="L310" s="563">
        <v>2482.16</v>
      </c>
      <c r="M310" s="120">
        <v>1.7200541441689235E-5</v>
      </c>
      <c r="N310" s="563">
        <v>8988.6</v>
      </c>
      <c r="O310" s="120">
        <v>1.2169977702941338E-5</v>
      </c>
      <c r="P310" s="124">
        <v>19006.23</v>
      </c>
      <c r="Q310" s="124"/>
      <c r="T310" s="373"/>
      <c r="U310" s="544">
        <v>4280</v>
      </c>
      <c r="V310" s="542" t="s">
        <v>1183</v>
      </c>
      <c r="W310" s="442" t="s">
        <v>1039</v>
      </c>
      <c r="X310" s="552" t="s">
        <v>1184</v>
      </c>
      <c r="Y310" s="563"/>
      <c r="Z310" s="563">
        <v>7416</v>
      </c>
      <c r="AA310" s="563">
        <v>5208.5200000000004</v>
      </c>
      <c r="AB310" s="563"/>
      <c r="AC310" s="563"/>
      <c r="AD310" s="563">
        <v>12624.52</v>
      </c>
      <c r="AE310" s="124"/>
      <c r="AF310" s="544">
        <v>4280</v>
      </c>
      <c r="AG310" s="542" t="s">
        <v>1183</v>
      </c>
      <c r="AH310" s="442" t="s">
        <v>1039</v>
      </c>
      <c r="AI310" s="552" t="s">
        <v>1184</v>
      </c>
      <c r="AJ310" s="563"/>
      <c r="AK310" s="563">
        <v>8988.6</v>
      </c>
      <c r="AL310" s="563">
        <v>5350.87</v>
      </c>
      <c r="AM310" s="563"/>
      <c r="AN310" s="563"/>
      <c r="AO310" s="563">
        <v>14339.470000000001</v>
      </c>
      <c r="AR310" s="124">
        <f>+L310</f>
        <v>2482.16</v>
      </c>
      <c r="AS310" s="124">
        <f>+F310</f>
        <v>2184.6</v>
      </c>
      <c r="AV310" s="372">
        <f t="shared" si="9"/>
        <v>4666.76</v>
      </c>
      <c r="AW310" s="124">
        <f>+AV310+AO310-P310</f>
        <v>0</v>
      </c>
      <c r="AZ310" s="563"/>
      <c r="BA310" s="563">
        <v>219.6</v>
      </c>
      <c r="BB310" s="563">
        <v>135.16999999999999</v>
      </c>
      <c r="BC310" s="563"/>
      <c r="BD310" s="563"/>
      <c r="BE310" s="563">
        <v>354.77</v>
      </c>
      <c r="BF310" s="372"/>
      <c r="BO310" s="563"/>
      <c r="BP310" s="563">
        <v>19106.36</v>
      </c>
      <c r="BQ310" s="563">
        <v>12879.16</v>
      </c>
      <c r="BR310" s="563"/>
      <c r="BS310" s="563"/>
      <c r="BT310" s="563">
        <v>31985.52</v>
      </c>
      <c r="BW310" s="126">
        <v>621</v>
      </c>
      <c r="BX310" s="125">
        <v>39090</v>
      </c>
      <c r="BY310" s="19" t="s">
        <v>45</v>
      </c>
      <c r="BZ310" t="s">
        <v>882</v>
      </c>
    </row>
    <row r="311" spans="1:78" x14ac:dyDescent="0.3">
      <c r="A311" s="436">
        <v>39002</v>
      </c>
      <c r="B311" s="19" t="s">
        <v>45</v>
      </c>
      <c r="C311" t="s">
        <v>566</v>
      </c>
      <c r="D311" s="563"/>
      <c r="E311" s="120"/>
      <c r="F311" s="563">
        <v>43516.14</v>
      </c>
      <c r="G311" s="120">
        <v>7.8921420654379533E-5</v>
      </c>
      <c r="H311" s="563">
        <v>127732.03</v>
      </c>
      <c r="I311" s="120">
        <v>4.675111526223851E-4</v>
      </c>
      <c r="J311" s="563">
        <v>0</v>
      </c>
      <c r="K311" s="120">
        <v>0</v>
      </c>
      <c r="L311" s="563">
        <v>56612.41</v>
      </c>
      <c r="M311" s="120">
        <v>3.9230513114340014E-4</v>
      </c>
      <c r="N311" s="563">
        <v>291375.83999999997</v>
      </c>
      <c r="O311" s="120">
        <v>3.9450386889791536E-4</v>
      </c>
      <c r="P311" s="124">
        <v>519236.41999999993</v>
      </c>
      <c r="Q311" s="124"/>
      <c r="T311" s="373"/>
      <c r="U311" s="541">
        <v>1007</v>
      </c>
      <c r="V311" s="540" t="s">
        <v>567</v>
      </c>
      <c r="W311" s="442" t="s">
        <v>45</v>
      </c>
      <c r="X311" s="552" t="s">
        <v>566</v>
      </c>
      <c r="Y311" s="563">
        <v>0</v>
      </c>
      <c r="Z311" s="563">
        <v>293483.01</v>
      </c>
      <c r="AA311" s="563">
        <v>116924.46</v>
      </c>
      <c r="AB311" s="563"/>
      <c r="AC311" s="563"/>
      <c r="AD311" s="563">
        <v>410407.47000000003</v>
      </c>
      <c r="AE311" s="124"/>
      <c r="AF311" s="541">
        <v>1007</v>
      </c>
      <c r="AG311" s="540" t="s">
        <v>567</v>
      </c>
      <c r="AH311" s="442" t="s">
        <v>45</v>
      </c>
      <c r="AI311" s="552" t="s">
        <v>566</v>
      </c>
      <c r="AJ311" s="563">
        <v>0</v>
      </c>
      <c r="AK311" s="563">
        <v>291375.83999999997</v>
      </c>
      <c r="AL311" s="563">
        <v>127732.03</v>
      </c>
      <c r="AM311" s="563"/>
      <c r="AN311" s="563"/>
      <c r="AO311" s="563">
        <v>419107.87</v>
      </c>
      <c r="AR311" s="124">
        <f>+L311</f>
        <v>56612.41</v>
      </c>
      <c r="AS311" s="124">
        <f>+F311</f>
        <v>43516.14</v>
      </c>
      <c r="AV311" s="372">
        <f t="shared" si="9"/>
        <v>100128.55</v>
      </c>
      <c r="AW311" s="124">
        <f>+AV311+AO311-P311</f>
        <v>0</v>
      </c>
      <c r="AZ311" s="563">
        <v>0</v>
      </c>
      <c r="BA311" s="563">
        <v>7229.2199999999993</v>
      </c>
      <c r="BB311" s="563">
        <v>3291.98</v>
      </c>
      <c r="BC311" s="563"/>
      <c r="BD311" s="563"/>
      <c r="BE311" s="563">
        <v>10521.199999999999</v>
      </c>
      <c r="BF311" s="372"/>
      <c r="BO311" s="563">
        <v>0</v>
      </c>
      <c r="BP311" s="563">
        <v>648700.48</v>
      </c>
      <c r="BQ311" s="563">
        <v>291464.61</v>
      </c>
      <c r="BR311" s="563"/>
      <c r="BS311" s="563"/>
      <c r="BT311" s="563">
        <v>940165.09</v>
      </c>
      <c r="BW311" s="126">
        <v>850</v>
      </c>
      <c r="BX311" s="125">
        <v>39119</v>
      </c>
      <c r="BY311" s="19" t="s">
        <v>45</v>
      </c>
      <c r="BZ311" t="s">
        <v>953</v>
      </c>
    </row>
    <row r="312" spans="1:78" x14ac:dyDescent="0.3">
      <c r="A312" s="436">
        <v>39003</v>
      </c>
      <c r="B312" s="19" t="s">
        <v>45</v>
      </c>
      <c r="C312" t="s">
        <v>328</v>
      </c>
      <c r="D312" s="563"/>
      <c r="E312" s="120"/>
      <c r="F312" s="563">
        <v>91431.76999999999</v>
      </c>
      <c r="G312" s="120">
        <v>1.6582181189196647E-4</v>
      </c>
      <c r="H312" s="563">
        <v>269461.03000000003</v>
      </c>
      <c r="I312" s="120">
        <v>9.8625252195643572E-4</v>
      </c>
      <c r="J312" s="563">
        <v>9905.16</v>
      </c>
      <c r="K312" s="120">
        <v>6.8639457193155369E-5</v>
      </c>
      <c r="L312" s="563">
        <v>131475.03999999998</v>
      </c>
      <c r="M312" s="120">
        <v>9.110782036886218E-4</v>
      </c>
      <c r="N312" s="563">
        <v>671163.17999999993</v>
      </c>
      <c r="O312" s="120">
        <v>9.0871113806768595E-4</v>
      </c>
      <c r="P312" s="124">
        <v>1173436.18</v>
      </c>
      <c r="Q312" s="124"/>
      <c r="T312" s="373"/>
      <c r="U312" s="541">
        <v>630</v>
      </c>
      <c r="V312" s="540" t="s">
        <v>329</v>
      </c>
      <c r="W312" s="442" t="s">
        <v>45</v>
      </c>
      <c r="X312" s="552" t="s">
        <v>328</v>
      </c>
      <c r="Y312" s="563">
        <v>6173.85</v>
      </c>
      <c r="Z312" s="563">
        <v>639714.81000000006</v>
      </c>
      <c r="AA312" s="563">
        <v>258823.5</v>
      </c>
      <c r="AB312" s="563"/>
      <c r="AC312" s="563"/>
      <c r="AD312" s="563">
        <v>904712.16</v>
      </c>
      <c r="AE312" s="124"/>
      <c r="AF312" s="541">
        <v>630</v>
      </c>
      <c r="AG312" s="540" t="s">
        <v>329</v>
      </c>
      <c r="AH312" s="442" t="s">
        <v>45</v>
      </c>
      <c r="AI312" s="552" t="s">
        <v>328</v>
      </c>
      <c r="AJ312" s="563">
        <v>9905.16</v>
      </c>
      <c r="AK312" s="563">
        <v>671163.17999999993</v>
      </c>
      <c r="AL312" s="563">
        <v>269461.03000000003</v>
      </c>
      <c r="AM312" s="563"/>
      <c r="AN312" s="563"/>
      <c r="AO312" s="563">
        <v>950529.36999999988</v>
      </c>
      <c r="AR312" s="124">
        <f>+L312</f>
        <v>131475.03999999998</v>
      </c>
      <c r="AS312" s="124">
        <f>+F312</f>
        <v>91431.76999999999</v>
      </c>
      <c r="AV312" s="372">
        <f t="shared" si="9"/>
        <v>222906.80999999997</v>
      </c>
      <c r="AW312" s="124">
        <f>+AV312+AO312-P312</f>
        <v>0</v>
      </c>
      <c r="AZ312" s="563">
        <v>205.74</v>
      </c>
      <c r="BA312" s="563">
        <v>16650.53</v>
      </c>
      <c r="BB312" s="563">
        <v>6944.73</v>
      </c>
      <c r="BC312" s="563"/>
      <c r="BD312" s="563"/>
      <c r="BE312" s="563">
        <v>23801</v>
      </c>
      <c r="BF312" s="372"/>
      <c r="BO312" s="563">
        <v>16284.75</v>
      </c>
      <c r="BP312" s="563">
        <v>1459003.56</v>
      </c>
      <c r="BQ312" s="563">
        <v>626661.03</v>
      </c>
      <c r="BR312" s="563"/>
      <c r="BS312" s="563"/>
      <c r="BT312" s="563">
        <v>2101949.34</v>
      </c>
      <c r="BW312" s="126">
        <v>560</v>
      </c>
      <c r="BX312" s="125">
        <v>39120</v>
      </c>
      <c r="BY312" s="19" t="s">
        <v>45</v>
      </c>
      <c r="BZ312" t="s">
        <v>860</v>
      </c>
    </row>
    <row r="313" spans="1:78" x14ac:dyDescent="0.3">
      <c r="A313" s="436">
        <v>39007</v>
      </c>
      <c r="B313" s="19" t="s">
        <v>45</v>
      </c>
      <c r="C313" t="s">
        <v>622</v>
      </c>
      <c r="D313" s="563">
        <v>8241.43</v>
      </c>
      <c r="E313" s="120">
        <v>1.4946761450432486E-5</v>
      </c>
      <c r="F313" s="563">
        <v>1225609.58</v>
      </c>
      <c r="G313" s="120">
        <v>2.2227810008244625E-3</v>
      </c>
      <c r="H313" s="563">
        <v>3610596.69</v>
      </c>
      <c r="I313" s="120">
        <v>1.3215120907390797E-2</v>
      </c>
      <c r="J313" s="563">
        <v>1745.17</v>
      </c>
      <c r="K313" s="120">
        <v>1.2093446396603282E-5</v>
      </c>
      <c r="L313" s="563">
        <v>1860032.79</v>
      </c>
      <c r="M313" s="120">
        <v>1.2889407245018794E-2</v>
      </c>
      <c r="N313" s="563">
        <v>9539473.370000001</v>
      </c>
      <c r="O313" s="120">
        <v>1.2915824289733958E-2</v>
      </c>
      <c r="P313" s="124">
        <v>16245699.030000001</v>
      </c>
      <c r="Q313" s="124"/>
      <c r="T313" s="373"/>
      <c r="U313" s="541">
        <v>1128</v>
      </c>
      <c r="V313" s="540" t="s">
        <v>623</v>
      </c>
      <c r="W313" s="442" t="s">
        <v>45</v>
      </c>
      <c r="X313" s="552" t="s">
        <v>622</v>
      </c>
      <c r="Y313" s="563">
        <v>1102.21</v>
      </c>
      <c r="Z313" s="563">
        <v>9012337.5199999996</v>
      </c>
      <c r="AA313" s="563">
        <v>3293083.35</v>
      </c>
      <c r="AB313" s="563">
        <v>5483.26</v>
      </c>
      <c r="AC313" s="563"/>
      <c r="AD313" s="563">
        <v>12312006.34</v>
      </c>
      <c r="AE313" s="124"/>
      <c r="AF313" s="541">
        <v>1128</v>
      </c>
      <c r="AG313" s="540" t="s">
        <v>623</v>
      </c>
      <c r="AH313" s="442" t="s">
        <v>45</v>
      </c>
      <c r="AI313" s="552" t="s">
        <v>622</v>
      </c>
      <c r="AJ313" s="563">
        <v>1745.17</v>
      </c>
      <c r="AK313" s="563">
        <v>9539473.370000001</v>
      </c>
      <c r="AL313" s="563">
        <v>3610596.69</v>
      </c>
      <c r="AM313" s="563">
        <v>8241.43</v>
      </c>
      <c r="AN313" s="563"/>
      <c r="AO313" s="563">
        <v>13160056.66</v>
      </c>
      <c r="AR313" s="124">
        <f>+L313</f>
        <v>1860032.79</v>
      </c>
      <c r="AS313" s="124">
        <f>+F313</f>
        <v>1225609.58</v>
      </c>
      <c r="AV313" s="372">
        <f t="shared" si="9"/>
        <v>3085642.37</v>
      </c>
      <c r="AW313" s="124">
        <f>+AV313+AO313-P313</f>
        <v>0</v>
      </c>
      <c r="AZ313" s="563">
        <v>36.74</v>
      </c>
      <c r="BA313" s="563">
        <v>236666.50999999998</v>
      </c>
      <c r="BB313" s="563">
        <v>93052.23</v>
      </c>
      <c r="BC313" s="563">
        <v>182.71</v>
      </c>
      <c r="BD313" s="563"/>
      <c r="BE313" s="563">
        <v>329938.19</v>
      </c>
      <c r="BF313" s="372"/>
      <c r="BO313" s="563">
        <v>2884.12</v>
      </c>
      <c r="BP313" s="563">
        <v>20648510.190000001</v>
      </c>
      <c r="BQ313" s="563">
        <v>8222341.8499999996</v>
      </c>
      <c r="BR313" s="563">
        <v>13907.4</v>
      </c>
      <c r="BS313" s="563"/>
      <c r="BT313" s="563">
        <v>28887643.560000002</v>
      </c>
      <c r="BW313" s="126">
        <v>341</v>
      </c>
      <c r="BX313" s="125">
        <v>39200</v>
      </c>
      <c r="BY313" s="19" t="s">
        <v>45</v>
      </c>
      <c r="BZ313" t="s">
        <v>820</v>
      </c>
    </row>
    <row r="314" spans="1:78" x14ac:dyDescent="0.3">
      <c r="A314" s="436">
        <v>39090</v>
      </c>
      <c r="B314" s="19" t="s">
        <v>45</v>
      </c>
      <c r="C314" t="s">
        <v>140</v>
      </c>
      <c r="D314" s="563"/>
      <c r="E314" s="120"/>
      <c r="F314" s="563">
        <v>209164.51</v>
      </c>
      <c r="G314" s="120">
        <v>3.7934339488008759E-4</v>
      </c>
      <c r="H314" s="563">
        <v>610285.17999999993</v>
      </c>
      <c r="I314" s="120">
        <v>2.2337007243223156E-3</v>
      </c>
      <c r="J314" s="563">
        <v>0</v>
      </c>
      <c r="K314" s="120">
        <v>0</v>
      </c>
      <c r="L314" s="563">
        <v>365474.3</v>
      </c>
      <c r="M314" s="120">
        <v>2.5326150784084683E-3</v>
      </c>
      <c r="N314" s="563">
        <v>1890639.93</v>
      </c>
      <c r="O314" s="120">
        <v>2.5598030608093105E-3</v>
      </c>
      <c r="P314" s="124">
        <v>3075563.92</v>
      </c>
      <c r="Q314" s="124"/>
      <c r="T314" s="373"/>
      <c r="U314" s="541">
        <v>621</v>
      </c>
      <c r="V314" s="540" t="s">
        <v>141</v>
      </c>
      <c r="W314" s="442" t="s">
        <v>45</v>
      </c>
      <c r="X314" s="552" t="s">
        <v>140</v>
      </c>
      <c r="Y314" s="563">
        <v>0</v>
      </c>
      <c r="Z314" s="563">
        <v>1741561.65</v>
      </c>
      <c r="AA314" s="563">
        <v>580559.96</v>
      </c>
      <c r="AB314" s="563"/>
      <c r="AC314" s="563"/>
      <c r="AD314" s="563">
        <v>2322121.61</v>
      </c>
      <c r="AE314" s="124"/>
      <c r="AF314" s="541">
        <v>621</v>
      </c>
      <c r="AG314" s="540" t="s">
        <v>141</v>
      </c>
      <c r="AH314" s="442" t="s">
        <v>45</v>
      </c>
      <c r="AI314" s="552" t="s">
        <v>140</v>
      </c>
      <c r="AJ314" s="563">
        <v>0</v>
      </c>
      <c r="AK314" s="563">
        <v>1890639.93</v>
      </c>
      <c r="AL314" s="563">
        <v>610285.17999999993</v>
      </c>
      <c r="AM314" s="563"/>
      <c r="AN314" s="563"/>
      <c r="AO314" s="563">
        <v>2500925.11</v>
      </c>
      <c r="AR314" s="124">
        <f>+L314</f>
        <v>365474.3</v>
      </c>
      <c r="AS314" s="124">
        <f>+F314</f>
        <v>209164.51</v>
      </c>
      <c r="AV314" s="372">
        <f t="shared" si="9"/>
        <v>574638.81000000006</v>
      </c>
      <c r="AW314" s="124">
        <f>+AV314+AO314-P314</f>
        <v>0</v>
      </c>
      <c r="AZ314" s="563">
        <v>0</v>
      </c>
      <c r="BA314" s="563">
        <v>46911.170000000006</v>
      </c>
      <c r="BB314" s="563">
        <v>15728.84</v>
      </c>
      <c r="BC314" s="563"/>
      <c r="BD314" s="563"/>
      <c r="BE314" s="563">
        <v>62640.010000000009</v>
      </c>
      <c r="BF314" s="372"/>
      <c r="BO314" s="563">
        <v>0</v>
      </c>
      <c r="BP314" s="563">
        <v>4044587.0500000003</v>
      </c>
      <c r="BQ314" s="563">
        <v>1415738.49</v>
      </c>
      <c r="BR314" s="563"/>
      <c r="BS314" s="563"/>
      <c r="BT314" s="563">
        <v>5460325.54</v>
      </c>
      <c r="BW314" s="126">
        <v>958</v>
      </c>
      <c r="BX314" s="125">
        <v>39201</v>
      </c>
      <c r="BY314" s="19" t="s">
        <v>45</v>
      </c>
      <c r="BZ314" t="s">
        <v>978</v>
      </c>
    </row>
    <row r="315" spans="1:78" x14ac:dyDescent="0.3">
      <c r="A315" s="436">
        <v>39119</v>
      </c>
      <c r="B315" s="19" t="s">
        <v>45</v>
      </c>
      <c r="C315" t="s">
        <v>482</v>
      </c>
      <c r="D315" s="563"/>
      <c r="E315" s="120"/>
      <c r="F315" s="563">
        <v>258814.72999999998</v>
      </c>
      <c r="G315" s="120">
        <v>4.6938966043127126E-4</v>
      </c>
      <c r="H315" s="563">
        <v>764949.79</v>
      </c>
      <c r="I315" s="120">
        <v>2.7997876336980742E-3</v>
      </c>
      <c r="J315" s="563">
        <v>0</v>
      </c>
      <c r="K315" s="120">
        <v>0</v>
      </c>
      <c r="L315" s="563">
        <v>432213.57</v>
      </c>
      <c r="M315" s="120">
        <v>2.9950959738475566E-3</v>
      </c>
      <c r="N315" s="563">
        <v>2220524.27</v>
      </c>
      <c r="O315" s="120">
        <v>3.0064449252097201E-3</v>
      </c>
      <c r="P315" s="124">
        <v>3676502.3600000003</v>
      </c>
      <c r="Q315" s="124"/>
      <c r="T315" s="373"/>
      <c r="U315" s="541">
        <v>850</v>
      </c>
      <c r="V315" s="540" t="s">
        <v>483</v>
      </c>
      <c r="W315" s="442" t="s">
        <v>45</v>
      </c>
      <c r="X315" s="552" t="s">
        <v>482</v>
      </c>
      <c r="Y315" s="563">
        <v>0</v>
      </c>
      <c r="Z315" s="563">
        <v>2147110.5299999998</v>
      </c>
      <c r="AA315" s="563">
        <v>717361.22</v>
      </c>
      <c r="AB315" s="563"/>
      <c r="AC315" s="563"/>
      <c r="AD315" s="563">
        <v>2864471.75</v>
      </c>
      <c r="AE315" s="124"/>
      <c r="AF315" s="541">
        <v>850</v>
      </c>
      <c r="AG315" s="540" t="s">
        <v>483</v>
      </c>
      <c r="AH315" s="442" t="s">
        <v>45</v>
      </c>
      <c r="AI315" s="552" t="s">
        <v>482</v>
      </c>
      <c r="AJ315" s="563">
        <v>0</v>
      </c>
      <c r="AK315" s="563">
        <v>2220524.27</v>
      </c>
      <c r="AL315" s="563">
        <v>764949.79</v>
      </c>
      <c r="AM315" s="563"/>
      <c r="AN315" s="563"/>
      <c r="AO315" s="563">
        <v>2985474.06</v>
      </c>
      <c r="AR315" s="124">
        <f>+L315</f>
        <v>432213.57</v>
      </c>
      <c r="AS315" s="124">
        <f>+F315</f>
        <v>258814.72999999998</v>
      </c>
      <c r="AV315" s="372">
        <f t="shared" si="9"/>
        <v>691028.3</v>
      </c>
      <c r="AW315" s="124">
        <f>+AV315+AO315-P315</f>
        <v>0</v>
      </c>
      <c r="AZ315" s="563">
        <v>0</v>
      </c>
      <c r="BA315" s="563">
        <v>55099.56</v>
      </c>
      <c r="BB315" s="563">
        <v>19714.989999999998</v>
      </c>
      <c r="BC315" s="563"/>
      <c r="BD315" s="563"/>
      <c r="BE315" s="563">
        <v>74814.549999999988</v>
      </c>
      <c r="BF315" s="372"/>
      <c r="BO315" s="563">
        <v>0</v>
      </c>
      <c r="BP315" s="563">
        <v>4854947.93</v>
      </c>
      <c r="BQ315" s="563">
        <v>1760840.73</v>
      </c>
      <c r="BR315" s="563"/>
      <c r="BS315" s="563"/>
      <c r="BT315" s="563">
        <v>6615788.6600000001</v>
      </c>
      <c r="BW315" s="126">
        <v>992</v>
      </c>
      <c r="BX315" s="125">
        <v>39202</v>
      </c>
      <c r="BY315" s="19" t="s">
        <v>45</v>
      </c>
      <c r="BZ315" t="s">
        <v>987</v>
      </c>
    </row>
    <row r="316" spans="1:78" x14ac:dyDescent="0.3">
      <c r="A316" s="436">
        <v>39120</v>
      </c>
      <c r="B316" s="19" t="s">
        <v>45</v>
      </c>
      <c r="C316" t="s">
        <v>282</v>
      </c>
      <c r="D316" s="563"/>
      <c r="E316" s="120"/>
      <c r="F316" s="563">
        <v>56415.85</v>
      </c>
      <c r="G316" s="120">
        <v>1.0231649749781064E-4</v>
      </c>
      <c r="H316" s="563">
        <v>164169.40000000002</v>
      </c>
      <c r="I316" s="120">
        <v>6.00875327976275E-4</v>
      </c>
      <c r="J316" s="563"/>
      <c r="K316" s="120"/>
      <c r="L316" s="563">
        <v>89099.28</v>
      </c>
      <c r="M316" s="120">
        <v>6.1742831165785962E-4</v>
      </c>
      <c r="N316" s="563">
        <v>457883.43</v>
      </c>
      <c r="O316" s="120">
        <v>6.1994427760121717E-4</v>
      </c>
      <c r="P316" s="124">
        <v>767567.96</v>
      </c>
      <c r="Q316" s="124"/>
      <c r="T316" s="373"/>
      <c r="U316" s="541">
        <v>560</v>
      </c>
      <c r="V316" s="540" t="s">
        <v>283</v>
      </c>
      <c r="W316" s="442" t="s">
        <v>45</v>
      </c>
      <c r="X316" s="552" t="s">
        <v>282</v>
      </c>
      <c r="Y316" s="563"/>
      <c r="Z316" s="563">
        <v>437376.49</v>
      </c>
      <c r="AA316" s="563">
        <v>149244.72</v>
      </c>
      <c r="AB316" s="563"/>
      <c r="AC316" s="563"/>
      <c r="AD316" s="563">
        <v>586621.21</v>
      </c>
      <c r="AE316" s="124"/>
      <c r="AF316" s="541">
        <v>560</v>
      </c>
      <c r="AG316" s="540" t="s">
        <v>283</v>
      </c>
      <c r="AH316" s="442" t="s">
        <v>45</v>
      </c>
      <c r="AI316" s="552" t="s">
        <v>282</v>
      </c>
      <c r="AJ316" s="563"/>
      <c r="AK316" s="563">
        <v>457883.43</v>
      </c>
      <c r="AL316" s="563">
        <v>164169.40000000002</v>
      </c>
      <c r="AM316" s="563"/>
      <c r="AN316" s="563"/>
      <c r="AO316" s="563">
        <v>622052.83000000007</v>
      </c>
      <c r="AR316" s="124">
        <f>+L316</f>
        <v>89099.28</v>
      </c>
      <c r="AS316" s="124">
        <f>+F316</f>
        <v>56415.85</v>
      </c>
      <c r="AV316" s="372">
        <f t="shared" si="9"/>
        <v>145515.13</v>
      </c>
      <c r="AW316" s="124">
        <f>+AV316+AO316-P316</f>
        <v>0</v>
      </c>
      <c r="AZ316" s="563"/>
      <c r="BA316" s="563">
        <v>11360.54</v>
      </c>
      <c r="BB316" s="563">
        <v>4224.34</v>
      </c>
      <c r="BC316" s="563"/>
      <c r="BD316" s="563"/>
      <c r="BE316" s="563">
        <v>15584.880000000001</v>
      </c>
      <c r="BF316" s="372"/>
      <c r="BO316" s="563"/>
      <c r="BP316" s="563">
        <v>995719.74</v>
      </c>
      <c r="BQ316" s="563">
        <v>374054.31</v>
      </c>
      <c r="BR316" s="563"/>
      <c r="BS316" s="563"/>
      <c r="BT316" s="563">
        <v>1369774.05</v>
      </c>
      <c r="BW316" s="126">
        <v>376</v>
      </c>
      <c r="BX316" s="125">
        <v>39203</v>
      </c>
      <c r="BY316" s="19" t="s">
        <v>45</v>
      </c>
      <c r="BZ316" t="s">
        <v>828</v>
      </c>
    </row>
    <row r="317" spans="1:78" x14ac:dyDescent="0.3">
      <c r="A317" s="436">
        <v>39200</v>
      </c>
      <c r="B317" s="19" t="s">
        <v>45</v>
      </c>
      <c r="C317" t="s">
        <v>200</v>
      </c>
      <c r="D317" s="563">
        <v>3451.23</v>
      </c>
      <c r="E317" s="120">
        <v>6.2591942806741194E-6</v>
      </c>
      <c r="F317" s="563">
        <v>316291.15000000002</v>
      </c>
      <c r="G317" s="120">
        <v>5.7362962106490738E-4</v>
      </c>
      <c r="H317" s="563">
        <v>920462.8899999999</v>
      </c>
      <c r="I317" s="120">
        <v>3.3689800956739793E-3</v>
      </c>
      <c r="J317" s="563"/>
      <c r="K317" s="120"/>
      <c r="L317" s="563">
        <v>430825.87</v>
      </c>
      <c r="M317" s="120">
        <v>2.9854796753983701E-3</v>
      </c>
      <c r="N317" s="563">
        <v>2222320.42</v>
      </c>
      <c r="O317" s="120">
        <v>3.0088767950727838E-3</v>
      </c>
      <c r="P317" s="124">
        <v>3893351.56</v>
      </c>
      <c r="Q317" s="124"/>
      <c r="T317" s="373"/>
      <c r="U317" s="541">
        <v>341</v>
      </c>
      <c r="V317" s="540" t="s">
        <v>201</v>
      </c>
      <c r="W317" s="442" t="s">
        <v>45</v>
      </c>
      <c r="X317" s="552" t="s">
        <v>200</v>
      </c>
      <c r="Y317" s="563"/>
      <c r="Z317" s="563">
        <v>2124327.71</v>
      </c>
      <c r="AA317" s="563">
        <v>830124.94</v>
      </c>
      <c r="AB317" s="563">
        <v>2298.92</v>
      </c>
      <c r="AC317" s="563"/>
      <c r="AD317" s="563">
        <v>2956751.57</v>
      </c>
      <c r="AE317" s="124"/>
      <c r="AF317" s="541">
        <v>341</v>
      </c>
      <c r="AG317" s="540" t="s">
        <v>201</v>
      </c>
      <c r="AH317" s="442" t="s">
        <v>45</v>
      </c>
      <c r="AI317" s="552" t="s">
        <v>200</v>
      </c>
      <c r="AJ317" s="563"/>
      <c r="AK317" s="563">
        <v>2222320.42</v>
      </c>
      <c r="AL317" s="563">
        <v>920462.8899999999</v>
      </c>
      <c r="AM317" s="563">
        <v>3451.23</v>
      </c>
      <c r="AN317" s="563"/>
      <c r="AO317" s="563">
        <v>3146234.54</v>
      </c>
      <c r="AR317" s="124">
        <f>+L317</f>
        <v>430825.87</v>
      </c>
      <c r="AS317" s="124">
        <f>+F317</f>
        <v>316291.15000000002</v>
      </c>
      <c r="AV317" s="372">
        <f t="shared" si="9"/>
        <v>747117.02</v>
      </c>
      <c r="AW317" s="124">
        <f>+AV317+AO317-P317</f>
        <v>0</v>
      </c>
      <c r="AZ317" s="563"/>
      <c r="BA317" s="563">
        <v>55135.44</v>
      </c>
      <c r="BB317" s="563">
        <v>23717.52</v>
      </c>
      <c r="BC317" s="563">
        <v>76.58</v>
      </c>
      <c r="BD317" s="563"/>
      <c r="BE317" s="563">
        <v>78929.540000000008</v>
      </c>
      <c r="BF317" s="372"/>
      <c r="BO317" s="563"/>
      <c r="BP317" s="563">
        <v>4832609.4400000004</v>
      </c>
      <c r="BQ317" s="563">
        <v>2090596.5</v>
      </c>
      <c r="BR317" s="563">
        <v>5826.73</v>
      </c>
      <c r="BS317" s="563"/>
      <c r="BT317" s="563">
        <v>6929032.6699999999</v>
      </c>
      <c r="BW317" s="126">
        <v>342</v>
      </c>
      <c r="BX317" s="125">
        <v>39204</v>
      </c>
      <c r="BY317" s="19" t="s">
        <v>45</v>
      </c>
      <c r="BZ317" t="s">
        <v>821</v>
      </c>
    </row>
    <row r="318" spans="1:78" x14ac:dyDescent="0.3">
      <c r="A318" s="436">
        <v>39201</v>
      </c>
      <c r="B318" s="19" t="s">
        <v>45</v>
      </c>
      <c r="C318" t="s">
        <v>536</v>
      </c>
      <c r="D318" s="563">
        <v>9876.31</v>
      </c>
      <c r="E318" s="120">
        <v>1.7911800449742443E-5</v>
      </c>
      <c r="F318" s="563">
        <v>515123.01999999996</v>
      </c>
      <c r="G318" s="120">
        <v>9.3423360964861222E-4</v>
      </c>
      <c r="H318" s="563">
        <v>1496437.9</v>
      </c>
      <c r="I318" s="120">
        <v>5.477102395200494E-3</v>
      </c>
      <c r="J318" s="563">
        <v>11861.28</v>
      </c>
      <c r="K318" s="120">
        <v>8.219471677550186E-5</v>
      </c>
      <c r="L318" s="563">
        <v>693426.15</v>
      </c>
      <c r="M318" s="120">
        <v>4.8052120853716183E-3</v>
      </c>
      <c r="N318" s="563">
        <v>3605970.9699999997</v>
      </c>
      <c r="O318" s="120">
        <v>4.8822493271870751E-3</v>
      </c>
      <c r="P318" s="124">
        <v>6332695.6299999999</v>
      </c>
      <c r="Q318" s="124"/>
      <c r="T318" s="373"/>
      <c r="U318" s="541">
        <v>958</v>
      </c>
      <c r="V318" s="540" t="s">
        <v>537</v>
      </c>
      <c r="W318" s="442" t="s">
        <v>45</v>
      </c>
      <c r="X318" s="552" t="s">
        <v>536</v>
      </c>
      <c r="Y318" s="563">
        <v>7404.08</v>
      </c>
      <c r="Z318" s="563">
        <v>3428338.2600000002</v>
      </c>
      <c r="AA318" s="563">
        <v>1344944.3199999998</v>
      </c>
      <c r="AB318" s="563">
        <v>6636.06</v>
      </c>
      <c r="AC318" s="563"/>
      <c r="AD318" s="563">
        <v>4787322.7200000007</v>
      </c>
      <c r="AE318" s="124"/>
      <c r="AF318" s="541">
        <v>958</v>
      </c>
      <c r="AG318" s="540" t="s">
        <v>537</v>
      </c>
      <c r="AH318" s="442" t="s">
        <v>45</v>
      </c>
      <c r="AI318" s="552" t="s">
        <v>536</v>
      </c>
      <c r="AJ318" s="563">
        <v>11861.28</v>
      </c>
      <c r="AK318" s="563">
        <v>3605970.9699999997</v>
      </c>
      <c r="AL318" s="563">
        <v>1496437.9</v>
      </c>
      <c r="AM318" s="563">
        <v>9876.31</v>
      </c>
      <c r="AN318" s="563"/>
      <c r="AO318" s="563">
        <v>5124146.46</v>
      </c>
      <c r="AR318" s="124">
        <f>+L318</f>
        <v>693426.15</v>
      </c>
      <c r="AS318" s="124">
        <f>+F318</f>
        <v>515123.01999999996</v>
      </c>
      <c r="AV318" s="372">
        <f t="shared" si="9"/>
        <v>1208549.17</v>
      </c>
      <c r="AW318" s="124">
        <f>+AV318+AO318-P318</f>
        <v>0</v>
      </c>
      <c r="AZ318" s="563">
        <v>246.75</v>
      </c>
      <c r="BA318" s="563">
        <v>89477.54</v>
      </c>
      <c r="BB318" s="563">
        <v>38567.97</v>
      </c>
      <c r="BC318" s="563">
        <v>221.15</v>
      </c>
      <c r="BD318" s="563"/>
      <c r="BE318" s="563">
        <v>128513.41</v>
      </c>
      <c r="BF318" s="372"/>
      <c r="BO318" s="563">
        <v>19512.11</v>
      </c>
      <c r="BP318" s="563">
        <v>7817212.9199999999</v>
      </c>
      <c r="BQ318" s="563">
        <v>3395073.21</v>
      </c>
      <c r="BR318" s="563">
        <v>16733.52</v>
      </c>
      <c r="BS318" s="563"/>
      <c r="BT318" s="563">
        <v>11248531.76</v>
      </c>
      <c r="BW318" s="126">
        <v>1137</v>
      </c>
      <c r="BX318" s="125">
        <v>39205</v>
      </c>
      <c r="BY318" s="19" t="s">
        <v>45</v>
      </c>
      <c r="BZ318" t="s">
        <v>1022</v>
      </c>
    </row>
    <row r="319" spans="1:78" x14ac:dyDescent="0.3">
      <c r="A319" s="436">
        <v>39202</v>
      </c>
      <c r="B319" s="19" t="s">
        <v>45</v>
      </c>
      <c r="C319" t="s">
        <v>554</v>
      </c>
      <c r="D319" s="563"/>
      <c r="E319" s="120"/>
      <c r="F319" s="563">
        <v>299743.91000000003</v>
      </c>
      <c r="G319" s="120">
        <v>5.4361933778360129E-4</v>
      </c>
      <c r="H319" s="563">
        <v>881380.54</v>
      </c>
      <c r="I319" s="120">
        <v>3.2259350466311404E-3</v>
      </c>
      <c r="J319" s="563">
        <v>0</v>
      </c>
      <c r="K319" s="120">
        <v>0</v>
      </c>
      <c r="L319" s="563">
        <v>387020.89</v>
      </c>
      <c r="M319" s="120">
        <v>2.6819257651579474E-3</v>
      </c>
      <c r="N319" s="563">
        <v>1994827.9100000001</v>
      </c>
      <c r="O319" s="120">
        <v>2.7008667852507699E-3</v>
      </c>
      <c r="P319" s="124">
        <v>3562973.2500000005</v>
      </c>
      <c r="Q319" s="124"/>
      <c r="T319" s="373"/>
      <c r="U319" s="541">
        <v>992</v>
      </c>
      <c r="V319" s="540" t="s">
        <v>555</v>
      </c>
      <c r="W319" s="442" t="s">
        <v>45</v>
      </c>
      <c r="X319" s="552" t="s">
        <v>554</v>
      </c>
      <c r="Y319" s="563">
        <v>0</v>
      </c>
      <c r="Z319" s="563">
        <v>1729907.9100000001</v>
      </c>
      <c r="AA319" s="563">
        <v>773417.64</v>
      </c>
      <c r="AB319" s="563"/>
      <c r="AC319" s="563"/>
      <c r="AD319" s="563">
        <v>2503325.5500000003</v>
      </c>
      <c r="AE319" s="124"/>
      <c r="AF319" s="541">
        <v>992</v>
      </c>
      <c r="AG319" s="540" t="s">
        <v>555</v>
      </c>
      <c r="AH319" s="442" t="s">
        <v>45</v>
      </c>
      <c r="AI319" s="552" t="s">
        <v>554</v>
      </c>
      <c r="AJ319" s="563">
        <v>0</v>
      </c>
      <c r="AK319" s="563">
        <v>1994827.9100000001</v>
      </c>
      <c r="AL319" s="563">
        <v>881380.54</v>
      </c>
      <c r="AM319" s="563"/>
      <c r="AN319" s="563"/>
      <c r="AO319" s="563">
        <v>2876208.45</v>
      </c>
      <c r="AR319" s="124">
        <f>+L319</f>
        <v>387020.89</v>
      </c>
      <c r="AS319" s="124">
        <f>+F319</f>
        <v>299743.91000000003</v>
      </c>
      <c r="AV319" s="372">
        <f t="shared" si="9"/>
        <v>686764.8</v>
      </c>
      <c r="AW319" s="124">
        <f>+AV319+AO319-P319</f>
        <v>0</v>
      </c>
      <c r="AZ319" s="563">
        <v>0</v>
      </c>
      <c r="BA319" s="563">
        <v>49498.86</v>
      </c>
      <c r="BB319" s="563">
        <v>22716.35</v>
      </c>
      <c r="BC319" s="563"/>
      <c r="BD319" s="563"/>
      <c r="BE319" s="563">
        <v>72215.209999999992</v>
      </c>
      <c r="BF319" s="372"/>
      <c r="BO319" s="563">
        <v>0</v>
      </c>
      <c r="BP319" s="563">
        <v>4161255.5700000003</v>
      </c>
      <c r="BQ319" s="563">
        <v>1977258.44</v>
      </c>
      <c r="BR319" s="563"/>
      <c r="BS319" s="563"/>
      <c r="BT319" s="563">
        <v>6138514.0099999998</v>
      </c>
      <c r="BW319" s="126">
        <v>1058</v>
      </c>
      <c r="BX319" s="125">
        <v>39207</v>
      </c>
      <c r="BY319" s="19" t="s">
        <v>45</v>
      </c>
      <c r="BZ319" t="s">
        <v>1001</v>
      </c>
    </row>
    <row r="320" spans="1:78" x14ac:dyDescent="0.3">
      <c r="A320" s="436">
        <v>39203</v>
      </c>
      <c r="B320" s="19" t="s">
        <v>45</v>
      </c>
      <c r="C320" t="s">
        <v>216</v>
      </c>
      <c r="D320" s="563">
        <v>2501.79</v>
      </c>
      <c r="E320" s="120">
        <v>4.5372779152498402E-6</v>
      </c>
      <c r="F320" s="563">
        <v>79624.14</v>
      </c>
      <c r="G320" s="120">
        <v>1.4440734511800006E-4</v>
      </c>
      <c r="H320" s="563">
        <v>235228.07</v>
      </c>
      <c r="I320" s="120">
        <v>8.6095669296760644E-4</v>
      </c>
      <c r="J320" s="563"/>
      <c r="K320" s="120"/>
      <c r="L320" s="563">
        <v>119894.48999999999</v>
      </c>
      <c r="M320" s="120">
        <v>8.3082885223966039E-4</v>
      </c>
      <c r="N320" s="563">
        <v>616389.27</v>
      </c>
      <c r="O320" s="120">
        <v>8.3455083908865531E-4</v>
      </c>
      <c r="P320" s="124">
        <v>1053637.76</v>
      </c>
      <c r="Q320" s="124"/>
      <c r="U320" s="541">
        <v>376</v>
      </c>
      <c r="V320" s="540" t="s">
        <v>217</v>
      </c>
      <c r="W320" s="442" t="s">
        <v>45</v>
      </c>
      <c r="X320" s="552" t="s">
        <v>216</v>
      </c>
      <c r="Y320" s="563"/>
      <c r="Z320" s="563">
        <v>559290.67999999993</v>
      </c>
      <c r="AA320" s="563">
        <v>221122.08000000002</v>
      </c>
      <c r="AB320" s="563">
        <v>1673.21</v>
      </c>
      <c r="AC320" s="563"/>
      <c r="AD320" s="563">
        <v>782085.97</v>
      </c>
      <c r="AE320" s="124"/>
      <c r="AF320" s="541">
        <v>376</v>
      </c>
      <c r="AG320" s="540" t="s">
        <v>217</v>
      </c>
      <c r="AH320" s="442" t="s">
        <v>45</v>
      </c>
      <c r="AI320" s="552" t="s">
        <v>216</v>
      </c>
      <c r="AJ320" s="563"/>
      <c r="AK320" s="563">
        <v>616389.27</v>
      </c>
      <c r="AL320" s="563">
        <v>235228.07</v>
      </c>
      <c r="AM320" s="563">
        <v>2501.79</v>
      </c>
      <c r="AN320" s="563"/>
      <c r="AO320" s="563">
        <v>854119.13</v>
      </c>
      <c r="AR320" s="124">
        <f>+L320</f>
        <v>119894.48999999999</v>
      </c>
      <c r="AS320" s="124">
        <f>+F320</f>
        <v>79624.14</v>
      </c>
      <c r="AV320" s="372">
        <f t="shared" si="9"/>
        <v>199518.63</v>
      </c>
      <c r="AW320" s="124">
        <f>+AV320+AO320-P320</f>
        <v>0</v>
      </c>
      <c r="AZ320" s="563"/>
      <c r="BA320" s="563">
        <v>15294.85</v>
      </c>
      <c r="BB320" s="563">
        <v>6062.44</v>
      </c>
      <c r="BC320" s="563">
        <v>55.74</v>
      </c>
      <c r="BD320" s="563"/>
      <c r="BE320" s="563">
        <v>21413.03</v>
      </c>
      <c r="BF320" s="372"/>
      <c r="BO320" s="563"/>
      <c r="BP320" s="563">
        <v>1310869.29</v>
      </c>
      <c r="BQ320" s="563">
        <v>542036.73</v>
      </c>
      <c r="BR320" s="563">
        <v>4230.74</v>
      </c>
      <c r="BS320" s="563"/>
      <c r="BT320" s="563">
        <v>1857136.76</v>
      </c>
      <c r="BW320" s="126">
        <v>1076</v>
      </c>
      <c r="BX320" s="125">
        <v>39208</v>
      </c>
      <c r="BY320" s="19" t="s">
        <v>45</v>
      </c>
      <c r="BZ320" t="s">
        <v>1008</v>
      </c>
    </row>
    <row r="321" spans="1:78" x14ac:dyDescent="0.3">
      <c r="A321" s="436">
        <v>39204</v>
      </c>
      <c r="B321" s="19" t="s">
        <v>45</v>
      </c>
      <c r="C321" t="s">
        <v>202</v>
      </c>
      <c r="D321" s="563"/>
      <c r="E321" s="120"/>
      <c r="F321" s="563">
        <v>107101.08</v>
      </c>
      <c r="G321" s="120">
        <v>1.9423987024626621E-4</v>
      </c>
      <c r="H321" s="563">
        <v>314720.53000000003</v>
      </c>
      <c r="I321" s="120">
        <v>1.1519065165896756E-3</v>
      </c>
      <c r="J321" s="563"/>
      <c r="K321" s="120"/>
      <c r="L321" s="563">
        <v>153648.11000000002</v>
      </c>
      <c r="M321" s="120">
        <v>1.0647301880185912E-3</v>
      </c>
      <c r="N321" s="563">
        <v>790954.79</v>
      </c>
      <c r="O321" s="120">
        <v>1.0709011590608825E-3</v>
      </c>
      <c r="P321" s="124">
        <v>1366424.5100000002</v>
      </c>
      <c r="Q321" s="124"/>
      <c r="U321" s="541">
        <v>342</v>
      </c>
      <c r="V321" s="540" t="s">
        <v>203</v>
      </c>
      <c r="W321" s="442" t="s">
        <v>45</v>
      </c>
      <c r="X321" s="552" t="s">
        <v>202</v>
      </c>
      <c r="Y321" s="563"/>
      <c r="Z321" s="563">
        <v>747474.84000000008</v>
      </c>
      <c r="AA321" s="563">
        <v>298710.18</v>
      </c>
      <c r="AB321" s="563"/>
      <c r="AC321" s="563"/>
      <c r="AD321" s="563">
        <v>1046185.02</v>
      </c>
      <c r="AE321" s="124"/>
      <c r="AF321" s="541">
        <v>342</v>
      </c>
      <c r="AG321" s="540" t="s">
        <v>203</v>
      </c>
      <c r="AH321" s="442" t="s">
        <v>45</v>
      </c>
      <c r="AI321" s="552" t="s">
        <v>202</v>
      </c>
      <c r="AJ321" s="563"/>
      <c r="AK321" s="563">
        <v>790954.79</v>
      </c>
      <c r="AL321" s="563">
        <v>314720.53000000003</v>
      </c>
      <c r="AM321" s="563"/>
      <c r="AN321" s="563"/>
      <c r="AO321" s="563">
        <v>1105675.32</v>
      </c>
      <c r="AR321" s="124">
        <f>+L321</f>
        <v>153648.11000000002</v>
      </c>
      <c r="AS321" s="124">
        <f>+F321</f>
        <v>107101.08</v>
      </c>
      <c r="AV321" s="372">
        <f t="shared" si="9"/>
        <v>260749.19</v>
      </c>
      <c r="AW321" s="124">
        <f>+AV321+AO321-P321</f>
        <v>0</v>
      </c>
      <c r="AZ321" s="563"/>
      <c r="BA321" s="563">
        <v>19625.62</v>
      </c>
      <c r="BB321" s="563">
        <v>8111.24</v>
      </c>
      <c r="BC321" s="563"/>
      <c r="BD321" s="563"/>
      <c r="BE321" s="563">
        <v>27736.86</v>
      </c>
      <c r="BF321" s="372"/>
      <c r="BO321" s="563"/>
      <c r="BP321" s="563">
        <v>1711703.3599999999</v>
      </c>
      <c r="BQ321" s="563">
        <v>728643.03</v>
      </c>
      <c r="BR321" s="563"/>
      <c r="BS321" s="563"/>
      <c r="BT321" s="563">
        <v>2440346.3899999997</v>
      </c>
      <c r="BW321" s="126">
        <v>614</v>
      </c>
      <c r="BX321" s="125">
        <v>39209</v>
      </c>
      <c r="BY321" s="19" t="s">
        <v>45</v>
      </c>
      <c r="BZ321" t="s">
        <v>878</v>
      </c>
    </row>
    <row r="322" spans="1:78" x14ac:dyDescent="0.3">
      <c r="A322" s="436">
        <v>39205</v>
      </c>
      <c r="B322" s="19" t="s">
        <v>45</v>
      </c>
      <c r="C322" t="s">
        <v>626</v>
      </c>
      <c r="D322" s="563"/>
      <c r="E322" s="120"/>
      <c r="F322" s="563">
        <v>82817.48000000001</v>
      </c>
      <c r="G322" s="120">
        <v>1.5019882684024052E-4</v>
      </c>
      <c r="H322" s="563">
        <v>240406.74</v>
      </c>
      <c r="I322" s="120">
        <v>8.7991110855742329E-4</v>
      </c>
      <c r="J322" s="563">
        <v>0</v>
      </c>
      <c r="K322" s="120">
        <v>0</v>
      </c>
      <c r="L322" s="563">
        <v>138889.65</v>
      </c>
      <c r="M322" s="120">
        <v>9.6245897953665884E-4</v>
      </c>
      <c r="N322" s="563">
        <v>721031.07000000007</v>
      </c>
      <c r="O322" s="120">
        <v>9.7622900618872066E-4</v>
      </c>
      <c r="P322" s="124">
        <v>1183144.94</v>
      </c>
      <c r="Q322" s="124"/>
      <c r="U322" s="541">
        <v>1137</v>
      </c>
      <c r="V322" s="540" t="s">
        <v>627</v>
      </c>
      <c r="W322" s="442" t="s">
        <v>45</v>
      </c>
      <c r="X322" s="552" t="s">
        <v>626</v>
      </c>
      <c r="Y322" s="563">
        <v>0</v>
      </c>
      <c r="Z322" s="563">
        <v>667820.4</v>
      </c>
      <c r="AA322" s="563">
        <v>234781.13999999998</v>
      </c>
      <c r="AB322" s="563"/>
      <c r="AC322" s="563"/>
      <c r="AD322" s="563">
        <v>902601.54</v>
      </c>
      <c r="AE322" s="124"/>
      <c r="AF322" s="541">
        <v>1137</v>
      </c>
      <c r="AG322" s="540" t="s">
        <v>627</v>
      </c>
      <c r="AH322" s="442" t="s">
        <v>45</v>
      </c>
      <c r="AI322" s="552" t="s">
        <v>626</v>
      </c>
      <c r="AJ322" s="563">
        <v>0</v>
      </c>
      <c r="AK322" s="563">
        <v>721031.07000000007</v>
      </c>
      <c r="AL322" s="563">
        <v>240406.74</v>
      </c>
      <c r="AM322" s="563"/>
      <c r="AN322" s="563"/>
      <c r="AO322" s="563">
        <v>961437.81</v>
      </c>
      <c r="AR322" s="124">
        <f>+L322</f>
        <v>138889.65</v>
      </c>
      <c r="AS322" s="124">
        <f>+F322</f>
        <v>82817.48000000001</v>
      </c>
      <c r="AV322" s="372">
        <f t="shared" si="9"/>
        <v>221707.13</v>
      </c>
      <c r="AW322" s="124">
        <f>+AV322+AO322-P322</f>
        <v>0</v>
      </c>
      <c r="AZ322" s="563">
        <v>0</v>
      </c>
      <c r="BA322" s="563">
        <v>17891.03</v>
      </c>
      <c r="BB322" s="563">
        <v>6195.9</v>
      </c>
      <c r="BC322" s="563"/>
      <c r="BD322" s="563"/>
      <c r="BE322" s="563">
        <v>24086.93</v>
      </c>
      <c r="BF322" s="372"/>
      <c r="BO322" s="563">
        <v>0</v>
      </c>
      <c r="BP322" s="563">
        <v>1545632.15</v>
      </c>
      <c r="BQ322" s="563">
        <v>564201.26</v>
      </c>
      <c r="BR322" s="563"/>
      <c r="BS322" s="563"/>
      <c r="BT322" s="563">
        <v>2109833.41</v>
      </c>
      <c r="BW322" s="126">
        <v>260</v>
      </c>
      <c r="BX322" s="19">
        <v>39801</v>
      </c>
      <c r="BY322" s="101" t="s">
        <v>45</v>
      </c>
      <c r="BZ322" s="187" t="s">
        <v>797</v>
      </c>
    </row>
    <row r="323" spans="1:78" x14ac:dyDescent="0.3">
      <c r="A323" s="436">
        <v>39207</v>
      </c>
      <c r="B323" s="19" t="s">
        <v>45</v>
      </c>
      <c r="C323" t="s">
        <v>584</v>
      </c>
      <c r="D323" s="563">
        <v>628.55999999999995</v>
      </c>
      <c r="E323" s="120">
        <v>1.1399643480905429E-6</v>
      </c>
      <c r="F323" s="563">
        <v>257044.67</v>
      </c>
      <c r="G323" s="120">
        <v>4.6617945727806215E-4</v>
      </c>
      <c r="H323" s="563">
        <v>759370.89</v>
      </c>
      <c r="I323" s="120">
        <v>2.7793683389498031E-3</v>
      </c>
      <c r="J323" s="563">
        <v>0</v>
      </c>
      <c r="K323" s="120">
        <v>0</v>
      </c>
      <c r="L323" s="563">
        <v>409163.63</v>
      </c>
      <c r="M323" s="120">
        <v>2.83536757269757E-3</v>
      </c>
      <c r="N323" s="563">
        <v>2095307.7600000002</v>
      </c>
      <c r="O323" s="120">
        <v>2.8369099437064683E-3</v>
      </c>
      <c r="P323" s="124">
        <v>3521515.5100000002</v>
      </c>
      <c r="Q323" s="124"/>
      <c r="U323" s="541">
        <v>1058</v>
      </c>
      <c r="V323" s="540" t="s">
        <v>585</v>
      </c>
      <c r="W323" s="442" t="s">
        <v>45</v>
      </c>
      <c r="X323" s="552" t="s">
        <v>584</v>
      </c>
      <c r="Y323" s="563">
        <v>0</v>
      </c>
      <c r="Z323" s="563">
        <v>2000150.61</v>
      </c>
      <c r="AA323" s="563">
        <v>691912.42999999993</v>
      </c>
      <c r="AB323" s="563">
        <v>405.16</v>
      </c>
      <c r="AC323" s="563"/>
      <c r="AD323" s="563">
        <v>2692468.2</v>
      </c>
      <c r="AE323" s="124"/>
      <c r="AF323" s="541">
        <v>1058</v>
      </c>
      <c r="AG323" s="540" t="s">
        <v>585</v>
      </c>
      <c r="AH323" s="442" t="s">
        <v>45</v>
      </c>
      <c r="AI323" s="552" t="s">
        <v>584</v>
      </c>
      <c r="AJ323" s="563">
        <v>0</v>
      </c>
      <c r="AK323" s="563">
        <v>2095307.7600000002</v>
      </c>
      <c r="AL323" s="563">
        <v>759370.89</v>
      </c>
      <c r="AM323" s="563">
        <v>628.55999999999995</v>
      </c>
      <c r="AN323" s="563"/>
      <c r="AO323" s="563">
        <v>2855307.2100000004</v>
      </c>
      <c r="AR323" s="124">
        <f>+L323</f>
        <v>409163.63</v>
      </c>
      <c r="AS323" s="124">
        <f>+F323</f>
        <v>257044.67</v>
      </c>
      <c r="AV323" s="372">
        <f t="shared" si="9"/>
        <v>666208.30000000005</v>
      </c>
      <c r="AW323" s="124">
        <f>+AV323+AO323-P323</f>
        <v>0</v>
      </c>
      <c r="AZ323" s="563">
        <v>0</v>
      </c>
      <c r="BA323" s="563">
        <v>51986.710000000006</v>
      </c>
      <c r="BB323" s="563">
        <v>19571.849999999999</v>
      </c>
      <c r="BC323" s="563">
        <v>13.5</v>
      </c>
      <c r="BD323" s="563"/>
      <c r="BE323" s="563">
        <v>71572.06</v>
      </c>
      <c r="BF323" s="372"/>
      <c r="BO323" s="563">
        <v>0</v>
      </c>
      <c r="BP323" s="563">
        <v>4556608.71</v>
      </c>
      <c r="BQ323" s="563">
        <v>1727899.8399999999</v>
      </c>
      <c r="BR323" s="563">
        <v>1047.22</v>
      </c>
      <c r="BS323" s="563"/>
      <c r="BT323" s="563">
        <v>6285555.7699999996</v>
      </c>
    </row>
    <row r="324" spans="1:78" x14ac:dyDescent="0.3">
      <c r="A324" s="436">
        <v>39208</v>
      </c>
      <c r="B324" s="19" t="s">
        <v>45</v>
      </c>
      <c r="C324" t="s">
        <v>598</v>
      </c>
      <c r="D324" s="563"/>
      <c r="E324" s="120"/>
      <c r="F324" s="563">
        <v>371483.82</v>
      </c>
      <c r="G324" s="120">
        <v>6.737277438788415E-4</v>
      </c>
      <c r="H324" s="563">
        <v>1098812.69</v>
      </c>
      <c r="I324" s="120">
        <v>4.0217570112837282E-3</v>
      </c>
      <c r="J324" s="563">
        <v>0</v>
      </c>
      <c r="K324" s="120">
        <v>0</v>
      </c>
      <c r="L324" s="563">
        <v>613687</v>
      </c>
      <c r="M324" s="120">
        <v>4.252646354677354E-3</v>
      </c>
      <c r="N324" s="563">
        <v>2821580.99</v>
      </c>
      <c r="O324" s="120">
        <v>3.8202364923729105E-3</v>
      </c>
      <c r="P324" s="124">
        <v>4905564.5</v>
      </c>
      <c r="Q324" s="124"/>
      <c r="U324" s="541">
        <v>1076</v>
      </c>
      <c r="V324" s="540" t="s">
        <v>599</v>
      </c>
      <c r="W324" s="442" t="s">
        <v>45</v>
      </c>
      <c r="X324" s="552" t="s">
        <v>598</v>
      </c>
      <c r="Y324" s="563">
        <v>0</v>
      </c>
      <c r="Z324" s="563">
        <v>2682435.81</v>
      </c>
      <c r="AA324" s="563">
        <v>1056706.76</v>
      </c>
      <c r="AB324" s="563"/>
      <c r="AC324" s="563"/>
      <c r="AD324" s="563">
        <v>3739142.5700000003</v>
      </c>
      <c r="AE324" s="124"/>
      <c r="AF324" s="541">
        <v>1076</v>
      </c>
      <c r="AG324" s="540" t="s">
        <v>599</v>
      </c>
      <c r="AH324" s="442" t="s">
        <v>45</v>
      </c>
      <c r="AI324" s="552" t="s">
        <v>598</v>
      </c>
      <c r="AJ324" s="563">
        <v>0</v>
      </c>
      <c r="AK324" s="563">
        <v>2821580.99</v>
      </c>
      <c r="AL324" s="563">
        <v>1098812.69</v>
      </c>
      <c r="AM324" s="563"/>
      <c r="AN324" s="563"/>
      <c r="AO324" s="563">
        <v>3920393.68</v>
      </c>
      <c r="AR324" s="124">
        <f>+L324</f>
        <v>613687</v>
      </c>
      <c r="AS324" s="124">
        <f>+F324</f>
        <v>371483.82</v>
      </c>
      <c r="AV324" s="372">
        <f t="shared" si="9"/>
        <v>985170.82000000007</v>
      </c>
      <c r="AW324" s="124">
        <f>+AV324+AO324-P324</f>
        <v>0</v>
      </c>
      <c r="AZ324" s="563">
        <v>0</v>
      </c>
      <c r="BA324" s="563">
        <v>69763.509999999995</v>
      </c>
      <c r="BB324" s="563">
        <v>28317.22</v>
      </c>
      <c r="BC324" s="563"/>
      <c r="BD324" s="563"/>
      <c r="BE324" s="563">
        <v>98080.73</v>
      </c>
      <c r="BF324" s="372"/>
      <c r="BO324" s="563">
        <v>0</v>
      </c>
      <c r="BP324" s="563">
        <v>6187467.3099999996</v>
      </c>
      <c r="BQ324" s="563">
        <v>2555320.4900000002</v>
      </c>
      <c r="BR324" s="563"/>
      <c r="BS324" s="563"/>
      <c r="BT324" s="563">
        <v>8742787.8000000007</v>
      </c>
    </row>
    <row r="325" spans="1:78" x14ac:dyDescent="0.3">
      <c r="A325" s="436">
        <v>39209</v>
      </c>
      <c r="B325" s="19" t="s">
        <v>45</v>
      </c>
      <c r="C325" t="s">
        <v>318</v>
      </c>
      <c r="D325" s="563"/>
      <c r="E325" s="120"/>
      <c r="F325" s="563">
        <v>96443.45</v>
      </c>
      <c r="G325" s="120">
        <v>1.7491105798468382E-4</v>
      </c>
      <c r="H325" s="563">
        <v>284535.96999999997</v>
      </c>
      <c r="I325" s="120">
        <v>1.0414282094884765E-3</v>
      </c>
      <c r="J325" s="563"/>
      <c r="K325" s="120"/>
      <c r="L325" s="563">
        <v>115615.23999999999</v>
      </c>
      <c r="M325" s="120">
        <v>8.0117507610744142E-4</v>
      </c>
      <c r="N325" s="563">
        <v>595179.42999999993</v>
      </c>
      <c r="O325" s="120">
        <v>8.0583410012119059E-4</v>
      </c>
      <c r="P325" s="124">
        <v>1091774.0899999999</v>
      </c>
      <c r="Q325" s="124"/>
      <c r="U325" s="541">
        <v>614</v>
      </c>
      <c r="V325" s="540" t="s">
        <v>319</v>
      </c>
      <c r="W325" s="442" t="s">
        <v>45</v>
      </c>
      <c r="X325" s="552" t="s">
        <v>318</v>
      </c>
      <c r="Y325" s="563"/>
      <c r="Z325" s="563">
        <v>567559.04</v>
      </c>
      <c r="AA325" s="563">
        <v>265236.71000000002</v>
      </c>
      <c r="AB325" s="563"/>
      <c r="AC325" s="563"/>
      <c r="AD325" s="563">
        <v>832795.75</v>
      </c>
      <c r="AE325" s="124"/>
      <c r="AF325" s="541">
        <v>614</v>
      </c>
      <c r="AG325" s="540" t="s">
        <v>319</v>
      </c>
      <c r="AH325" s="442" t="s">
        <v>45</v>
      </c>
      <c r="AI325" s="552" t="s">
        <v>318</v>
      </c>
      <c r="AJ325" s="563"/>
      <c r="AK325" s="563">
        <v>595179.42999999993</v>
      </c>
      <c r="AL325" s="563">
        <v>284535.96999999997</v>
      </c>
      <c r="AM325" s="563"/>
      <c r="AN325" s="563"/>
      <c r="AO325" s="563">
        <v>879715.39999999991</v>
      </c>
      <c r="AR325" s="124">
        <f>+L325</f>
        <v>115615.23999999999</v>
      </c>
      <c r="AS325" s="124">
        <f>+F325</f>
        <v>96443.45</v>
      </c>
      <c r="AV325" s="372">
        <f t="shared" si="9"/>
        <v>212058.69</v>
      </c>
      <c r="AW325" s="124">
        <f>+AV325+AO325-P325</f>
        <v>0</v>
      </c>
      <c r="AZ325" s="563"/>
      <c r="BA325" s="563">
        <v>14768.580000000002</v>
      </c>
      <c r="BB325" s="563">
        <v>7333.2800000000007</v>
      </c>
      <c r="BC325" s="563"/>
      <c r="BD325" s="563"/>
      <c r="BE325" s="563">
        <v>22101.86</v>
      </c>
      <c r="BF325" s="372"/>
      <c r="BO325" s="563"/>
      <c r="BP325" s="563">
        <v>1293122.29</v>
      </c>
      <c r="BQ325" s="563">
        <v>653549.41</v>
      </c>
      <c r="BR325" s="563"/>
      <c r="BS325" s="563"/>
      <c r="BT325" s="563">
        <v>1946671.7000000002</v>
      </c>
    </row>
    <row r="326" spans="1:78" x14ac:dyDescent="0.3">
      <c r="A326" s="436">
        <v>39801</v>
      </c>
      <c r="B326" s="19" t="s">
        <v>45</v>
      </c>
      <c r="C326" t="s">
        <v>152</v>
      </c>
      <c r="D326" s="563"/>
      <c r="E326" s="120"/>
      <c r="F326" s="563">
        <v>573781.06999999995</v>
      </c>
      <c r="G326" s="120">
        <v>1.0406165893617858E-3</v>
      </c>
      <c r="H326" s="563">
        <v>1699870.79</v>
      </c>
      <c r="I326" s="120">
        <v>6.2216857615276632E-3</v>
      </c>
      <c r="J326" s="563">
        <v>11636.29</v>
      </c>
      <c r="K326" s="120">
        <v>8.0635611069598272E-5</v>
      </c>
      <c r="L326" s="563">
        <v>23377.17</v>
      </c>
      <c r="M326" s="120">
        <v>1.61995995977058E-4</v>
      </c>
      <c r="N326" s="563">
        <v>120073.34000000001</v>
      </c>
      <c r="O326" s="120">
        <v>1.6257146502433019E-4</v>
      </c>
      <c r="P326" s="124">
        <v>2428738.6599999997</v>
      </c>
      <c r="Q326" s="124"/>
      <c r="U326" s="541">
        <v>260</v>
      </c>
      <c r="V326" s="540" t="s">
        <v>153</v>
      </c>
      <c r="W326" s="442" t="s">
        <v>45</v>
      </c>
      <c r="X326" s="552" t="s">
        <v>152</v>
      </c>
      <c r="Y326" s="563">
        <v>7246.58</v>
      </c>
      <c r="Z326" s="563">
        <v>108545.5</v>
      </c>
      <c r="AA326" s="563">
        <v>1632916.33</v>
      </c>
      <c r="AB326" s="563"/>
      <c r="AC326" s="563"/>
      <c r="AD326" s="563">
        <v>1748708.4100000001</v>
      </c>
      <c r="AE326" s="124"/>
      <c r="AF326" s="541">
        <v>260</v>
      </c>
      <c r="AG326" s="540" t="s">
        <v>153</v>
      </c>
      <c r="AH326" s="442" t="s">
        <v>45</v>
      </c>
      <c r="AI326" s="552" t="s">
        <v>152</v>
      </c>
      <c r="AJ326" s="563">
        <v>11636.29</v>
      </c>
      <c r="AK326" s="563">
        <v>120073.34000000001</v>
      </c>
      <c r="AL326" s="563">
        <v>1699870.79</v>
      </c>
      <c r="AM326" s="563"/>
      <c r="AN326" s="563"/>
      <c r="AO326" s="563">
        <v>1831580.4200000002</v>
      </c>
      <c r="AR326" s="124">
        <f>+L326</f>
        <v>23377.17</v>
      </c>
      <c r="AS326" s="124">
        <f>+F326</f>
        <v>573781.06999999995</v>
      </c>
      <c r="AV326" s="372">
        <f t="shared" si="9"/>
        <v>597158.24</v>
      </c>
      <c r="AW326" s="124">
        <f>+AV326+AO326-P326</f>
        <v>0</v>
      </c>
      <c r="AZ326" s="563">
        <v>241.5</v>
      </c>
      <c r="BA326" s="563">
        <v>2979.44</v>
      </c>
      <c r="BB326" s="563">
        <v>43810.97</v>
      </c>
      <c r="BC326" s="563"/>
      <c r="BD326" s="563"/>
      <c r="BE326" s="563">
        <v>47031.91</v>
      </c>
      <c r="BF326" s="372"/>
      <c r="BO326" s="563">
        <v>19124.37</v>
      </c>
      <c r="BP326" s="563">
        <v>254975.44999999998</v>
      </c>
      <c r="BQ326" s="563">
        <v>3950379.1599999997</v>
      </c>
      <c r="BR326" s="563"/>
      <c r="BS326" s="563"/>
      <c r="BT326" s="563">
        <v>4224478.9799999995</v>
      </c>
    </row>
    <row r="327" spans="1:78" x14ac:dyDescent="0.3">
      <c r="A327" s="440">
        <v>99999</v>
      </c>
      <c r="B327" s="19" t="s">
        <v>1039</v>
      </c>
      <c r="C327" t="s">
        <v>1186</v>
      </c>
      <c r="D327" s="372"/>
      <c r="E327" s="120"/>
      <c r="F327" s="563">
        <v>111695.54000000001</v>
      </c>
      <c r="G327" s="120">
        <v>2.0257244088189063E-4</v>
      </c>
      <c r="H327" s="563">
        <v>331603.71999999997</v>
      </c>
      <c r="I327" s="120">
        <v>1.2137005679082266E-3</v>
      </c>
      <c r="J327" s="372"/>
      <c r="K327" s="120"/>
      <c r="L327" s="372"/>
      <c r="M327" s="120"/>
      <c r="N327" s="372"/>
      <c r="O327" s="120"/>
      <c r="P327" s="376">
        <f t="shared" ref="P327" si="10">+D327+F327+H327+J327+L327+N327+R327</f>
        <v>443299.26</v>
      </c>
      <c r="R327" s="372"/>
      <c r="S327" s="120"/>
      <c r="U327" s="544">
        <v>4279</v>
      </c>
      <c r="V327" s="549" t="s">
        <v>1185</v>
      </c>
      <c r="W327" s="442" t="s">
        <v>1039</v>
      </c>
      <c r="X327" s="552" t="s">
        <v>1186</v>
      </c>
      <c r="Y327" s="563"/>
      <c r="Z327" s="563"/>
      <c r="AA327" s="563">
        <v>348525.6</v>
      </c>
      <c r="AB327" s="563"/>
      <c r="AC327" s="563"/>
      <c r="AD327" s="563">
        <v>348525.6</v>
      </c>
      <c r="AE327" s="124"/>
      <c r="AF327" s="544">
        <v>4279</v>
      </c>
      <c r="AG327" s="549" t="s">
        <v>1185</v>
      </c>
      <c r="AH327" s="442" t="s">
        <v>1039</v>
      </c>
      <c r="AI327" s="552" t="s">
        <v>1186</v>
      </c>
      <c r="AJ327" s="563"/>
      <c r="AK327" s="563"/>
      <c r="AL327" s="563">
        <v>331603.71999999997</v>
      </c>
      <c r="AM327" s="563"/>
      <c r="AN327" s="563"/>
      <c r="AO327" s="563">
        <v>331603.71999999997</v>
      </c>
      <c r="AR327" s="124">
        <f>+L327</f>
        <v>0</v>
      </c>
      <c r="AS327" s="124">
        <f>+F327</f>
        <v>111695.54000000001</v>
      </c>
      <c r="AV327" s="372">
        <f t="shared" ref="AV327" si="11">SUM(AQ327:AU327)</f>
        <v>111695.54000000001</v>
      </c>
      <c r="AW327" s="124">
        <f>+AV327+AO327-P327</f>
        <v>0</v>
      </c>
      <c r="AZ327" s="563"/>
      <c r="BA327" s="563"/>
      <c r="BB327" s="563">
        <v>8546.33</v>
      </c>
      <c r="BC327" s="563"/>
      <c r="BD327" s="563"/>
      <c r="BE327" s="563">
        <v>8546.33</v>
      </c>
      <c r="BF327" s="372"/>
      <c r="BO327" s="563"/>
      <c r="BP327" s="563"/>
      <c r="BQ327" s="563">
        <v>800371.19</v>
      </c>
      <c r="BR327" s="563"/>
      <c r="BS327" s="563"/>
      <c r="BT327" s="563">
        <v>800371.19</v>
      </c>
    </row>
    <row r="328" spans="1:78" x14ac:dyDescent="0.3">
      <c r="A328" s="19"/>
      <c r="B328" s="101"/>
      <c r="C328" s="187"/>
      <c r="P328" s="376"/>
      <c r="U328" s="19"/>
      <c r="V328" s="101"/>
      <c r="W328" s="19"/>
      <c r="X328" s="187"/>
      <c r="Y328" s="186"/>
      <c r="Z328" s="186"/>
      <c r="AA328" s="186"/>
      <c r="AB328" s="186"/>
      <c r="AC328" s="186"/>
      <c r="AD328" s="186"/>
      <c r="AF328" s="268"/>
      <c r="AG328" s="268"/>
      <c r="AH328" s="268"/>
      <c r="AI328" s="268"/>
      <c r="AJ328" s="268"/>
      <c r="AK328" s="268"/>
      <c r="AL328" s="268"/>
      <c r="AM328" s="268"/>
      <c r="AN328" s="268"/>
      <c r="AO328" s="268"/>
      <c r="AP328" s="268"/>
      <c r="AQ328" s="268"/>
      <c r="AR328" s="268"/>
      <c r="AS328" s="268"/>
      <c r="AT328" s="268"/>
      <c r="AU328" s="268"/>
      <c r="AV328" s="268"/>
      <c r="AZ328" s="563"/>
      <c r="BA328" s="563"/>
      <c r="BB328" s="563"/>
      <c r="BC328" s="563"/>
      <c r="BD328" s="563"/>
      <c r="BE328" s="563"/>
      <c r="BO328">
        <v>1220211.1300000001</v>
      </c>
      <c r="BP328">
        <v>1608906478.4699996</v>
      </c>
      <c r="BQ328">
        <v>615106524.56999993</v>
      </c>
      <c r="BR328">
        <v>961192.65999999957</v>
      </c>
      <c r="BS328">
        <v>1477153.35</v>
      </c>
      <c r="BT328">
        <v>2227671560.1799994</v>
      </c>
    </row>
    <row r="329" spans="1:78" x14ac:dyDescent="0.3">
      <c r="A329" s="19"/>
      <c r="B329" s="101"/>
      <c r="C329" s="187"/>
      <c r="P329" s="376"/>
      <c r="U329" s="19"/>
      <c r="V329" s="101"/>
      <c r="X329" s="187"/>
      <c r="Y329" s="186"/>
      <c r="Z329" s="186"/>
      <c r="AA329" s="186"/>
      <c r="AB329" s="186"/>
      <c r="AC329" s="186"/>
      <c r="AD329" s="186"/>
      <c r="AF329" s="268"/>
      <c r="AG329" s="268"/>
      <c r="AH329" s="268"/>
      <c r="AI329" s="268"/>
      <c r="AJ329" s="268"/>
      <c r="AK329" s="268"/>
      <c r="AL329" s="268"/>
      <c r="AM329" s="268"/>
      <c r="AN329" s="268"/>
      <c r="AO329" s="268"/>
      <c r="AP329" s="268"/>
      <c r="AQ329" s="268"/>
      <c r="AR329" s="268"/>
      <c r="AS329" s="268"/>
      <c r="AT329" s="268"/>
      <c r="AU329" s="268"/>
      <c r="AV329" s="268"/>
    </row>
    <row r="330" spans="1:78" x14ac:dyDescent="0.3">
      <c r="A330" s="19"/>
      <c r="B330" s="101"/>
      <c r="C330" s="187"/>
      <c r="P330" s="376"/>
      <c r="U330" s="19"/>
      <c r="V330" s="101"/>
      <c r="X330" s="187"/>
      <c r="Y330" s="186"/>
      <c r="Z330" s="186"/>
      <c r="AA330" s="186"/>
      <c r="AB330" s="186"/>
      <c r="AC330" s="186"/>
      <c r="AD330" s="186"/>
      <c r="AF330" s="268"/>
      <c r="AG330" s="268"/>
      <c r="AH330" s="268"/>
      <c r="AI330" s="268"/>
      <c r="AJ330" s="268"/>
      <c r="AK330" s="268"/>
      <c r="AL330" s="268"/>
      <c r="AM330" s="268"/>
      <c r="AN330" s="268"/>
      <c r="AO330" s="268"/>
      <c r="AP330" s="268"/>
      <c r="AQ330" s="268"/>
      <c r="AR330" s="268"/>
      <c r="AS330" s="268"/>
      <c r="AT330" s="268"/>
      <c r="AU330" s="268"/>
      <c r="AV330" s="268"/>
    </row>
    <row r="331" spans="1:78" x14ac:dyDescent="0.3">
      <c r="A331" s="19"/>
      <c r="B331" s="101"/>
      <c r="C331" s="187"/>
      <c r="P331" s="376"/>
      <c r="U331" s="19"/>
      <c r="V331" s="101"/>
      <c r="X331" s="187"/>
      <c r="Y331" s="186"/>
      <c r="Z331" s="186"/>
      <c r="AA331" s="186"/>
      <c r="AB331" s="186"/>
      <c r="AC331" s="186"/>
      <c r="AD331" s="186"/>
      <c r="AF331" s="268"/>
      <c r="AG331" s="268"/>
      <c r="AH331" s="268"/>
      <c r="AI331" s="268"/>
      <c r="AJ331" s="268"/>
      <c r="AK331" s="268"/>
      <c r="AL331" s="268"/>
      <c r="AM331" s="268"/>
      <c r="AN331" s="268"/>
      <c r="AO331" s="268"/>
      <c r="AP331" s="268"/>
      <c r="AQ331" s="268"/>
      <c r="AR331" s="268"/>
      <c r="AS331" s="268"/>
      <c r="AT331" s="268"/>
      <c r="AU331" s="268"/>
      <c r="AV331" s="268"/>
    </row>
    <row r="332" spans="1:78" x14ac:dyDescent="0.3">
      <c r="A332" s="125"/>
      <c r="B332" s="19"/>
      <c r="P332" s="376"/>
      <c r="T332" s="373"/>
      <c r="U332" s="125"/>
      <c r="V332" s="19"/>
      <c r="W332" s="126"/>
      <c r="Y332" s="186"/>
      <c r="Z332" s="186"/>
      <c r="AA332" s="186"/>
      <c r="AB332" s="186"/>
      <c r="AC332" s="186"/>
      <c r="AD332" s="186"/>
      <c r="AF332" s="268"/>
      <c r="AG332" s="268"/>
      <c r="AH332" s="268"/>
      <c r="AI332" s="268"/>
      <c r="AJ332" s="268"/>
      <c r="AK332" s="268"/>
      <c r="AL332" s="268"/>
      <c r="AM332" s="268"/>
      <c r="AN332" s="268"/>
      <c r="AO332" s="268"/>
      <c r="AP332" s="268"/>
      <c r="AQ332" s="268"/>
      <c r="AR332" s="268"/>
      <c r="AS332" s="268"/>
      <c r="AT332" s="268"/>
      <c r="AU332" s="268"/>
      <c r="AV332" s="268"/>
    </row>
    <row r="333" spans="1:78" x14ac:dyDescent="0.3">
      <c r="A333" s="125"/>
      <c r="B333" s="19"/>
      <c r="P333" s="376"/>
      <c r="U333" s="125"/>
      <c r="V333" s="19"/>
      <c r="W333" s="126"/>
      <c r="Y333" s="186"/>
      <c r="Z333" s="186"/>
      <c r="AA333" s="186"/>
      <c r="AB333" s="186"/>
      <c r="AC333" s="186"/>
      <c r="AD333" s="186"/>
      <c r="AF333" s="268"/>
      <c r="AG333" s="268"/>
      <c r="AH333" s="268"/>
      <c r="AI333" s="268"/>
      <c r="AJ333" s="268"/>
      <c r="AK333" s="268"/>
      <c r="AL333" s="268"/>
      <c r="AM333" s="268"/>
      <c r="AN333" s="268"/>
      <c r="AO333" s="268"/>
      <c r="AP333" s="268"/>
      <c r="AQ333" s="268"/>
      <c r="AR333" s="268"/>
      <c r="AS333" s="268"/>
      <c r="AT333" s="268"/>
      <c r="AU333" s="268"/>
      <c r="AV333" s="268"/>
    </row>
    <row r="334" spans="1:78" x14ac:dyDescent="0.3">
      <c r="A334" s="125"/>
      <c r="B334" s="19"/>
      <c r="P334" s="376"/>
      <c r="V334" s="19"/>
      <c r="W334" s="19"/>
      <c r="Y334" s="186"/>
      <c r="Z334" s="186"/>
      <c r="AA334" s="186"/>
      <c r="AB334" s="186"/>
      <c r="AC334" s="186"/>
      <c r="AD334" s="186"/>
      <c r="AF334" s="268"/>
      <c r="AG334" s="268"/>
      <c r="AH334" s="268"/>
      <c r="AI334" s="268"/>
      <c r="AJ334" s="268"/>
      <c r="AK334" s="268"/>
      <c r="AL334" s="268"/>
      <c r="AM334" s="268"/>
      <c r="AN334" s="268"/>
      <c r="AO334" s="268"/>
      <c r="AP334" s="268"/>
      <c r="AQ334" s="268"/>
      <c r="AR334" s="268"/>
      <c r="AS334" s="268"/>
      <c r="AT334" s="268"/>
      <c r="AU334" s="268"/>
      <c r="AV334" s="268"/>
    </row>
    <row r="335" spans="1:78" x14ac:dyDescent="0.3">
      <c r="P335" s="376"/>
      <c r="AF335" s="268"/>
      <c r="AG335" s="268"/>
      <c r="AH335" s="268"/>
      <c r="AI335" s="268"/>
      <c r="AJ335" s="268"/>
      <c r="AK335" s="268"/>
      <c r="AL335" s="268"/>
      <c r="AM335" s="268"/>
      <c r="AN335" s="268"/>
      <c r="AO335" s="268"/>
      <c r="AP335" s="268"/>
      <c r="AQ335" s="268"/>
      <c r="AR335" s="268"/>
      <c r="AS335" s="268"/>
      <c r="AT335" s="268"/>
      <c r="AU335" s="268"/>
      <c r="AV335" s="268"/>
    </row>
    <row r="336" spans="1:78" x14ac:dyDescent="0.3">
      <c r="P336" s="376"/>
      <c r="AF336" s="268"/>
      <c r="AG336" s="268"/>
      <c r="AH336" s="268"/>
      <c r="AI336" s="268"/>
      <c r="AJ336" s="268"/>
      <c r="AK336" s="268"/>
      <c r="AL336" s="268"/>
      <c r="AM336" s="268"/>
      <c r="AN336" s="268"/>
      <c r="AO336" s="268"/>
      <c r="AP336" s="268"/>
      <c r="AQ336" s="268"/>
      <c r="AR336" s="268"/>
      <c r="AS336" s="268"/>
      <c r="AT336" s="268"/>
      <c r="AU336" s="268"/>
      <c r="AV336" s="268"/>
    </row>
    <row r="337" spans="16:48" x14ac:dyDescent="0.3">
      <c r="P337" s="376"/>
      <c r="AF337" s="268"/>
      <c r="AG337" s="268"/>
      <c r="AH337" s="268"/>
      <c r="AI337" s="268"/>
      <c r="AJ337" s="268"/>
      <c r="AK337" s="268"/>
      <c r="AL337" s="268"/>
      <c r="AM337" s="268"/>
      <c r="AN337" s="268"/>
      <c r="AO337" s="268"/>
      <c r="AP337" s="268"/>
      <c r="AQ337" s="268"/>
      <c r="AR337" s="268"/>
      <c r="AS337" s="268"/>
      <c r="AT337" s="268"/>
      <c r="AU337" s="268"/>
      <c r="AV337" s="268"/>
    </row>
    <row r="338" spans="16:48" x14ac:dyDescent="0.3">
      <c r="P338" s="376"/>
      <c r="AF338" s="268"/>
      <c r="AG338" s="268"/>
      <c r="AH338" s="268"/>
      <c r="AI338" s="268"/>
      <c r="AJ338" s="268"/>
      <c r="AK338" s="268"/>
      <c r="AL338" s="268"/>
      <c r="AM338" s="268"/>
      <c r="AN338" s="268"/>
      <c r="AO338" s="268"/>
      <c r="AP338" s="268"/>
      <c r="AQ338" s="268"/>
      <c r="AR338" s="268"/>
      <c r="AS338" s="268"/>
      <c r="AT338" s="268"/>
      <c r="AU338" s="268"/>
      <c r="AV338" s="268"/>
    </row>
    <row r="339" spans="16:48" x14ac:dyDescent="0.3">
      <c r="P339" s="376"/>
      <c r="AF339" s="268"/>
      <c r="AG339" s="268"/>
      <c r="AH339" s="268"/>
      <c r="AI339" s="268"/>
      <c r="AJ339" s="268"/>
      <c r="AK339" s="268"/>
      <c r="AL339" s="268"/>
      <c r="AM339" s="268"/>
      <c r="AN339" s="268"/>
      <c r="AO339" s="268"/>
      <c r="AP339" s="268"/>
      <c r="AQ339" s="268"/>
      <c r="AR339" s="268"/>
      <c r="AS339" s="268"/>
      <c r="AT339" s="268"/>
      <c r="AU339" s="268"/>
      <c r="AV339" s="268"/>
    </row>
    <row r="340" spans="16:48" x14ac:dyDescent="0.3">
      <c r="AF340" s="268"/>
      <c r="AG340" s="268"/>
      <c r="AH340" s="268"/>
      <c r="AI340" s="268"/>
      <c r="AJ340" s="268"/>
      <c r="AK340" s="268"/>
      <c r="AL340" s="268"/>
      <c r="AM340" s="268"/>
      <c r="AN340" s="268"/>
      <c r="AO340" s="268"/>
      <c r="AP340" s="268"/>
      <c r="AQ340" s="268"/>
      <c r="AR340" s="268"/>
      <c r="AS340" s="268"/>
      <c r="AT340" s="268"/>
      <c r="AU340" s="268"/>
      <c r="AV340" s="268"/>
    </row>
    <row r="341" spans="16:48" x14ac:dyDescent="0.3">
      <c r="AF341" s="268"/>
      <c r="AG341" s="268"/>
      <c r="AH341" s="268"/>
      <c r="AI341" s="268"/>
      <c r="AJ341" s="268"/>
      <c r="AK341" s="268"/>
      <c r="AL341" s="268"/>
      <c r="AM341" s="268"/>
      <c r="AN341" s="268"/>
      <c r="AO341" s="268"/>
      <c r="AP341" s="268"/>
      <c r="AQ341" s="268"/>
      <c r="AR341" s="268"/>
      <c r="AS341" s="268"/>
      <c r="AT341" s="268"/>
      <c r="AU341" s="268"/>
      <c r="AV341" s="268"/>
    </row>
    <row r="342" spans="16:48" x14ac:dyDescent="0.3">
      <c r="AF342" s="268"/>
      <c r="AG342" s="268"/>
      <c r="AH342" s="268"/>
      <c r="AI342" s="268"/>
      <c r="AJ342" s="268"/>
      <c r="AK342" s="268"/>
      <c r="AL342" s="268"/>
      <c r="AM342" s="268"/>
      <c r="AN342" s="268"/>
      <c r="AO342" s="268"/>
      <c r="AP342" s="268"/>
      <c r="AQ342" s="268"/>
      <c r="AR342" s="268"/>
      <c r="AS342" s="268"/>
      <c r="AT342" s="268"/>
      <c r="AU342" s="268"/>
      <c r="AV342" s="268"/>
    </row>
    <row r="343" spans="16:48" x14ac:dyDescent="0.3">
      <c r="AF343" s="268"/>
      <c r="AG343" s="268"/>
      <c r="AH343" s="268"/>
      <c r="AI343" s="268"/>
      <c r="AJ343" s="268"/>
      <c r="AK343" s="268"/>
      <c r="AL343" s="268"/>
      <c r="AM343" s="268"/>
      <c r="AN343" s="268"/>
      <c r="AO343" s="268"/>
      <c r="AP343" s="268"/>
      <c r="AQ343" s="268"/>
      <c r="AR343" s="268"/>
      <c r="AS343" s="268"/>
      <c r="AT343" s="268"/>
      <c r="AU343" s="268"/>
      <c r="AV343" s="268"/>
    </row>
    <row r="344" spans="16:48" x14ac:dyDescent="0.3">
      <c r="AF344" s="268"/>
      <c r="AG344" s="268"/>
      <c r="AH344" s="268"/>
      <c r="AI344" s="268"/>
      <c r="AJ344" s="268"/>
      <c r="AK344" s="268"/>
      <c r="AL344" s="268"/>
      <c r="AM344" s="268"/>
      <c r="AN344" s="268"/>
      <c r="AO344" s="268"/>
      <c r="AP344" s="268"/>
      <c r="AQ344" s="268"/>
      <c r="AR344" s="268"/>
      <c r="AS344" s="268"/>
      <c r="AT344" s="268"/>
      <c r="AU344" s="268"/>
      <c r="AV344" s="268"/>
    </row>
    <row r="345" spans="16:48" x14ac:dyDescent="0.3">
      <c r="AV345" s="268"/>
    </row>
    <row r="346" spans="16:48" x14ac:dyDescent="0.3">
      <c r="AV346" s="268"/>
    </row>
    <row r="347" spans="16:48" x14ac:dyDescent="0.3">
      <c r="AV347" s="268"/>
    </row>
    <row r="348" spans="16:48" x14ac:dyDescent="0.3">
      <c r="AV348" s="268"/>
    </row>
    <row r="349" spans="16:48" x14ac:dyDescent="0.3">
      <c r="AV349" s="268"/>
    </row>
    <row r="350" spans="16:48" x14ac:dyDescent="0.3">
      <c r="AV350" s="268"/>
    </row>
    <row r="351" spans="16:48" x14ac:dyDescent="0.3">
      <c r="AV351" s="268"/>
    </row>
    <row r="352" spans="16:48" x14ac:dyDescent="0.3">
      <c r="AV352" s="268"/>
    </row>
    <row r="353" spans="48:48" x14ac:dyDescent="0.3">
      <c r="AV353" s="268"/>
    </row>
    <row r="354" spans="48:48" x14ac:dyDescent="0.3">
      <c r="AV354" s="268"/>
    </row>
    <row r="355" spans="48:48" x14ac:dyDescent="0.3">
      <c r="AV355" s="268"/>
    </row>
  </sheetData>
  <mergeCells count="1">
    <mergeCell ref="D4:O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65"/>
  <sheetViews>
    <sheetView workbookViewId="0">
      <selection activeCell="G6" sqref="G6"/>
    </sheetView>
  </sheetViews>
  <sheetFormatPr defaultColWidth="8.88671875" defaultRowHeight="14.4" x14ac:dyDescent="0.3"/>
  <cols>
    <col min="1" max="1" width="17" bestFit="1" customWidth="1"/>
    <col min="2" max="2" width="31.109375" customWidth="1"/>
    <col min="3" max="3" width="13.88671875" customWidth="1"/>
    <col min="4" max="5" width="15.5546875" bestFit="1" customWidth="1"/>
    <col min="6" max="6" width="16.33203125" bestFit="1" customWidth="1"/>
    <col min="7" max="7" width="15.5546875" bestFit="1" customWidth="1"/>
    <col min="8" max="8" width="1.88671875" customWidth="1"/>
    <col min="9" max="9" width="5.109375" customWidth="1"/>
    <col min="10" max="10" width="15.33203125" bestFit="1" customWidth="1"/>
    <col min="11" max="11" width="1.33203125" customWidth="1"/>
    <col min="12" max="12" width="15.33203125" bestFit="1" customWidth="1"/>
    <col min="13" max="13" width="11.109375" bestFit="1" customWidth="1"/>
    <col min="19" max="19" width="18.44140625" bestFit="1" customWidth="1"/>
    <col min="21" max="21" width="12.44140625" bestFit="1" customWidth="1"/>
  </cols>
  <sheetData>
    <row r="1" spans="1:21" ht="23.4" x14ac:dyDescent="0.3">
      <c r="A1" s="409" t="s">
        <v>671</v>
      </c>
      <c r="B1" s="409"/>
      <c r="C1" s="409"/>
    </row>
    <row r="2" spans="1:21" ht="14.4" customHeight="1" x14ac:dyDescent="0.3">
      <c r="A2" s="409"/>
      <c r="B2" s="409"/>
      <c r="C2" s="409"/>
    </row>
    <row r="3" spans="1:21" ht="15" customHeight="1" thickBot="1" x14ac:dyDescent="0.35">
      <c r="A3" s="410"/>
      <c r="B3" s="410"/>
      <c r="C3" s="410"/>
      <c r="S3" s="473">
        <v>539722011.62999988</v>
      </c>
      <c r="T3" s="469"/>
      <c r="U3" s="471">
        <v>0.99999999999999989</v>
      </c>
    </row>
    <row r="4" spans="1:21" x14ac:dyDescent="0.3">
      <c r="A4" s="12"/>
      <c r="B4" s="13"/>
      <c r="C4" s="13"/>
      <c r="D4" s="13"/>
      <c r="E4" s="13"/>
      <c r="F4" s="13"/>
      <c r="G4" s="13"/>
      <c r="H4" s="14"/>
      <c r="S4" s="473">
        <v>676667030.05000019</v>
      </c>
      <c r="T4" s="469"/>
      <c r="U4" s="471">
        <v>1</v>
      </c>
    </row>
    <row r="5" spans="1:21" ht="18" x14ac:dyDescent="0.3">
      <c r="A5" s="378"/>
      <c r="B5" s="379"/>
      <c r="C5" s="528" t="s">
        <v>633</v>
      </c>
      <c r="D5" s="529" t="s">
        <v>634</v>
      </c>
      <c r="E5" s="530" t="s">
        <v>635</v>
      </c>
      <c r="F5" s="531" t="s">
        <v>636</v>
      </c>
      <c r="G5" s="529" t="s">
        <v>710</v>
      </c>
      <c r="H5" s="15"/>
      <c r="S5" s="474"/>
      <c r="T5" s="470"/>
      <c r="U5" s="472"/>
    </row>
    <row r="6" spans="1:21" ht="18" x14ac:dyDescent="0.3">
      <c r="A6" s="7">
        <v>45838</v>
      </c>
      <c r="B6" s="532" t="s">
        <v>661</v>
      </c>
      <c r="C6" s="535">
        <v>551385664.87</v>
      </c>
      <c r="D6" s="535">
        <v>273217075.75</v>
      </c>
      <c r="E6" s="535">
        <v>144307085.23999995</v>
      </c>
      <c r="F6" s="535">
        <v>738588041.76999962</v>
      </c>
      <c r="G6" s="535">
        <v>1061299034.5599999</v>
      </c>
      <c r="H6" s="15"/>
      <c r="I6" s="119" t="s">
        <v>1209</v>
      </c>
      <c r="S6" s="474"/>
      <c r="T6" s="470"/>
      <c r="U6" s="560"/>
    </row>
    <row r="7" spans="1:21" ht="18" x14ac:dyDescent="0.3">
      <c r="A7" s="7">
        <v>45473</v>
      </c>
      <c r="B7" s="532" t="s">
        <v>661</v>
      </c>
      <c r="C7" s="535">
        <v>598621463.64000046</v>
      </c>
      <c r="D7" s="535">
        <v>260054587.27000007</v>
      </c>
      <c r="E7" s="535">
        <v>222935789.79999983</v>
      </c>
      <c r="F7" s="535">
        <v>709690571.5800004</v>
      </c>
      <c r="G7" s="535">
        <v>984284096.81000042</v>
      </c>
      <c r="H7" s="15"/>
      <c r="I7" s="119" t="s">
        <v>1206</v>
      </c>
      <c r="S7" s="474"/>
      <c r="T7" s="470"/>
      <c r="U7" s="472"/>
    </row>
    <row r="8" spans="1:21" ht="18" x14ac:dyDescent="0.3">
      <c r="A8" s="7">
        <v>45107</v>
      </c>
      <c r="B8" s="532" t="s">
        <v>661</v>
      </c>
      <c r="C8" s="475">
        <v>681432776.83999979</v>
      </c>
      <c r="D8" s="475">
        <v>243881246.6099999</v>
      </c>
      <c r="E8" s="475">
        <v>539722011.62999988</v>
      </c>
      <c r="F8" s="475">
        <v>676667030.05000019</v>
      </c>
      <c r="G8" s="475">
        <v>879220779.39999962</v>
      </c>
      <c r="H8" s="15"/>
      <c r="I8" s="119" t="s">
        <v>1193</v>
      </c>
      <c r="S8" s="473">
        <v>681432776.83999979</v>
      </c>
      <c r="T8" s="469"/>
      <c r="U8" s="471">
        <v>1.0000000000000002</v>
      </c>
    </row>
    <row r="9" spans="1:21" ht="18" x14ac:dyDescent="0.3">
      <c r="A9" s="7">
        <v>44742</v>
      </c>
      <c r="B9" s="532" t="s">
        <v>661</v>
      </c>
      <c r="C9" s="414">
        <v>612862503.66999984</v>
      </c>
      <c r="D9" s="414">
        <v>223817205.68999997</v>
      </c>
      <c r="E9" s="414">
        <v>513148912.74999988</v>
      </c>
      <c r="F9" s="414">
        <v>639616082.53999901</v>
      </c>
      <c r="G9" s="414">
        <v>803370741.88000011</v>
      </c>
      <c r="H9" s="15"/>
      <c r="I9" s="119" t="s">
        <v>1190</v>
      </c>
      <c r="S9" s="473">
        <v>879220779.39999962</v>
      </c>
      <c r="T9" s="469"/>
      <c r="U9" s="471">
        <v>1</v>
      </c>
    </row>
    <row r="10" spans="1:21" ht="18" x14ac:dyDescent="0.3">
      <c r="A10" s="7">
        <v>44377</v>
      </c>
      <c r="B10" s="532" t="s">
        <v>661</v>
      </c>
      <c r="C10" s="381">
        <v>744886709.85000026</v>
      </c>
      <c r="D10" s="381">
        <v>210550788.66000003</v>
      </c>
      <c r="E10" s="381">
        <v>549618500.85999978</v>
      </c>
      <c r="F10" s="381">
        <v>605164734.13</v>
      </c>
      <c r="G10" s="381">
        <v>947272482.17999983</v>
      </c>
      <c r="H10" s="15"/>
      <c r="I10" s="119" t="s">
        <v>1174</v>
      </c>
      <c r="S10" s="474"/>
      <c r="T10" s="470"/>
      <c r="U10" s="472"/>
    </row>
    <row r="11" spans="1:21" ht="18" x14ac:dyDescent="0.3">
      <c r="A11" s="7">
        <v>44012</v>
      </c>
      <c r="B11" s="532" t="s">
        <v>661</v>
      </c>
      <c r="C11" s="129">
        <v>724745816.4600004</v>
      </c>
      <c r="D11" s="129">
        <v>216243952.43999985</v>
      </c>
      <c r="E11" s="129">
        <v>525151943.59999961</v>
      </c>
      <c r="F11" s="129">
        <v>581839976.43000019</v>
      </c>
      <c r="G11" s="129">
        <v>921231342.09000003</v>
      </c>
      <c r="H11" s="15"/>
      <c r="I11" s="119" t="s">
        <v>1156</v>
      </c>
      <c r="S11" s="473">
        <v>243881246.6099999</v>
      </c>
      <c r="T11" s="469"/>
      <c r="U11" s="471">
        <v>1</v>
      </c>
    </row>
    <row r="12" spans="1:21" ht="18" x14ac:dyDescent="0.3">
      <c r="A12" s="7">
        <v>43646</v>
      </c>
      <c r="B12" s="532" t="s">
        <v>661</v>
      </c>
      <c r="C12" s="129">
        <v>717041102.62</v>
      </c>
      <c r="D12" s="129">
        <v>200166052.97999987</v>
      </c>
      <c r="E12" s="129">
        <v>496626267.82999998</v>
      </c>
      <c r="F12" s="129">
        <v>522685305.17000031</v>
      </c>
      <c r="G12" s="129">
        <v>816736467.21000004</v>
      </c>
      <c r="H12" s="15"/>
      <c r="I12" t="s">
        <v>1127</v>
      </c>
    </row>
    <row r="13" spans="1:21" ht="18" x14ac:dyDescent="0.3">
      <c r="A13" s="7">
        <v>43281</v>
      </c>
      <c r="B13" s="532" t="s">
        <v>661</v>
      </c>
      <c r="C13" s="128">
        <v>668423585.98000002</v>
      </c>
      <c r="D13" s="129">
        <v>174940524.36000001</v>
      </c>
      <c r="E13" s="129">
        <v>415893161.38999999</v>
      </c>
      <c r="F13" s="129">
        <v>444580498.50999999</v>
      </c>
      <c r="G13" s="129">
        <v>771612354.51999998</v>
      </c>
      <c r="H13" s="15"/>
      <c r="I13" t="s">
        <v>1104</v>
      </c>
    </row>
    <row r="14" spans="1:21" ht="18" x14ac:dyDescent="0.3">
      <c r="A14" s="7">
        <v>42916</v>
      </c>
      <c r="B14" s="532" t="s">
        <v>661</v>
      </c>
      <c r="C14" s="128">
        <v>601525620.38</v>
      </c>
      <c r="D14" s="129">
        <v>135447053.88999999</v>
      </c>
      <c r="E14" s="129">
        <v>349936141.76999998</v>
      </c>
      <c r="F14" s="129">
        <v>368450109.64999998</v>
      </c>
      <c r="G14" s="129">
        <v>610789099.48000002</v>
      </c>
      <c r="H14" s="15"/>
      <c r="I14" t="s">
        <v>1082</v>
      </c>
    </row>
    <row r="15" spans="1:21" ht="18" x14ac:dyDescent="0.3">
      <c r="A15" s="7">
        <v>42551</v>
      </c>
      <c r="B15" s="532" t="s">
        <v>661</v>
      </c>
      <c r="C15" s="128">
        <v>567096911.89999998</v>
      </c>
      <c r="D15" s="129">
        <v>119634338.25999996</v>
      </c>
      <c r="E15" s="129">
        <v>303915971.74000001</v>
      </c>
      <c r="F15" s="129">
        <v>326403155.27999997</v>
      </c>
      <c r="G15" s="129">
        <v>577290928.86000001</v>
      </c>
      <c r="H15" s="15"/>
      <c r="I15" t="s">
        <v>1075</v>
      </c>
    </row>
    <row r="16" spans="1:21" ht="18" x14ac:dyDescent="0.3">
      <c r="A16" s="7">
        <v>42185</v>
      </c>
      <c r="B16" s="532" t="s">
        <v>661</v>
      </c>
      <c r="C16" s="129">
        <v>459598002.46000004</v>
      </c>
      <c r="D16" s="129">
        <v>97221684.989999995</v>
      </c>
      <c r="E16" s="129">
        <v>223776864.40000001</v>
      </c>
      <c r="F16" s="129">
        <v>265747327.91999999</v>
      </c>
      <c r="G16" s="129">
        <v>445452657.87</v>
      </c>
      <c r="H16" s="15"/>
    </row>
    <row r="17" spans="1:8" ht="18" x14ac:dyDescent="0.3">
      <c r="A17" s="7">
        <v>41820</v>
      </c>
      <c r="B17" s="532" t="s">
        <v>661</v>
      </c>
      <c r="C17" s="128">
        <v>442630895.48000002</v>
      </c>
      <c r="D17" s="128">
        <v>87439312.569999993</v>
      </c>
      <c r="E17" s="128">
        <v>197748604.72999999</v>
      </c>
      <c r="F17" s="128">
        <v>245368037.72999999</v>
      </c>
      <c r="G17" s="128">
        <v>422439612.75</v>
      </c>
      <c r="H17" s="15"/>
    </row>
    <row r="18" spans="1:8" ht="18" x14ac:dyDescent="0.3">
      <c r="A18" s="7">
        <v>41455</v>
      </c>
      <c r="B18" s="380" t="s">
        <v>661</v>
      </c>
      <c r="C18" s="382">
        <v>259339413.24000001</v>
      </c>
      <c r="D18" s="382">
        <v>80379621.359999999</v>
      </c>
      <c r="E18" s="382">
        <v>116144075.31</v>
      </c>
      <c r="F18" s="382">
        <v>229410116.96000001</v>
      </c>
      <c r="G18" s="383"/>
      <c r="H18" s="15"/>
    </row>
    <row r="19" spans="1:8" ht="15" thickBot="1" x14ac:dyDescent="0.35">
      <c r="A19" s="17"/>
      <c r="B19" s="18"/>
      <c r="C19" s="18"/>
      <c r="D19" s="18"/>
      <c r="E19" s="18"/>
      <c r="F19" s="18"/>
      <c r="G19" s="18"/>
      <c r="H19" s="16"/>
    </row>
    <row r="47" spans="2:13" ht="16.2" thickBot="1" x14ac:dyDescent="0.35">
      <c r="B47" t="s">
        <v>659</v>
      </c>
      <c r="I47" t="s">
        <v>658</v>
      </c>
    </row>
    <row r="48" spans="2:13" ht="15.75" customHeight="1" thickBot="1" x14ac:dyDescent="0.35">
      <c r="B48" s="384" t="s">
        <v>633</v>
      </c>
      <c r="C48" s="2">
        <v>2014</v>
      </c>
      <c r="D48" s="3">
        <v>2015</v>
      </c>
      <c r="F48" s="5"/>
      <c r="G48" s="5"/>
      <c r="I48" s="385" t="s">
        <v>637</v>
      </c>
      <c r="J48" s="385"/>
      <c r="K48" s="385"/>
      <c r="L48" s="385"/>
      <c r="M48" s="385"/>
    </row>
    <row r="49" spans="2:13" ht="41.4" x14ac:dyDescent="0.3">
      <c r="B49" s="386" t="s">
        <v>647</v>
      </c>
      <c r="C49" s="387">
        <v>27599977.379999999</v>
      </c>
      <c r="D49" s="388">
        <v>23671012.289999999</v>
      </c>
      <c r="I49" s="6"/>
      <c r="J49" s="9" t="s">
        <v>638</v>
      </c>
      <c r="K49" s="6"/>
      <c r="L49" s="10" t="s">
        <v>639</v>
      </c>
      <c r="M49" s="6"/>
    </row>
    <row r="50" spans="2:13" ht="27.6" x14ac:dyDescent="0.3">
      <c r="B50" s="389" t="s">
        <v>648</v>
      </c>
      <c r="C50" s="8">
        <v>415030918.10000002</v>
      </c>
      <c r="D50" s="390">
        <v>435926990.17000002</v>
      </c>
      <c r="I50" s="6"/>
      <c r="J50" s="9" t="s">
        <v>640</v>
      </c>
      <c r="K50" s="9"/>
      <c r="L50" s="9" t="s">
        <v>640</v>
      </c>
      <c r="M50" s="6"/>
    </row>
    <row r="51" spans="2:13" ht="28.2" thickBot="1" x14ac:dyDescent="0.35">
      <c r="B51" s="391" t="s">
        <v>649</v>
      </c>
      <c r="C51" s="392">
        <v>442630895.48000002</v>
      </c>
      <c r="D51" s="393">
        <v>459598002.46000004</v>
      </c>
      <c r="I51" s="6"/>
      <c r="J51" s="9">
        <v>2014</v>
      </c>
      <c r="K51" s="9"/>
      <c r="L51" s="9">
        <v>2015</v>
      </c>
      <c r="M51" s="11" t="s">
        <v>641</v>
      </c>
    </row>
    <row r="52" spans="2:13" ht="15" thickBot="1" x14ac:dyDescent="0.35">
      <c r="B52" s="394"/>
      <c r="C52" s="6"/>
      <c r="D52" s="6"/>
      <c r="I52" s="6"/>
      <c r="J52" s="6"/>
      <c r="K52" s="6"/>
      <c r="L52" s="6"/>
      <c r="M52" s="9"/>
    </row>
    <row r="53" spans="2:13" ht="15" thickBot="1" x14ac:dyDescent="0.35">
      <c r="B53" s="395" t="s">
        <v>634</v>
      </c>
      <c r="C53" s="2">
        <v>2014</v>
      </c>
      <c r="D53" s="3">
        <v>2015</v>
      </c>
      <c r="I53" s="6" t="s">
        <v>0</v>
      </c>
      <c r="J53" s="8">
        <v>3886180.0000000014</v>
      </c>
      <c r="K53" s="6"/>
      <c r="L53" s="396">
        <v>3432657.76</v>
      </c>
      <c r="M53" s="397" t="s">
        <v>642</v>
      </c>
    </row>
    <row r="54" spans="2:13" ht="28.2" thickBot="1" x14ac:dyDescent="0.35">
      <c r="B54" s="398" t="s">
        <v>650</v>
      </c>
      <c r="C54" s="399">
        <v>87439312.569999993</v>
      </c>
      <c r="D54" s="400">
        <v>97221684.989999995</v>
      </c>
      <c r="I54" s="6" t="s">
        <v>1</v>
      </c>
      <c r="J54" s="8">
        <v>60430629.790000014</v>
      </c>
      <c r="K54" s="6"/>
      <c r="L54" s="401">
        <v>68718963.579999998</v>
      </c>
      <c r="M54" s="397" t="s">
        <v>643</v>
      </c>
    </row>
    <row r="55" spans="2:13" ht="15" thickBot="1" x14ac:dyDescent="0.35">
      <c r="B55" s="394"/>
      <c r="C55" s="6"/>
      <c r="D55" s="6"/>
      <c r="I55" s="6"/>
      <c r="J55" s="8">
        <v>442630895.48000002</v>
      </c>
      <c r="K55" s="6"/>
      <c r="L55" s="402">
        <v>459598002.46000004</v>
      </c>
      <c r="M55" s="397" t="s">
        <v>644</v>
      </c>
    </row>
    <row r="56" spans="2:13" ht="15" thickBot="1" x14ac:dyDescent="0.35">
      <c r="B56" s="403" t="s">
        <v>635</v>
      </c>
      <c r="C56" s="2">
        <v>2014</v>
      </c>
      <c r="D56" s="3">
        <v>2015</v>
      </c>
      <c r="I56" s="6"/>
      <c r="J56" s="8"/>
      <c r="K56" s="6"/>
      <c r="L56" s="6"/>
      <c r="M56" s="9"/>
    </row>
    <row r="57" spans="2:13" ht="41.4" x14ac:dyDescent="0.3">
      <c r="B57" s="386" t="s">
        <v>647</v>
      </c>
      <c r="C57" s="387">
        <v>14380021.91</v>
      </c>
      <c r="D57" s="388">
        <v>11755099.02</v>
      </c>
      <c r="I57" s="6" t="s">
        <v>634</v>
      </c>
      <c r="J57" s="8">
        <v>87439312.660000041</v>
      </c>
      <c r="K57" s="6"/>
      <c r="L57" s="404">
        <v>97221684.990000024</v>
      </c>
      <c r="M57" s="397" t="s">
        <v>643</v>
      </c>
    </row>
    <row r="58" spans="2:13" ht="27.6" x14ac:dyDescent="0.3">
      <c r="B58" s="389" t="s">
        <v>648</v>
      </c>
      <c r="C58" s="8">
        <v>183368582.81999999</v>
      </c>
      <c r="D58" s="390">
        <v>212021765.38</v>
      </c>
      <c r="I58" s="6"/>
      <c r="J58" s="8">
        <v>87439312.660000041</v>
      </c>
      <c r="K58" s="6"/>
      <c r="L58" s="402">
        <v>97221684.989999741</v>
      </c>
      <c r="M58" s="397" t="s">
        <v>644</v>
      </c>
    </row>
    <row r="59" spans="2:13" ht="28.2" thickBot="1" x14ac:dyDescent="0.35">
      <c r="B59" s="391" t="s">
        <v>649</v>
      </c>
      <c r="C59" s="392">
        <v>197748604.72999999</v>
      </c>
      <c r="D59" s="405">
        <v>223776864.40000001</v>
      </c>
      <c r="I59" s="6"/>
      <c r="J59" s="8"/>
      <c r="K59" s="6"/>
      <c r="L59" s="6"/>
      <c r="M59" s="9"/>
    </row>
    <row r="60" spans="2:13" ht="15" thickBot="1" x14ac:dyDescent="0.35">
      <c r="B60" s="394"/>
      <c r="C60" s="6"/>
      <c r="D60" s="6"/>
      <c r="I60" s="6" t="s">
        <v>3</v>
      </c>
      <c r="J60" s="8">
        <v>13920681.310000002</v>
      </c>
      <c r="K60" s="6"/>
      <c r="L60" s="396">
        <v>11366879.729999997</v>
      </c>
      <c r="M60" s="397" t="s">
        <v>645</v>
      </c>
    </row>
    <row r="61" spans="2:13" ht="15" thickBot="1" x14ac:dyDescent="0.35">
      <c r="B61" s="395" t="s">
        <v>636</v>
      </c>
      <c r="C61" s="2">
        <v>2014</v>
      </c>
      <c r="D61" s="3">
        <v>2015</v>
      </c>
      <c r="I61" s="6" t="s">
        <v>4</v>
      </c>
      <c r="J61" s="8">
        <v>182282337.44999987</v>
      </c>
      <c r="K61" s="6"/>
      <c r="L61" s="406">
        <v>210489746.03999972</v>
      </c>
      <c r="M61" s="397" t="s">
        <v>646</v>
      </c>
    </row>
    <row r="62" spans="2:13" ht="42" thickBot="1" x14ac:dyDescent="0.35">
      <c r="B62" s="398" t="s">
        <v>651</v>
      </c>
      <c r="C62" s="399">
        <v>245368037.72999999</v>
      </c>
      <c r="D62" s="407">
        <v>265747327.91999999</v>
      </c>
      <c r="I62" s="6"/>
      <c r="J62" s="8">
        <v>197748604.72999999</v>
      </c>
      <c r="K62" s="6"/>
      <c r="L62" s="402">
        <v>223776864.39999986</v>
      </c>
      <c r="M62" s="397" t="s">
        <v>644</v>
      </c>
    </row>
    <row r="63" spans="2:13" x14ac:dyDescent="0.3">
      <c r="I63" s="6"/>
      <c r="J63" s="8"/>
      <c r="K63" s="6"/>
      <c r="L63" s="6"/>
      <c r="M63" s="9"/>
    </row>
    <row r="64" spans="2:13" x14ac:dyDescent="0.3">
      <c r="I64" s="6" t="s">
        <v>636</v>
      </c>
      <c r="J64" s="8">
        <v>243914517.79000005</v>
      </c>
      <c r="K64" s="6"/>
      <c r="L64" s="408">
        <v>263823852.79999989</v>
      </c>
      <c r="M64" s="397" t="s">
        <v>646</v>
      </c>
    </row>
    <row r="65" spans="9:13" x14ac:dyDescent="0.3">
      <c r="I65" s="6"/>
      <c r="J65" s="8">
        <v>245368037.72999999</v>
      </c>
      <c r="K65" s="6"/>
      <c r="L65" s="402">
        <v>265747327.92000023</v>
      </c>
      <c r="M65" s="397" t="s">
        <v>644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S k z 4 T s 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S k z 4 T 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p M + E 4 o i k e 4 D g A A A B E A A A A T A B w A R m 9 y b X V s Y X M v U 2 V j d G l v b j E u b S C i G A A o o B Q A A A A A A A A A A A A A A A A A A A A A A A A A A A A r T k 0 u y c z P U w i G 0 I b W A F B L A Q I t A B Q A A g A I A E p M + E 7 G r a w E p w A A A P g A A A A S A A A A A A A A A A A A A A A A A A A A A A B D b 2 5 m a W c v U G F j a 2 F n Z S 5 4 b W x Q S w E C L Q A U A A I A C A B K T P h O D 8 r p q 6 Q A A A D p A A A A E w A A A A A A A A A A A A A A A A D z A A A A W 0 N v b n R l b n R f V H l w Z X N d L n h t b F B L A Q I t A B Q A A g A I A E p M + E 4 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y B T q 6 g s 9 d S 5 L Q e A O W / b C o A A A A A A I A A A A A A A N m A A D A A A A A E A A A A L 9 q B V b E e B U m j I J v 5 E V 7 z / Y A A A A A B I A A A K A A A A A Q A A A A q k 7 j o E n v 6 V o W f w X p + 3 p A y 1 A A A A C t g z R Q Z Y H F T B V w N o 1 Y 3 9 a 9 P J D I T 6 W 4 K C T n e 3 9 r b O Q q H E P m 7 5 q f o 7 P 3 I U Z e 9 J n 5 P h S z d q l z L q k B J o U 3 1 s y d c X h / s t 2 L M j R 9 v 4 z D o W i f r T c Q G R Q A A A D h q Q g Z 7 n y 8 X G O V l c J 5 N k / Z z 2 n a 7 g = = < / D a t a M a s h u p > 
</file>

<file path=customXml/itemProps1.xml><?xml version="1.0" encoding="utf-8"?>
<ds:datastoreItem xmlns:ds="http://schemas.openxmlformats.org/officeDocument/2006/customXml" ds:itemID="{A63C104A-70F8-4CD5-BBA4-D75A0B03319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Read the Instructions</vt:lpstr>
      <vt:lpstr>2020 PRT</vt:lpstr>
      <vt:lpstr>2025Comp&amp;Contr</vt:lpstr>
      <vt:lpstr>Collective NPL</vt:lpstr>
      <vt:lpstr>CCDDD List</vt:lpstr>
      <vt:lpstr>2025 ER Compensation</vt:lpstr>
      <vt:lpstr>Do not delete</vt:lpstr>
      <vt:lpstr>2025 PEFI ER Contributions</vt:lpstr>
      <vt:lpstr>Total Contributions</vt:lpstr>
      <vt:lpstr>Note Tables 1&amp;2</vt:lpstr>
      <vt:lpstr>'2020 PRT'!Print_Area</vt:lpstr>
      <vt:lpstr>'2025Comp&amp;Contr'!Print_Area</vt:lpstr>
      <vt:lpstr>'Read the Instructions'!Print_Area</vt:lpstr>
      <vt:lpstr>'Read the 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Pension Reporting Tool</dc:title>
  <dc:creator>Paul Stone</dc:creator>
  <cp:lastModifiedBy>Paul Stone</cp:lastModifiedBy>
  <cp:lastPrinted>2025-08-19T15:50:23Z</cp:lastPrinted>
  <dcterms:created xsi:type="dcterms:W3CDTF">2015-08-19T21:57:48Z</dcterms:created>
  <dcterms:modified xsi:type="dcterms:W3CDTF">2025-08-19T15:58:25Z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2024-08-05T16:30:54Z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1a841821-881b-4cf9-af28-9b898f180727</vt:lpwstr>
  </property>
  <property fmtid="{D5CDD505-2E9C-101B-9397-08002B2CF9AE}" pid="8" name="MSIP_Label_9145f431-4c8c-42c6-a5a5-ba6d3bdea585_ContentBits">
    <vt:lpwstr>0</vt:lpwstr>
  </property>
</Properties>
</file>