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Apportionment_NEW\Federal Funding &amp; Allocations\Federal progran allocation\25-26\final\"/>
    </mc:Choice>
  </mc:AlternateContent>
  <xr:revisionPtr revIDLastSave="0" documentId="13_ncr:1_{3C8A0B70-E9BC-40A2-B4E9-C0E6E6A1491C}" xr6:coauthVersionLast="47" xr6:coauthVersionMax="47" xr10:uidLastSave="{00000000-0000-0000-0000-000000000000}"/>
  <bookViews>
    <workbookView xWindow="-120" yWindow="-120" windowWidth="29040" windowHeight="17520" xr2:uid="{264CD0D7-8309-420F-9712-1852B130F5CB}"/>
  </bookViews>
  <sheets>
    <sheet name="District" sheetId="41" r:id="rId1"/>
    <sheet name="Assumptions " sheetId="12" state="hidden" r:id="rId2"/>
    <sheet name="State Reservations" sheetId="19" state="hidden" r:id="rId3"/>
    <sheet name="Basic HH" sheetId="36" state="hidden" r:id="rId4"/>
    <sheet name="Conc. HH" sheetId="37" state="hidden" r:id="rId5"/>
    <sheet name="Targeted HH" sheetId="38" state="hidden" r:id="rId6"/>
    <sheet name="EFIG HH" sheetId="39" state="hidden" r:id="rId7"/>
    <sheet name="Model allocations" sheetId="29" state="hidden" r:id="rId8"/>
    <sheet name="Initial adjusted allocations" sheetId="28" state="hidden" r:id="rId9"/>
    <sheet name="Initial adjusted formula count" sheetId="26" state="hidden" r:id="rId10"/>
    <sheet name="New or Expanded HH check" sheetId="30" state="hidden" r:id="rId11"/>
    <sheet name="Multipliers" sheetId="27" state="hidden" r:id="rId12"/>
    <sheet name="LEA Split Calc" sheetId="1" state="hidden" r:id="rId13"/>
    <sheet name="Prior Year data" sheetId="34" state="hidden" r:id="rId14"/>
    <sheet name="Conc eligibility year" sheetId="35" state="hidden" r:id="rId15"/>
  </sheets>
  <definedNames>
    <definedName name="_xlnm._FilterDatabase" localSheetId="4" hidden="1">'Conc. HH'!$A$3:$Y$318</definedName>
    <definedName name="_xlnm._FilterDatabase" localSheetId="6" hidden="1">'EFIG HH'!$A$3:$Y$318</definedName>
    <definedName name="_xlnm._FilterDatabase" localSheetId="2" hidden="1">'State Reservations'!$A$3:$AF$318</definedName>
    <definedName name="_xlnm._FilterDatabase" localSheetId="5" hidden="1">'Targeted HH'!$A$3:$Y$318</definedName>
    <definedName name="ExternalData_1" localSheetId="12" hidden="1">'LEA Split Calc'!$A$1:$S$20</definedName>
    <definedName name="ExternalData_1" localSheetId="13" hidden="1">'Prior Year data'!$A$1:$O$317</definedName>
    <definedName name="ExternalData_2" localSheetId="1" hidden="1">'Assumptions '!$C$1:$I$2</definedName>
    <definedName name="ExternalData_2" localSheetId="8" hidden="1">'Initial adjusted allocations'!$A$1:$L$316</definedName>
    <definedName name="ExternalData_2" localSheetId="9" hidden="1">'Initial adjusted formula count'!$A$1:$P$316</definedName>
    <definedName name="ExternalData_2" localSheetId="7" hidden="1">'Model allocations'!$A$1:$L$316</definedName>
    <definedName name="ExternalData_2" localSheetId="11" hidden="1">Multipliers!$A$1:$I$30</definedName>
    <definedName name="ExternalData_2" localSheetId="10" hidden="1">'New or Expanded HH check'!$A$1:$Y$20</definedName>
    <definedName name="ExternalData_3" localSheetId="1" hidden="1">'Assumptions '!$B$1:$B$2</definedName>
    <definedName name="ExternalData_4" localSheetId="14" hidden="1">'Conc eligibility year'!$A$1:$E$317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RPL_6d942e16-22db-4ffa-b3c4-78e5f77f3d97" name="FRPL" connection="Query - FRPL"/>
          <x15:modelTable id="Charter_TribalSending Districts_adc0af90-1cf7-4afd-a1f7-505f4e6cd83a" name="Charter_TribalSending Districts" connection="Query - Charter_TribalSending Districts"/>
          <x15:modelTable id="Split Calc_247957c6-f80a-4cf9-bf62-830dee17adae" name="Split Calc" connection="Query - Split Calc"/>
          <x15:modelTable id="CharterOnly_d4b28db4-5955-4821-8a91-08565041fbb0" name="CharterOnly" connection="Query - CharterOnly"/>
          <x15:modelTable id="SendingOnly_528991c0-22cf-4f9a-9107-21e30a0d6359" name="SendingOnly" connection="Query - SendingOnly"/>
          <x15:modelTable id="Multipliers_4e1de182-67bc-47e3-aae0-31c9d5aa929f" name="Multipliers" connection="Query - Multipliers"/>
          <x15:modelTable id="DOE Allocation_e200dc55-e835-485f-b9ac-864e5e086a2b" name="DOE Allocation" connection="Query - DOE Allocation"/>
          <x15:modelTable id="CCDDD LEAid_58419713-ea03-4455-98bb-37219434a69b" name="CCDDD LEAid" connection="Query - CCDDD/LEAid"/>
          <x15:modelTable id="DOE Formula counts_3f105ae7-fe37-4b9a-aa63-69b768cb6cdc" name="DOE Formula counts" connection="Query - DOE Formula counts"/>
          <x15:modelTable id="Prior Year adjusted allocations_8130c18f-6f17-4ed2-bd14-597e9d2fc0dd" name="Prior Year adjusted allocations" connection="Query - Prior Year adjusted allocations"/>
          <x15:modelTable id="Prior Year Adjusted Formula counts_2a578e4d-5345-4ca2-b6b0-12d6cdb6e79b" name="Prior Year Adjusted Formula counts" connection="Query - Prior Year Adjusted Formula counts"/>
          <x15:modelTable id="sumif_c9c16be1-9469-4623-9b4e-bcb323cce144" name="sumif" connection="Query - sumif"/>
          <x15:modelTable id="Assumptions-3561391d-e14b-4875-aca7-0b3dbc1c38d4" name="Assumptions" connection="Query - Assumptions"/>
          <x15:modelTable id="Prior Year Net to district_e2fd19b8-9aaf-4528-8cfa-ac06a0304cee" name="Prior Year Net to district" connection="Query - Prior Year Net to district"/>
          <x15:modelTable id="Title_ac699485-87d4-4f30-80af-b906945ae25f" name="Title" connection="Query - Title"/>
          <x15:modelTable id="Conc lookback_c1a88fb1-7a73-4a63-a3e5-6635b945637e" name="Conc lookback" connection="Query - Conc lookback"/>
          <x15:modelTable id="Initial adjusted formula count_5c95ab43-6e12-485c-9022-cfe2a271a234" name="Initial adjusted formula count" connection="Query - Initial adjusted formula count"/>
          <x15:modelTable id="Amount per Formula student_cd424f64-269e-4ef2-8e08-c65c399ef622" name="Amount per Formula student" connection="Query - Amount per Formula student"/>
          <x15:modelTable id="Initial adjusted allocations_d90531cd-ec6c-4788-99a2-22ac57ce40b2" name="Initial adjusted allocations" connection="Query - Initial adjusted allocations"/>
          <x15:modelTable id="Conc eligibility year_a502da48-851e-4952-a9c6-9e398a791bc0" name="Conc eligibility year" connection="Query - Conc eligibility year"/>
          <x15:modelTable id="New or Expanded HH check_32464d03-e565-4412-900d-3f03e1cce755" name="New or Expanded HH check" connection="Query - New or Expanded HH check"/>
          <x15:modelTable id="Model allocations_60a0f989-7d5d-495c-9d42-568553c317c8" name="Model allocations" connection="Query - Model allocation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8" i="12" l="1" a="1"/>
  <c r="B18" i="12" s="1"/>
  <c r="C3" i="41"/>
  <c r="D5" i="19" l="1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63" i="19"/>
  <c r="D164" i="19"/>
  <c r="D165" i="19"/>
  <c r="D166" i="19"/>
  <c r="D167" i="19"/>
  <c r="D168" i="19"/>
  <c r="D169" i="19"/>
  <c r="D170" i="19"/>
  <c r="D171" i="19"/>
  <c r="D172" i="19"/>
  <c r="D173" i="19"/>
  <c r="D174" i="19"/>
  <c r="D175" i="19"/>
  <c r="D176" i="19"/>
  <c r="D177" i="19"/>
  <c r="D178" i="19"/>
  <c r="D179" i="19"/>
  <c r="D180" i="19"/>
  <c r="D181" i="19"/>
  <c r="D182" i="19"/>
  <c r="D183" i="19"/>
  <c r="D184" i="19"/>
  <c r="D185" i="19"/>
  <c r="D186" i="19"/>
  <c r="D187" i="19"/>
  <c r="D188" i="19"/>
  <c r="D189" i="19"/>
  <c r="D190" i="19"/>
  <c r="D191" i="19"/>
  <c r="D192" i="19"/>
  <c r="D193" i="19"/>
  <c r="D194" i="19"/>
  <c r="D195" i="19"/>
  <c r="D196" i="19"/>
  <c r="D197" i="19"/>
  <c r="D198" i="19"/>
  <c r="D199" i="19"/>
  <c r="D200" i="19"/>
  <c r="D201" i="19"/>
  <c r="D202" i="19"/>
  <c r="D203" i="19"/>
  <c r="D204" i="19"/>
  <c r="D205" i="19"/>
  <c r="D206" i="19"/>
  <c r="D207" i="19"/>
  <c r="D208" i="19"/>
  <c r="D209" i="19"/>
  <c r="D210" i="19"/>
  <c r="D211" i="19"/>
  <c r="D212" i="19"/>
  <c r="D213" i="19"/>
  <c r="D214" i="19"/>
  <c r="D215" i="19"/>
  <c r="D216" i="19"/>
  <c r="D217" i="19"/>
  <c r="D218" i="19"/>
  <c r="D219" i="19"/>
  <c r="D220" i="19"/>
  <c r="D221" i="19"/>
  <c r="D222" i="19"/>
  <c r="D223" i="19"/>
  <c r="D224" i="19"/>
  <c r="D225" i="19"/>
  <c r="D226" i="19"/>
  <c r="D227" i="19"/>
  <c r="D228" i="19"/>
  <c r="D229" i="19"/>
  <c r="D231" i="19"/>
  <c r="D232" i="19"/>
  <c r="D233" i="19"/>
  <c r="D234" i="19"/>
  <c r="D235" i="19"/>
  <c r="D236" i="19"/>
  <c r="D237" i="19"/>
  <c r="D238" i="19"/>
  <c r="D239" i="19"/>
  <c r="D240" i="19"/>
  <c r="D241" i="19"/>
  <c r="D242" i="19"/>
  <c r="D243" i="19"/>
  <c r="D244" i="19"/>
  <c r="D245" i="19"/>
  <c r="D246" i="19"/>
  <c r="D247" i="19"/>
  <c r="D248" i="19"/>
  <c r="D249" i="19"/>
  <c r="D250" i="19"/>
  <c r="D251" i="19"/>
  <c r="D252" i="19"/>
  <c r="D253" i="19"/>
  <c r="D254" i="19"/>
  <c r="D255" i="19"/>
  <c r="D256" i="19"/>
  <c r="D257" i="19"/>
  <c r="D258" i="19"/>
  <c r="D259" i="19"/>
  <c r="D260" i="19"/>
  <c r="D261" i="19"/>
  <c r="D262" i="19"/>
  <c r="D263" i="19"/>
  <c r="D264" i="19"/>
  <c r="D265" i="19"/>
  <c r="D266" i="19"/>
  <c r="D267" i="19"/>
  <c r="D268" i="19"/>
  <c r="D269" i="19"/>
  <c r="D270" i="19"/>
  <c r="D271" i="19"/>
  <c r="D272" i="19"/>
  <c r="D273" i="19"/>
  <c r="D274" i="19"/>
  <c r="D275" i="19"/>
  <c r="D276" i="19"/>
  <c r="D277" i="19"/>
  <c r="D278" i="19"/>
  <c r="D279" i="19"/>
  <c r="D280" i="19"/>
  <c r="D281" i="19"/>
  <c r="D282" i="19"/>
  <c r="D283" i="19"/>
  <c r="D284" i="19"/>
  <c r="D285" i="19"/>
  <c r="D286" i="19"/>
  <c r="D287" i="19"/>
  <c r="D288" i="19"/>
  <c r="D289" i="19"/>
  <c r="D290" i="19"/>
  <c r="D291" i="19"/>
  <c r="D292" i="19"/>
  <c r="D293" i="19"/>
  <c r="D294" i="19"/>
  <c r="D295" i="19"/>
  <c r="D296" i="19"/>
  <c r="D297" i="19"/>
  <c r="D298" i="19"/>
  <c r="D299" i="19"/>
  <c r="D300" i="19"/>
  <c r="D301" i="19"/>
  <c r="D302" i="19"/>
  <c r="D303" i="19"/>
  <c r="D304" i="19"/>
  <c r="D305" i="19"/>
  <c r="D306" i="19"/>
  <c r="D307" i="19"/>
  <c r="D308" i="19"/>
  <c r="D309" i="19"/>
  <c r="D310" i="19"/>
  <c r="D311" i="19"/>
  <c r="D312" i="19"/>
  <c r="D313" i="19"/>
  <c r="D314" i="19"/>
  <c r="D315" i="19"/>
  <c r="D316" i="19"/>
  <c r="D317" i="19"/>
  <c r="D318" i="19"/>
  <c r="D230" i="19"/>
  <c r="D106" i="19"/>
  <c r="D4" i="19"/>
  <c r="AD230" i="19"/>
  <c r="AG317" i="19"/>
  <c r="AD106" i="19"/>
  <c r="AG318" i="19"/>
  <c r="D317" i="36"/>
  <c r="E317" i="36"/>
  <c r="G317" i="36" s="1"/>
  <c r="F317" i="36"/>
  <c r="D318" i="36"/>
  <c r="E318" i="36"/>
  <c r="G318" i="36" s="1"/>
  <c r="F318" i="36"/>
  <c r="D317" i="37"/>
  <c r="E317" i="37"/>
  <c r="G317" i="37" s="1"/>
  <c r="F317" i="37"/>
  <c r="H317" i="37" s="1"/>
  <c r="D318" i="37"/>
  <c r="E318" i="37"/>
  <c r="G318" i="37" s="1"/>
  <c r="F318" i="37"/>
  <c r="D317" i="38"/>
  <c r="E317" i="38"/>
  <c r="G317" i="38" s="1"/>
  <c r="F317" i="38"/>
  <c r="D318" i="38"/>
  <c r="E318" i="38"/>
  <c r="G318" i="38" s="1"/>
  <c r="F318" i="38"/>
  <c r="E317" i="39"/>
  <c r="G317" i="39" s="1"/>
  <c r="F317" i="39"/>
  <c r="E318" i="39"/>
  <c r="G318" i="39" s="1"/>
  <c r="F318" i="39"/>
  <c r="D317" i="39"/>
  <c r="D318" i="39"/>
  <c r="H318" i="36" l="1"/>
  <c r="I318" i="36" s="1"/>
  <c r="H318" i="38"/>
  <c r="I318" i="38" s="1"/>
  <c r="H318" i="39"/>
  <c r="I318" i="39" s="1"/>
  <c r="H317" i="39"/>
  <c r="I317" i="39" s="1"/>
  <c r="H317" i="36"/>
  <c r="I317" i="36" s="1"/>
  <c r="H318" i="37"/>
  <c r="I318" i="37" s="1"/>
  <c r="I317" i="37"/>
  <c r="H317" i="38"/>
  <c r="I317" i="38" s="1"/>
  <c r="J318" i="36" l="1"/>
  <c r="J317" i="36"/>
  <c r="J318" i="37"/>
  <c r="J317" i="37"/>
  <c r="J317" i="38"/>
  <c r="J318" i="38"/>
  <c r="J318" i="39"/>
  <c r="J317" i="39"/>
  <c r="AG5" i="19" l="1"/>
  <c r="AG6" i="19"/>
  <c r="AG7" i="19"/>
  <c r="AG8" i="19"/>
  <c r="AG9" i="19"/>
  <c r="AG10" i="19"/>
  <c r="AG11" i="19"/>
  <c r="AG12" i="19"/>
  <c r="AG13" i="19"/>
  <c r="AG14" i="19"/>
  <c r="AG15" i="19"/>
  <c r="AG16" i="19"/>
  <c r="AG17" i="19"/>
  <c r="AG18" i="19"/>
  <c r="AG19" i="19"/>
  <c r="AG20" i="19"/>
  <c r="AG21" i="19"/>
  <c r="AG22" i="19"/>
  <c r="AG23" i="19"/>
  <c r="AG24" i="19"/>
  <c r="AG25" i="19"/>
  <c r="AG26" i="19"/>
  <c r="AG27" i="19"/>
  <c r="AG28" i="19"/>
  <c r="AG29" i="19"/>
  <c r="AG30" i="19"/>
  <c r="AG31" i="19"/>
  <c r="AG32" i="19"/>
  <c r="AG33" i="19"/>
  <c r="AG34" i="19"/>
  <c r="AG35" i="19"/>
  <c r="AG36" i="19"/>
  <c r="AG37" i="19"/>
  <c r="AG38" i="19"/>
  <c r="AG39" i="19"/>
  <c r="AG40" i="19"/>
  <c r="AG41" i="19"/>
  <c r="AG42" i="19"/>
  <c r="AG43" i="19"/>
  <c r="AG44" i="19"/>
  <c r="AG45" i="19"/>
  <c r="AG46" i="19"/>
  <c r="AG47" i="19"/>
  <c r="AG48" i="19"/>
  <c r="AG49" i="19"/>
  <c r="AG50" i="19"/>
  <c r="AG51" i="19"/>
  <c r="AG52" i="19"/>
  <c r="AG53" i="19"/>
  <c r="AG54" i="19"/>
  <c r="AG55" i="19"/>
  <c r="AG56" i="19"/>
  <c r="AG57" i="19"/>
  <c r="AG58" i="19"/>
  <c r="AG59" i="19"/>
  <c r="AG60" i="19"/>
  <c r="AG61" i="19"/>
  <c r="AG62" i="19"/>
  <c r="AG63" i="19"/>
  <c r="AG64" i="19"/>
  <c r="AG65" i="19"/>
  <c r="AG66" i="19"/>
  <c r="AG67" i="19"/>
  <c r="AG68" i="19"/>
  <c r="AG69" i="19"/>
  <c r="AG70" i="19"/>
  <c r="AG71" i="19"/>
  <c r="AG72" i="19"/>
  <c r="AG73" i="19"/>
  <c r="AG74" i="19"/>
  <c r="AG75" i="19"/>
  <c r="AG76" i="19"/>
  <c r="AG77" i="19"/>
  <c r="AG78" i="19"/>
  <c r="AG79" i="19"/>
  <c r="AG80" i="19"/>
  <c r="AG81" i="19"/>
  <c r="AG82" i="19"/>
  <c r="AG83" i="19"/>
  <c r="AG84" i="19"/>
  <c r="AG85" i="19"/>
  <c r="AG86" i="19"/>
  <c r="AG87" i="19"/>
  <c r="AG88" i="19"/>
  <c r="AG89" i="19"/>
  <c r="AG90" i="19"/>
  <c r="AG91" i="19"/>
  <c r="AG92" i="19"/>
  <c r="AG93" i="19"/>
  <c r="AG94" i="19"/>
  <c r="AG95" i="19"/>
  <c r="AG96" i="19"/>
  <c r="AG97" i="19"/>
  <c r="AG98" i="19"/>
  <c r="AG99" i="19"/>
  <c r="AG100" i="19"/>
  <c r="AG101" i="19"/>
  <c r="AG102" i="19"/>
  <c r="AG103" i="19"/>
  <c r="AG104" i="19"/>
  <c r="AG105" i="19"/>
  <c r="AG106" i="19"/>
  <c r="AG107" i="19"/>
  <c r="AG108" i="19"/>
  <c r="AG109" i="19"/>
  <c r="AG110" i="19"/>
  <c r="AG111" i="19"/>
  <c r="AG112" i="19"/>
  <c r="AG113" i="19"/>
  <c r="AG114" i="19"/>
  <c r="AG115" i="19"/>
  <c r="AG116" i="19"/>
  <c r="AG117" i="19"/>
  <c r="AG118" i="19"/>
  <c r="AG119" i="19"/>
  <c r="AG120" i="19"/>
  <c r="AG121" i="19"/>
  <c r="AG122" i="19"/>
  <c r="AG123" i="19"/>
  <c r="AG124" i="19"/>
  <c r="AG125" i="19"/>
  <c r="AG126" i="19"/>
  <c r="AG127" i="19"/>
  <c r="AG128" i="19"/>
  <c r="AG129" i="19"/>
  <c r="AG130" i="19"/>
  <c r="AG131" i="19"/>
  <c r="AG132" i="19"/>
  <c r="AG133" i="19"/>
  <c r="AG134" i="19"/>
  <c r="AG135" i="19"/>
  <c r="AG136" i="19"/>
  <c r="AG137" i="19"/>
  <c r="AG138" i="19"/>
  <c r="AG139" i="19"/>
  <c r="AG140" i="19"/>
  <c r="AG141" i="19"/>
  <c r="AG142" i="19"/>
  <c r="AG143" i="19"/>
  <c r="AG144" i="19"/>
  <c r="AG145" i="19"/>
  <c r="AG146" i="19"/>
  <c r="AG147" i="19"/>
  <c r="AG148" i="19"/>
  <c r="AG149" i="19"/>
  <c r="AG150" i="19"/>
  <c r="AG151" i="19"/>
  <c r="AG152" i="19"/>
  <c r="AG153" i="19"/>
  <c r="AG154" i="19"/>
  <c r="AG155" i="19"/>
  <c r="AG156" i="19"/>
  <c r="AG157" i="19"/>
  <c r="AG158" i="19"/>
  <c r="AG159" i="19"/>
  <c r="AG160" i="19"/>
  <c r="AG161" i="19"/>
  <c r="AG162" i="19"/>
  <c r="AG163" i="19"/>
  <c r="AG164" i="19"/>
  <c r="AG165" i="19"/>
  <c r="AG166" i="19"/>
  <c r="AG167" i="19"/>
  <c r="AG168" i="19"/>
  <c r="AG169" i="19"/>
  <c r="AG170" i="19"/>
  <c r="AG171" i="19"/>
  <c r="AG172" i="19"/>
  <c r="AG173" i="19"/>
  <c r="AG174" i="19"/>
  <c r="AG175" i="19"/>
  <c r="AG176" i="19"/>
  <c r="AG177" i="19"/>
  <c r="AG178" i="19"/>
  <c r="AG179" i="19"/>
  <c r="AG180" i="19"/>
  <c r="AG181" i="19"/>
  <c r="AG182" i="19"/>
  <c r="AG183" i="19"/>
  <c r="AG184" i="19"/>
  <c r="AG185" i="19"/>
  <c r="AG186" i="19"/>
  <c r="AG187" i="19"/>
  <c r="AG188" i="19"/>
  <c r="AG189" i="19"/>
  <c r="AG190" i="19"/>
  <c r="AG191" i="19"/>
  <c r="AG192" i="19"/>
  <c r="AG193" i="19"/>
  <c r="AG194" i="19"/>
  <c r="AG195" i="19"/>
  <c r="AG196" i="19"/>
  <c r="AG197" i="19"/>
  <c r="AG198" i="19"/>
  <c r="AG199" i="19"/>
  <c r="AG200" i="19"/>
  <c r="AG201" i="19"/>
  <c r="AG202" i="19"/>
  <c r="AG203" i="19"/>
  <c r="AG204" i="19"/>
  <c r="AG205" i="19"/>
  <c r="AG206" i="19"/>
  <c r="AG207" i="19"/>
  <c r="AG208" i="19"/>
  <c r="AG209" i="19"/>
  <c r="AG210" i="19"/>
  <c r="AG211" i="19"/>
  <c r="AG212" i="19"/>
  <c r="AG213" i="19"/>
  <c r="AG214" i="19"/>
  <c r="AG215" i="19"/>
  <c r="AG216" i="19"/>
  <c r="AG217" i="19"/>
  <c r="AG218" i="19"/>
  <c r="AG219" i="19"/>
  <c r="AG220" i="19"/>
  <c r="AG221" i="19"/>
  <c r="AG222" i="19"/>
  <c r="AG223" i="19"/>
  <c r="AG224" i="19"/>
  <c r="AG225" i="19"/>
  <c r="AG226" i="19"/>
  <c r="AG227" i="19"/>
  <c r="AG228" i="19"/>
  <c r="AG229" i="19"/>
  <c r="AG230" i="19"/>
  <c r="AG231" i="19"/>
  <c r="AG232" i="19"/>
  <c r="AG233" i="19"/>
  <c r="AG234" i="19"/>
  <c r="AG235" i="19"/>
  <c r="AG236" i="19"/>
  <c r="AG237" i="19"/>
  <c r="AG238" i="19"/>
  <c r="AG239" i="19"/>
  <c r="AG240" i="19"/>
  <c r="AG241" i="19"/>
  <c r="AG242" i="19"/>
  <c r="AG243" i="19"/>
  <c r="AG244" i="19"/>
  <c r="AG245" i="19"/>
  <c r="AG246" i="19"/>
  <c r="AG247" i="19"/>
  <c r="AG248" i="19"/>
  <c r="AG249" i="19"/>
  <c r="AG250" i="19"/>
  <c r="AG251" i="19"/>
  <c r="AG252" i="19"/>
  <c r="AG253" i="19"/>
  <c r="AG254" i="19"/>
  <c r="AG255" i="19"/>
  <c r="AG256" i="19"/>
  <c r="AG257" i="19"/>
  <c r="AG258" i="19"/>
  <c r="AG259" i="19"/>
  <c r="AG260" i="19"/>
  <c r="AG261" i="19"/>
  <c r="AG262" i="19"/>
  <c r="AG263" i="19"/>
  <c r="AG264" i="19"/>
  <c r="AG265" i="19"/>
  <c r="AG266" i="19"/>
  <c r="AG267" i="19"/>
  <c r="AG268" i="19"/>
  <c r="AG269" i="19"/>
  <c r="AG270" i="19"/>
  <c r="AG271" i="19"/>
  <c r="AG272" i="19"/>
  <c r="AG273" i="19"/>
  <c r="AG274" i="19"/>
  <c r="AG275" i="19"/>
  <c r="AG276" i="19"/>
  <c r="AG277" i="19"/>
  <c r="AG278" i="19"/>
  <c r="AG279" i="19"/>
  <c r="AG280" i="19"/>
  <c r="AG281" i="19"/>
  <c r="AG282" i="19"/>
  <c r="AG283" i="19"/>
  <c r="AG284" i="19"/>
  <c r="AG285" i="19"/>
  <c r="AG286" i="19"/>
  <c r="AG287" i="19"/>
  <c r="AG288" i="19"/>
  <c r="AG289" i="19"/>
  <c r="AG290" i="19"/>
  <c r="AG291" i="19"/>
  <c r="AG292" i="19"/>
  <c r="AG293" i="19"/>
  <c r="AG294" i="19"/>
  <c r="AG295" i="19"/>
  <c r="AG296" i="19"/>
  <c r="AG297" i="19"/>
  <c r="AG298" i="19"/>
  <c r="AG299" i="19"/>
  <c r="AG300" i="19"/>
  <c r="AG301" i="19"/>
  <c r="AG302" i="19"/>
  <c r="AG303" i="19"/>
  <c r="AG304" i="19"/>
  <c r="AG305" i="19"/>
  <c r="AG306" i="19"/>
  <c r="AG307" i="19"/>
  <c r="AG308" i="19"/>
  <c r="AG309" i="19"/>
  <c r="AG310" i="19"/>
  <c r="AG311" i="19"/>
  <c r="AG312" i="19"/>
  <c r="AG313" i="19"/>
  <c r="AG314" i="19"/>
  <c r="AG315" i="19"/>
  <c r="AG316" i="19"/>
  <c r="AG4" i="19"/>
  <c r="C6" i="41" a="1"/>
  <c r="C6" i="41" s="1"/>
  <c r="C4" i="41" l="1"/>
  <c r="D9" i="41" s="1"/>
  <c r="D12" i="41" l="1"/>
  <c r="D21" i="41"/>
  <c r="D22" i="41"/>
  <c r="D14" i="41"/>
  <c r="D24" i="41"/>
  <c r="D7" i="41"/>
  <c r="D13" i="41"/>
  <c r="D11" i="41"/>
  <c r="D8" i="41"/>
  <c r="D19" i="41"/>
  <c r="C8" i="41"/>
  <c r="C7" i="41"/>
  <c r="D18" i="41"/>
  <c r="D16" i="41"/>
  <c r="C9" i="41" l="1"/>
  <c r="F5" i="37"/>
  <c r="F6" i="37"/>
  <c r="F7" i="37"/>
  <c r="F8" i="37"/>
  <c r="F9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F93" i="37"/>
  <c r="F94" i="37"/>
  <c r="F95" i="37"/>
  <c r="F96" i="37"/>
  <c r="F97" i="37"/>
  <c r="F98" i="37"/>
  <c r="F99" i="37"/>
  <c r="F100" i="37"/>
  <c r="F101" i="37"/>
  <c r="F102" i="37"/>
  <c r="F103" i="37"/>
  <c r="F104" i="37"/>
  <c r="F105" i="37"/>
  <c r="F106" i="37"/>
  <c r="F107" i="37"/>
  <c r="F108" i="37"/>
  <c r="F109" i="37"/>
  <c r="F110" i="37"/>
  <c r="F111" i="37"/>
  <c r="F112" i="37"/>
  <c r="F113" i="37"/>
  <c r="F114" i="37"/>
  <c r="F115" i="37"/>
  <c r="F116" i="37"/>
  <c r="F117" i="37"/>
  <c r="F118" i="37"/>
  <c r="F119" i="37"/>
  <c r="F120" i="37"/>
  <c r="F121" i="37"/>
  <c r="F122" i="37"/>
  <c r="F123" i="37"/>
  <c r="F124" i="37"/>
  <c r="F125" i="37"/>
  <c r="F126" i="37"/>
  <c r="F127" i="37"/>
  <c r="F128" i="37"/>
  <c r="F129" i="37"/>
  <c r="F130" i="37"/>
  <c r="F131" i="37"/>
  <c r="F132" i="37"/>
  <c r="F133" i="37"/>
  <c r="F134" i="37"/>
  <c r="F135" i="37"/>
  <c r="F136" i="37"/>
  <c r="F137" i="37"/>
  <c r="F138" i="37"/>
  <c r="F139" i="37"/>
  <c r="F140" i="37"/>
  <c r="F141" i="37"/>
  <c r="F142" i="37"/>
  <c r="F143" i="37"/>
  <c r="F144" i="37"/>
  <c r="F145" i="37"/>
  <c r="F146" i="37"/>
  <c r="F147" i="37"/>
  <c r="F148" i="37"/>
  <c r="F149" i="37"/>
  <c r="F150" i="37"/>
  <c r="F151" i="37"/>
  <c r="F152" i="37"/>
  <c r="F153" i="37"/>
  <c r="F154" i="37"/>
  <c r="F155" i="37"/>
  <c r="F156" i="37"/>
  <c r="F157" i="37"/>
  <c r="F158" i="37"/>
  <c r="F159" i="37"/>
  <c r="F160" i="37"/>
  <c r="F161" i="37"/>
  <c r="F162" i="37"/>
  <c r="F163" i="37"/>
  <c r="F164" i="37"/>
  <c r="F165" i="37"/>
  <c r="F166" i="37"/>
  <c r="F167" i="37"/>
  <c r="F168" i="37"/>
  <c r="F169" i="37"/>
  <c r="F170" i="37"/>
  <c r="F171" i="37"/>
  <c r="F172" i="37"/>
  <c r="F173" i="37"/>
  <c r="F174" i="37"/>
  <c r="F175" i="37"/>
  <c r="F176" i="37"/>
  <c r="F177" i="37"/>
  <c r="F178" i="37"/>
  <c r="F179" i="37"/>
  <c r="F180" i="37"/>
  <c r="F181" i="37"/>
  <c r="F182" i="37"/>
  <c r="F183" i="37"/>
  <c r="F184" i="37"/>
  <c r="F185" i="37"/>
  <c r="F186" i="37"/>
  <c r="F187" i="37"/>
  <c r="F188" i="37"/>
  <c r="F189" i="37"/>
  <c r="F190" i="37"/>
  <c r="F191" i="37"/>
  <c r="F192" i="37"/>
  <c r="F193" i="37"/>
  <c r="F194" i="37"/>
  <c r="F195" i="37"/>
  <c r="F196" i="37"/>
  <c r="F197" i="37"/>
  <c r="F198" i="37"/>
  <c r="F199" i="37"/>
  <c r="F200" i="37"/>
  <c r="F201" i="37"/>
  <c r="F202" i="37"/>
  <c r="F203" i="37"/>
  <c r="F204" i="37"/>
  <c r="F205" i="37"/>
  <c r="F206" i="37"/>
  <c r="F207" i="37"/>
  <c r="F208" i="37"/>
  <c r="F209" i="37"/>
  <c r="F210" i="37"/>
  <c r="F211" i="37"/>
  <c r="F212" i="37"/>
  <c r="F213" i="37"/>
  <c r="F214" i="37"/>
  <c r="F215" i="37"/>
  <c r="F216" i="37"/>
  <c r="F217" i="37"/>
  <c r="F218" i="37"/>
  <c r="F219" i="37"/>
  <c r="F220" i="37"/>
  <c r="F221" i="37"/>
  <c r="F222" i="37"/>
  <c r="F223" i="37"/>
  <c r="F224" i="37"/>
  <c r="F225" i="37"/>
  <c r="F226" i="37"/>
  <c r="F227" i="37"/>
  <c r="F228" i="37"/>
  <c r="F229" i="37"/>
  <c r="F230" i="37"/>
  <c r="F231" i="37"/>
  <c r="F232" i="37"/>
  <c r="F233" i="37"/>
  <c r="F234" i="37"/>
  <c r="F235" i="37"/>
  <c r="F236" i="37"/>
  <c r="F237" i="37"/>
  <c r="F238" i="37"/>
  <c r="F239" i="37"/>
  <c r="F240" i="37"/>
  <c r="F241" i="37"/>
  <c r="F242" i="37"/>
  <c r="F243" i="37"/>
  <c r="F244" i="37"/>
  <c r="F245" i="37"/>
  <c r="F246" i="37"/>
  <c r="F247" i="37"/>
  <c r="F248" i="37"/>
  <c r="F249" i="37"/>
  <c r="F250" i="37"/>
  <c r="F251" i="37"/>
  <c r="F252" i="37"/>
  <c r="F253" i="37"/>
  <c r="F254" i="37"/>
  <c r="F255" i="37"/>
  <c r="F256" i="37"/>
  <c r="F257" i="37"/>
  <c r="F258" i="37"/>
  <c r="F259" i="37"/>
  <c r="F260" i="37"/>
  <c r="F261" i="37"/>
  <c r="F262" i="37"/>
  <c r="F263" i="37"/>
  <c r="F264" i="37"/>
  <c r="F265" i="37"/>
  <c r="F266" i="37"/>
  <c r="F267" i="37"/>
  <c r="F268" i="37"/>
  <c r="F269" i="37"/>
  <c r="F270" i="37"/>
  <c r="F271" i="37"/>
  <c r="F272" i="37"/>
  <c r="F273" i="37"/>
  <c r="F274" i="37"/>
  <c r="F275" i="37"/>
  <c r="F276" i="37"/>
  <c r="F277" i="37"/>
  <c r="F278" i="37"/>
  <c r="F279" i="37"/>
  <c r="F280" i="37"/>
  <c r="F281" i="37"/>
  <c r="F282" i="37"/>
  <c r="F283" i="37"/>
  <c r="F284" i="37"/>
  <c r="F285" i="37"/>
  <c r="F286" i="37"/>
  <c r="F287" i="37"/>
  <c r="F288" i="37"/>
  <c r="F289" i="37"/>
  <c r="F290" i="37"/>
  <c r="F291" i="37"/>
  <c r="F292" i="37"/>
  <c r="F293" i="37"/>
  <c r="F294" i="37"/>
  <c r="F295" i="37"/>
  <c r="F296" i="37"/>
  <c r="F297" i="37"/>
  <c r="F298" i="37"/>
  <c r="F299" i="37"/>
  <c r="F300" i="37"/>
  <c r="F301" i="37"/>
  <c r="F302" i="37"/>
  <c r="F303" i="37"/>
  <c r="F304" i="37"/>
  <c r="F305" i="37"/>
  <c r="F306" i="37"/>
  <c r="F307" i="37"/>
  <c r="F308" i="37"/>
  <c r="F309" i="37"/>
  <c r="F310" i="37"/>
  <c r="F311" i="37"/>
  <c r="F312" i="37"/>
  <c r="F313" i="37"/>
  <c r="F314" i="37"/>
  <c r="F315" i="37"/>
  <c r="F316" i="37"/>
  <c r="F4" i="37"/>
  <c r="D5" i="37"/>
  <c r="D6" i="37"/>
  <c r="D7" i="37"/>
  <c r="D8" i="37"/>
  <c r="D9" i="37"/>
  <c r="D10" i="37"/>
  <c r="D11" i="37"/>
  <c r="D12" i="37"/>
  <c r="D13" i="37"/>
  <c r="D14" i="37"/>
  <c r="D15" i="37"/>
  <c r="D16" i="37"/>
  <c r="D17" i="37"/>
  <c r="D18" i="37"/>
  <c r="D19" i="37"/>
  <c r="D20" i="37"/>
  <c r="D21" i="37"/>
  <c r="D22" i="37"/>
  <c r="D23" i="37"/>
  <c r="D24" i="37"/>
  <c r="D25" i="37"/>
  <c r="D26" i="37"/>
  <c r="D27" i="37"/>
  <c r="D28" i="37"/>
  <c r="D29" i="37"/>
  <c r="D30" i="37"/>
  <c r="D31" i="37"/>
  <c r="D32" i="37"/>
  <c r="D33" i="37"/>
  <c r="D34" i="37"/>
  <c r="D35" i="37"/>
  <c r="D36" i="37"/>
  <c r="D37" i="37"/>
  <c r="D38" i="37"/>
  <c r="D39" i="37"/>
  <c r="D40" i="37"/>
  <c r="D41" i="37"/>
  <c r="D42" i="37"/>
  <c r="D43" i="37"/>
  <c r="D44" i="37"/>
  <c r="D45" i="37"/>
  <c r="D46" i="37"/>
  <c r="D47" i="37"/>
  <c r="D48" i="37"/>
  <c r="D49" i="37"/>
  <c r="D50" i="37"/>
  <c r="D51" i="37"/>
  <c r="D52" i="37"/>
  <c r="D53" i="37"/>
  <c r="D54" i="37"/>
  <c r="D55" i="37"/>
  <c r="D56" i="37"/>
  <c r="D57" i="37"/>
  <c r="D58" i="37"/>
  <c r="D59" i="37"/>
  <c r="D60" i="37"/>
  <c r="D61" i="37"/>
  <c r="D62" i="37"/>
  <c r="D63" i="37"/>
  <c r="D64" i="37"/>
  <c r="D65" i="37"/>
  <c r="D66" i="37"/>
  <c r="D67" i="37"/>
  <c r="D68" i="37"/>
  <c r="D69" i="37"/>
  <c r="D70" i="37"/>
  <c r="D71" i="37"/>
  <c r="D72" i="37"/>
  <c r="D73" i="37"/>
  <c r="D74" i="37"/>
  <c r="D75" i="37"/>
  <c r="D76" i="37"/>
  <c r="D77" i="37"/>
  <c r="D78" i="37"/>
  <c r="D79" i="37"/>
  <c r="D80" i="37"/>
  <c r="D81" i="37"/>
  <c r="D82" i="37"/>
  <c r="D83" i="37"/>
  <c r="D84" i="37"/>
  <c r="D85" i="37"/>
  <c r="D86" i="37"/>
  <c r="D87" i="37"/>
  <c r="D88" i="37"/>
  <c r="D89" i="37"/>
  <c r="D90" i="37"/>
  <c r="D91" i="37"/>
  <c r="D92" i="37"/>
  <c r="D93" i="37"/>
  <c r="D94" i="37"/>
  <c r="D95" i="37"/>
  <c r="D96" i="37"/>
  <c r="D97" i="37"/>
  <c r="D98" i="37"/>
  <c r="D99" i="37"/>
  <c r="D100" i="37"/>
  <c r="D101" i="37"/>
  <c r="D102" i="37"/>
  <c r="D103" i="37"/>
  <c r="D104" i="37"/>
  <c r="D105" i="37"/>
  <c r="D106" i="37"/>
  <c r="D107" i="37"/>
  <c r="D108" i="37"/>
  <c r="D109" i="37"/>
  <c r="D110" i="37"/>
  <c r="D111" i="37"/>
  <c r="D112" i="37"/>
  <c r="D113" i="37"/>
  <c r="D114" i="37"/>
  <c r="D115" i="37"/>
  <c r="D116" i="37"/>
  <c r="D117" i="37"/>
  <c r="D118" i="37"/>
  <c r="D119" i="37"/>
  <c r="D120" i="37"/>
  <c r="D121" i="37"/>
  <c r="D122" i="37"/>
  <c r="D123" i="37"/>
  <c r="D124" i="37"/>
  <c r="D125" i="37"/>
  <c r="D126" i="37"/>
  <c r="D127" i="37"/>
  <c r="D128" i="37"/>
  <c r="D129" i="37"/>
  <c r="D130" i="37"/>
  <c r="D131" i="37"/>
  <c r="D132" i="37"/>
  <c r="D133" i="37"/>
  <c r="D134" i="37"/>
  <c r="D135" i="37"/>
  <c r="D136" i="37"/>
  <c r="D137" i="37"/>
  <c r="D138" i="37"/>
  <c r="D139" i="37"/>
  <c r="D140" i="37"/>
  <c r="D141" i="37"/>
  <c r="D142" i="37"/>
  <c r="D143" i="37"/>
  <c r="D144" i="37"/>
  <c r="D145" i="37"/>
  <c r="D146" i="37"/>
  <c r="D147" i="37"/>
  <c r="D148" i="37"/>
  <c r="D149" i="37"/>
  <c r="D150" i="37"/>
  <c r="D151" i="37"/>
  <c r="D152" i="37"/>
  <c r="D153" i="37"/>
  <c r="D154" i="37"/>
  <c r="D155" i="37"/>
  <c r="D156" i="37"/>
  <c r="D157" i="37"/>
  <c r="D158" i="37"/>
  <c r="D159" i="37"/>
  <c r="D160" i="37"/>
  <c r="D161" i="37"/>
  <c r="D162" i="37"/>
  <c r="D163" i="37"/>
  <c r="D164" i="37"/>
  <c r="D165" i="37"/>
  <c r="D166" i="37"/>
  <c r="D167" i="37"/>
  <c r="D168" i="37"/>
  <c r="D169" i="37"/>
  <c r="D170" i="37"/>
  <c r="D171" i="37"/>
  <c r="D172" i="37"/>
  <c r="D173" i="37"/>
  <c r="D174" i="37"/>
  <c r="D175" i="37"/>
  <c r="D176" i="37"/>
  <c r="D177" i="37"/>
  <c r="D178" i="37"/>
  <c r="D179" i="37"/>
  <c r="D180" i="37"/>
  <c r="D181" i="37"/>
  <c r="D182" i="37"/>
  <c r="D183" i="37"/>
  <c r="D184" i="37"/>
  <c r="D185" i="37"/>
  <c r="D186" i="37"/>
  <c r="D187" i="37"/>
  <c r="D188" i="37"/>
  <c r="D189" i="37"/>
  <c r="D190" i="37"/>
  <c r="D191" i="37"/>
  <c r="D192" i="37"/>
  <c r="D193" i="37"/>
  <c r="D194" i="37"/>
  <c r="D195" i="37"/>
  <c r="D196" i="37"/>
  <c r="D197" i="37"/>
  <c r="D198" i="37"/>
  <c r="D199" i="37"/>
  <c r="D200" i="37"/>
  <c r="D201" i="37"/>
  <c r="D202" i="37"/>
  <c r="D203" i="37"/>
  <c r="D204" i="37"/>
  <c r="D205" i="37"/>
  <c r="D206" i="37"/>
  <c r="D207" i="37"/>
  <c r="D208" i="37"/>
  <c r="D209" i="37"/>
  <c r="D210" i="37"/>
  <c r="D211" i="37"/>
  <c r="D212" i="37"/>
  <c r="D213" i="37"/>
  <c r="D214" i="37"/>
  <c r="D215" i="37"/>
  <c r="D216" i="37"/>
  <c r="D217" i="37"/>
  <c r="D218" i="37"/>
  <c r="D219" i="37"/>
  <c r="D220" i="37"/>
  <c r="D221" i="37"/>
  <c r="D222" i="37"/>
  <c r="D223" i="37"/>
  <c r="D224" i="37"/>
  <c r="D225" i="37"/>
  <c r="D226" i="37"/>
  <c r="D227" i="37"/>
  <c r="D228" i="37"/>
  <c r="D229" i="37"/>
  <c r="D230" i="37"/>
  <c r="D231" i="37"/>
  <c r="D232" i="37"/>
  <c r="D233" i="37"/>
  <c r="D234" i="37"/>
  <c r="D235" i="37"/>
  <c r="D236" i="37"/>
  <c r="D237" i="37"/>
  <c r="D238" i="37"/>
  <c r="D239" i="37"/>
  <c r="D240" i="37"/>
  <c r="D241" i="37"/>
  <c r="D242" i="37"/>
  <c r="D243" i="37"/>
  <c r="D244" i="37"/>
  <c r="D245" i="37"/>
  <c r="D246" i="37"/>
  <c r="D247" i="37"/>
  <c r="D248" i="37"/>
  <c r="D249" i="37"/>
  <c r="D250" i="37"/>
  <c r="D251" i="37"/>
  <c r="D252" i="37"/>
  <c r="D253" i="37"/>
  <c r="D254" i="37"/>
  <c r="D255" i="37"/>
  <c r="D256" i="37"/>
  <c r="D257" i="37"/>
  <c r="D258" i="37"/>
  <c r="D259" i="37"/>
  <c r="D260" i="37"/>
  <c r="D261" i="37"/>
  <c r="D262" i="37"/>
  <c r="D263" i="37"/>
  <c r="D264" i="37"/>
  <c r="D265" i="37"/>
  <c r="D266" i="37"/>
  <c r="D267" i="37"/>
  <c r="D268" i="37"/>
  <c r="D269" i="37"/>
  <c r="D270" i="37"/>
  <c r="D271" i="37"/>
  <c r="D272" i="37"/>
  <c r="D273" i="37"/>
  <c r="D274" i="37"/>
  <c r="D275" i="37"/>
  <c r="D276" i="37"/>
  <c r="D277" i="37"/>
  <c r="D278" i="37"/>
  <c r="D279" i="37"/>
  <c r="D280" i="37"/>
  <c r="D281" i="37"/>
  <c r="D282" i="37"/>
  <c r="D283" i="37"/>
  <c r="D284" i="37"/>
  <c r="D285" i="37"/>
  <c r="D286" i="37"/>
  <c r="D287" i="37"/>
  <c r="D288" i="37"/>
  <c r="D289" i="37"/>
  <c r="D290" i="37"/>
  <c r="D291" i="37"/>
  <c r="D292" i="37"/>
  <c r="D293" i="37"/>
  <c r="D294" i="37"/>
  <c r="D295" i="37"/>
  <c r="D296" i="37"/>
  <c r="D297" i="37"/>
  <c r="D298" i="37"/>
  <c r="D299" i="37"/>
  <c r="D300" i="37"/>
  <c r="D301" i="37"/>
  <c r="D302" i="37"/>
  <c r="D303" i="37"/>
  <c r="D304" i="37"/>
  <c r="D305" i="37"/>
  <c r="D306" i="37"/>
  <c r="D307" i="37"/>
  <c r="D308" i="37"/>
  <c r="D309" i="37"/>
  <c r="D310" i="37"/>
  <c r="D311" i="37"/>
  <c r="D312" i="37"/>
  <c r="D313" i="37"/>
  <c r="D314" i="37"/>
  <c r="D315" i="37"/>
  <c r="D316" i="37"/>
  <c r="D4" i="37"/>
  <c r="Y1" i="38" a="1"/>
  <c r="Y1" i="38" s="1"/>
  <c r="Y1" i="39" a="1"/>
  <c r="Y1" i="39" s="1"/>
  <c r="B4" i="12" a="1"/>
  <c r="B4" i="12" s="1"/>
  <c r="D3" i="37" l="1"/>
  <c r="F3" i="37" a="1"/>
  <c r="F3" i="37" s="1"/>
  <c r="F1" i="37" s="1"/>
  <c r="E5" i="39"/>
  <c r="G5" i="39" s="1"/>
  <c r="E6" i="39"/>
  <c r="G6" i="39" s="1"/>
  <c r="E7" i="39"/>
  <c r="G7" i="39" s="1"/>
  <c r="E8" i="39"/>
  <c r="G8" i="39" s="1"/>
  <c r="E9" i="39"/>
  <c r="G9" i="39" s="1"/>
  <c r="E10" i="39"/>
  <c r="G10" i="39" s="1"/>
  <c r="E11" i="39"/>
  <c r="G11" i="39" s="1"/>
  <c r="E12" i="39"/>
  <c r="G12" i="39" s="1"/>
  <c r="E13" i="39"/>
  <c r="G13" i="39" s="1"/>
  <c r="E14" i="39"/>
  <c r="G14" i="39" s="1"/>
  <c r="E15" i="39"/>
  <c r="G15" i="39" s="1"/>
  <c r="E16" i="39"/>
  <c r="G16" i="39" s="1"/>
  <c r="E17" i="39"/>
  <c r="G17" i="39" s="1"/>
  <c r="E18" i="39"/>
  <c r="G18" i="39" s="1"/>
  <c r="E19" i="39"/>
  <c r="G19" i="39" s="1"/>
  <c r="E20" i="39"/>
  <c r="G20" i="39" s="1"/>
  <c r="E21" i="39"/>
  <c r="G21" i="39" s="1"/>
  <c r="E22" i="39"/>
  <c r="G22" i="39" s="1"/>
  <c r="E23" i="39"/>
  <c r="G23" i="39" s="1"/>
  <c r="E24" i="39"/>
  <c r="G24" i="39" s="1"/>
  <c r="E25" i="39"/>
  <c r="G25" i="39" s="1"/>
  <c r="E26" i="39"/>
  <c r="G26" i="39" s="1"/>
  <c r="E27" i="39"/>
  <c r="G27" i="39" s="1"/>
  <c r="E28" i="39"/>
  <c r="G28" i="39" s="1"/>
  <c r="E29" i="39"/>
  <c r="G29" i="39" s="1"/>
  <c r="E30" i="39"/>
  <c r="G30" i="39" s="1"/>
  <c r="E31" i="39"/>
  <c r="G31" i="39" s="1"/>
  <c r="E32" i="39"/>
  <c r="G32" i="39" s="1"/>
  <c r="E33" i="39"/>
  <c r="G33" i="39" s="1"/>
  <c r="E34" i="39"/>
  <c r="G34" i="39" s="1"/>
  <c r="E35" i="39"/>
  <c r="G35" i="39" s="1"/>
  <c r="E36" i="39"/>
  <c r="G36" i="39" s="1"/>
  <c r="E37" i="39"/>
  <c r="G37" i="39" s="1"/>
  <c r="E38" i="39"/>
  <c r="G38" i="39" s="1"/>
  <c r="E39" i="39"/>
  <c r="G39" i="39" s="1"/>
  <c r="E40" i="39"/>
  <c r="G40" i="39" s="1"/>
  <c r="E41" i="39"/>
  <c r="G41" i="39" s="1"/>
  <c r="E42" i="39"/>
  <c r="G42" i="39" s="1"/>
  <c r="E43" i="39"/>
  <c r="G43" i="39" s="1"/>
  <c r="E44" i="39"/>
  <c r="G44" i="39" s="1"/>
  <c r="E45" i="39"/>
  <c r="G45" i="39" s="1"/>
  <c r="E46" i="39"/>
  <c r="G46" i="39" s="1"/>
  <c r="E47" i="39"/>
  <c r="G47" i="39" s="1"/>
  <c r="E48" i="39"/>
  <c r="G48" i="39" s="1"/>
  <c r="E49" i="39"/>
  <c r="G49" i="39" s="1"/>
  <c r="E50" i="39"/>
  <c r="G50" i="39" s="1"/>
  <c r="E51" i="39"/>
  <c r="G51" i="39" s="1"/>
  <c r="E52" i="39"/>
  <c r="G52" i="39" s="1"/>
  <c r="E53" i="39"/>
  <c r="G53" i="39" s="1"/>
  <c r="E54" i="39"/>
  <c r="G54" i="39" s="1"/>
  <c r="E55" i="39"/>
  <c r="G55" i="39" s="1"/>
  <c r="E56" i="39"/>
  <c r="G56" i="39" s="1"/>
  <c r="E57" i="39"/>
  <c r="G57" i="39" s="1"/>
  <c r="E58" i="39"/>
  <c r="G58" i="39" s="1"/>
  <c r="E59" i="39"/>
  <c r="G59" i="39" s="1"/>
  <c r="E60" i="39"/>
  <c r="G60" i="39" s="1"/>
  <c r="E61" i="39"/>
  <c r="G61" i="39" s="1"/>
  <c r="E62" i="39"/>
  <c r="G62" i="39" s="1"/>
  <c r="E63" i="39"/>
  <c r="G63" i="39" s="1"/>
  <c r="E64" i="39"/>
  <c r="G64" i="39" s="1"/>
  <c r="E65" i="39"/>
  <c r="G65" i="39" s="1"/>
  <c r="E66" i="39"/>
  <c r="G66" i="39" s="1"/>
  <c r="E67" i="39"/>
  <c r="G67" i="39" s="1"/>
  <c r="E68" i="39"/>
  <c r="G68" i="39" s="1"/>
  <c r="E69" i="39"/>
  <c r="G69" i="39" s="1"/>
  <c r="E70" i="39"/>
  <c r="G70" i="39" s="1"/>
  <c r="E71" i="39"/>
  <c r="G71" i="39" s="1"/>
  <c r="E72" i="39"/>
  <c r="G72" i="39" s="1"/>
  <c r="E73" i="39"/>
  <c r="G73" i="39" s="1"/>
  <c r="E74" i="39"/>
  <c r="G74" i="39" s="1"/>
  <c r="E75" i="39"/>
  <c r="G75" i="39" s="1"/>
  <c r="E76" i="39"/>
  <c r="G76" i="39" s="1"/>
  <c r="E77" i="39"/>
  <c r="G77" i="39" s="1"/>
  <c r="E78" i="39"/>
  <c r="G78" i="39" s="1"/>
  <c r="E79" i="39"/>
  <c r="G79" i="39" s="1"/>
  <c r="E80" i="39"/>
  <c r="G80" i="39" s="1"/>
  <c r="E81" i="39"/>
  <c r="G81" i="39" s="1"/>
  <c r="E82" i="39"/>
  <c r="G82" i="39" s="1"/>
  <c r="E83" i="39"/>
  <c r="G83" i="39" s="1"/>
  <c r="E84" i="39"/>
  <c r="G84" i="39" s="1"/>
  <c r="E85" i="39"/>
  <c r="G85" i="39" s="1"/>
  <c r="E86" i="39"/>
  <c r="G86" i="39" s="1"/>
  <c r="E87" i="39"/>
  <c r="G87" i="39" s="1"/>
  <c r="E88" i="39"/>
  <c r="G88" i="39" s="1"/>
  <c r="E89" i="39"/>
  <c r="G89" i="39" s="1"/>
  <c r="E90" i="39"/>
  <c r="G90" i="39" s="1"/>
  <c r="E91" i="39"/>
  <c r="G91" i="39" s="1"/>
  <c r="E92" i="39"/>
  <c r="G92" i="39" s="1"/>
  <c r="E93" i="39"/>
  <c r="G93" i="39" s="1"/>
  <c r="E94" i="39"/>
  <c r="G94" i="39" s="1"/>
  <c r="E95" i="39"/>
  <c r="G95" i="39" s="1"/>
  <c r="E96" i="39"/>
  <c r="G96" i="39" s="1"/>
  <c r="E97" i="39"/>
  <c r="G97" i="39" s="1"/>
  <c r="E98" i="39"/>
  <c r="G98" i="39" s="1"/>
  <c r="E99" i="39"/>
  <c r="G99" i="39" s="1"/>
  <c r="E100" i="39"/>
  <c r="G100" i="39" s="1"/>
  <c r="E101" i="39"/>
  <c r="G101" i="39" s="1"/>
  <c r="E102" i="39"/>
  <c r="G102" i="39" s="1"/>
  <c r="E103" i="39"/>
  <c r="G103" i="39" s="1"/>
  <c r="E104" i="39"/>
  <c r="G104" i="39" s="1"/>
  <c r="E105" i="39"/>
  <c r="G105" i="39" s="1"/>
  <c r="E106" i="39"/>
  <c r="G106" i="39" s="1"/>
  <c r="E107" i="39"/>
  <c r="G107" i="39" s="1"/>
  <c r="E108" i="39"/>
  <c r="G108" i="39" s="1"/>
  <c r="E109" i="39"/>
  <c r="G109" i="39" s="1"/>
  <c r="E110" i="39"/>
  <c r="G110" i="39" s="1"/>
  <c r="E111" i="39"/>
  <c r="G111" i="39" s="1"/>
  <c r="E112" i="39"/>
  <c r="G112" i="39" s="1"/>
  <c r="E113" i="39"/>
  <c r="G113" i="39" s="1"/>
  <c r="E114" i="39"/>
  <c r="G114" i="39" s="1"/>
  <c r="E115" i="39"/>
  <c r="G115" i="39" s="1"/>
  <c r="E116" i="39"/>
  <c r="G116" i="39" s="1"/>
  <c r="E117" i="39"/>
  <c r="G117" i="39" s="1"/>
  <c r="E118" i="39"/>
  <c r="G118" i="39" s="1"/>
  <c r="E119" i="39"/>
  <c r="G119" i="39" s="1"/>
  <c r="E120" i="39"/>
  <c r="G120" i="39" s="1"/>
  <c r="E121" i="39"/>
  <c r="G121" i="39" s="1"/>
  <c r="E122" i="39"/>
  <c r="G122" i="39" s="1"/>
  <c r="E123" i="39"/>
  <c r="G123" i="39" s="1"/>
  <c r="E124" i="39"/>
  <c r="G124" i="39" s="1"/>
  <c r="E125" i="39"/>
  <c r="G125" i="39" s="1"/>
  <c r="E126" i="39"/>
  <c r="G126" i="39" s="1"/>
  <c r="E127" i="39"/>
  <c r="G127" i="39" s="1"/>
  <c r="E128" i="39"/>
  <c r="G128" i="39" s="1"/>
  <c r="E129" i="39"/>
  <c r="G129" i="39" s="1"/>
  <c r="E130" i="39"/>
  <c r="G130" i="39" s="1"/>
  <c r="E131" i="39"/>
  <c r="G131" i="39" s="1"/>
  <c r="E132" i="39"/>
  <c r="G132" i="39" s="1"/>
  <c r="E133" i="39"/>
  <c r="G133" i="39" s="1"/>
  <c r="E134" i="39"/>
  <c r="G134" i="39" s="1"/>
  <c r="E135" i="39"/>
  <c r="G135" i="39" s="1"/>
  <c r="E136" i="39"/>
  <c r="G136" i="39" s="1"/>
  <c r="E137" i="39"/>
  <c r="G137" i="39" s="1"/>
  <c r="E138" i="39"/>
  <c r="G138" i="39" s="1"/>
  <c r="E139" i="39"/>
  <c r="G139" i="39" s="1"/>
  <c r="E140" i="39"/>
  <c r="G140" i="39" s="1"/>
  <c r="E141" i="39"/>
  <c r="G141" i="39" s="1"/>
  <c r="E142" i="39"/>
  <c r="G142" i="39" s="1"/>
  <c r="E143" i="39"/>
  <c r="G143" i="39" s="1"/>
  <c r="E144" i="39"/>
  <c r="G144" i="39" s="1"/>
  <c r="E145" i="39"/>
  <c r="G145" i="39" s="1"/>
  <c r="E146" i="39"/>
  <c r="G146" i="39" s="1"/>
  <c r="E147" i="39"/>
  <c r="G147" i="39" s="1"/>
  <c r="E148" i="39"/>
  <c r="G148" i="39" s="1"/>
  <c r="E149" i="39"/>
  <c r="G149" i="39" s="1"/>
  <c r="E150" i="39"/>
  <c r="G150" i="39" s="1"/>
  <c r="E151" i="39"/>
  <c r="G151" i="39" s="1"/>
  <c r="E152" i="39"/>
  <c r="G152" i="39" s="1"/>
  <c r="E153" i="39"/>
  <c r="G153" i="39" s="1"/>
  <c r="E154" i="39"/>
  <c r="G154" i="39" s="1"/>
  <c r="E155" i="39"/>
  <c r="G155" i="39" s="1"/>
  <c r="E156" i="39"/>
  <c r="G156" i="39" s="1"/>
  <c r="E157" i="39"/>
  <c r="G157" i="39" s="1"/>
  <c r="E158" i="39"/>
  <c r="G158" i="39" s="1"/>
  <c r="E159" i="39"/>
  <c r="G159" i="39" s="1"/>
  <c r="E160" i="39"/>
  <c r="G160" i="39" s="1"/>
  <c r="E161" i="39"/>
  <c r="G161" i="39" s="1"/>
  <c r="E162" i="39"/>
  <c r="G162" i="39" s="1"/>
  <c r="E163" i="39"/>
  <c r="G163" i="39" s="1"/>
  <c r="E164" i="39"/>
  <c r="G164" i="39" s="1"/>
  <c r="E165" i="39"/>
  <c r="G165" i="39" s="1"/>
  <c r="E166" i="39"/>
  <c r="G166" i="39" s="1"/>
  <c r="E167" i="39"/>
  <c r="G167" i="39" s="1"/>
  <c r="E168" i="39"/>
  <c r="G168" i="39" s="1"/>
  <c r="E169" i="39"/>
  <c r="G169" i="39" s="1"/>
  <c r="E170" i="39"/>
  <c r="G170" i="39" s="1"/>
  <c r="E171" i="39"/>
  <c r="G171" i="39" s="1"/>
  <c r="E172" i="39"/>
  <c r="G172" i="39" s="1"/>
  <c r="E173" i="39"/>
  <c r="G173" i="39" s="1"/>
  <c r="E174" i="39"/>
  <c r="G174" i="39" s="1"/>
  <c r="E175" i="39"/>
  <c r="G175" i="39" s="1"/>
  <c r="E176" i="39"/>
  <c r="G176" i="39" s="1"/>
  <c r="E177" i="39"/>
  <c r="G177" i="39" s="1"/>
  <c r="E178" i="39"/>
  <c r="G178" i="39" s="1"/>
  <c r="E179" i="39"/>
  <c r="G179" i="39" s="1"/>
  <c r="E180" i="39"/>
  <c r="G180" i="39" s="1"/>
  <c r="E181" i="39"/>
  <c r="G181" i="39" s="1"/>
  <c r="E182" i="39"/>
  <c r="G182" i="39" s="1"/>
  <c r="E183" i="39"/>
  <c r="G183" i="39" s="1"/>
  <c r="E184" i="39"/>
  <c r="G184" i="39" s="1"/>
  <c r="E185" i="39"/>
  <c r="G185" i="39" s="1"/>
  <c r="E186" i="39"/>
  <c r="G186" i="39" s="1"/>
  <c r="E187" i="39"/>
  <c r="G187" i="39" s="1"/>
  <c r="E188" i="39"/>
  <c r="G188" i="39" s="1"/>
  <c r="E189" i="39"/>
  <c r="G189" i="39" s="1"/>
  <c r="E190" i="39"/>
  <c r="G190" i="39" s="1"/>
  <c r="E191" i="39"/>
  <c r="G191" i="39" s="1"/>
  <c r="E192" i="39"/>
  <c r="G192" i="39" s="1"/>
  <c r="E193" i="39"/>
  <c r="G193" i="39" s="1"/>
  <c r="E194" i="39"/>
  <c r="G194" i="39" s="1"/>
  <c r="E195" i="39"/>
  <c r="G195" i="39" s="1"/>
  <c r="E196" i="39"/>
  <c r="G196" i="39" s="1"/>
  <c r="E197" i="39"/>
  <c r="G197" i="39" s="1"/>
  <c r="E198" i="39"/>
  <c r="G198" i="39" s="1"/>
  <c r="E199" i="39"/>
  <c r="G199" i="39" s="1"/>
  <c r="E200" i="39"/>
  <c r="G200" i="39" s="1"/>
  <c r="E201" i="39"/>
  <c r="G201" i="39" s="1"/>
  <c r="E202" i="39"/>
  <c r="G202" i="39" s="1"/>
  <c r="E203" i="39"/>
  <c r="G203" i="39" s="1"/>
  <c r="E204" i="39"/>
  <c r="G204" i="39" s="1"/>
  <c r="E205" i="39"/>
  <c r="G205" i="39" s="1"/>
  <c r="E206" i="39"/>
  <c r="G206" i="39" s="1"/>
  <c r="E207" i="39"/>
  <c r="G207" i="39" s="1"/>
  <c r="E208" i="39"/>
  <c r="G208" i="39" s="1"/>
  <c r="E209" i="39"/>
  <c r="G209" i="39" s="1"/>
  <c r="E210" i="39"/>
  <c r="G210" i="39" s="1"/>
  <c r="E211" i="39"/>
  <c r="G211" i="39" s="1"/>
  <c r="E212" i="39"/>
  <c r="G212" i="39" s="1"/>
  <c r="E213" i="39"/>
  <c r="G213" i="39" s="1"/>
  <c r="E214" i="39"/>
  <c r="G214" i="39" s="1"/>
  <c r="E215" i="39"/>
  <c r="G215" i="39" s="1"/>
  <c r="E216" i="39"/>
  <c r="G216" i="39" s="1"/>
  <c r="E217" i="39"/>
  <c r="G217" i="39" s="1"/>
  <c r="E218" i="39"/>
  <c r="G218" i="39" s="1"/>
  <c r="E219" i="39"/>
  <c r="G219" i="39" s="1"/>
  <c r="E220" i="39"/>
  <c r="G220" i="39" s="1"/>
  <c r="E221" i="39"/>
  <c r="G221" i="39" s="1"/>
  <c r="E222" i="39"/>
  <c r="G222" i="39" s="1"/>
  <c r="E223" i="39"/>
  <c r="G223" i="39" s="1"/>
  <c r="E224" i="39"/>
  <c r="G224" i="39" s="1"/>
  <c r="E225" i="39"/>
  <c r="G225" i="39" s="1"/>
  <c r="E226" i="39"/>
  <c r="G226" i="39" s="1"/>
  <c r="E227" i="39"/>
  <c r="G227" i="39" s="1"/>
  <c r="E228" i="39"/>
  <c r="G228" i="39" s="1"/>
  <c r="E229" i="39"/>
  <c r="G229" i="39" s="1"/>
  <c r="E230" i="39"/>
  <c r="G230" i="39" s="1"/>
  <c r="E231" i="39"/>
  <c r="G231" i="39" s="1"/>
  <c r="E232" i="39"/>
  <c r="G232" i="39" s="1"/>
  <c r="E233" i="39"/>
  <c r="G233" i="39" s="1"/>
  <c r="E234" i="39"/>
  <c r="G234" i="39" s="1"/>
  <c r="E235" i="39"/>
  <c r="G235" i="39" s="1"/>
  <c r="E236" i="39"/>
  <c r="G236" i="39" s="1"/>
  <c r="E237" i="39"/>
  <c r="G237" i="39" s="1"/>
  <c r="E238" i="39"/>
  <c r="G238" i="39" s="1"/>
  <c r="E239" i="39"/>
  <c r="G239" i="39" s="1"/>
  <c r="E240" i="39"/>
  <c r="G240" i="39" s="1"/>
  <c r="E241" i="39"/>
  <c r="G241" i="39" s="1"/>
  <c r="E242" i="39"/>
  <c r="G242" i="39" s="1"/>
  <c r="E243" i="39"/>
  <c r="G243" i="39" s="1"/>
  <c r="E244" i="39"/>
  <c r="G244" i="39" s="1"/>
  <c r="E245" i="39"/>
  <c r="G245" i="39" s="1"/>
  <c r="E246" i="39"/>
  <c r="G246" i="39" s="1"/>
  <c r="E247" i="39"/>
  <c r="G247" i="39" s="1"/>
  <c r="E248" i="39"/>
  <c r="G248" i="39" s="1"/>
  <c r="E249" i="39"/>
  <c r="G249" i="39" s="1"/>
  <c r="E250" i="39"/>
  <c r="G250" i="39" s="1"/>
  <c r="E251" i="39"/>
  <c r="G251" i="39" s="1"/>
  <c r="E252" i="39"/>
  <c r="G252" i="39" s="1"/>
  <c r="E253" i="39"/>
  <c r="G253" i="39" s="1"/>
  <c r="E254" i="39"/>
  <c r="G254" i="39" s="1"/>
  <c r="E255" i="39"/>
  <c r="G255" i="39" s="1"/>
  <c r="E256" i="39"/>
  <c r="G256" i="39" s="1"/>
  <c r="E257" i="39"/>
  <c r="G257" i="39" s="1"/>
  <c r="E258" i="39"/>
  <c r="G258" i="39" s="1"/>
  <c r="E259" i="39"/>
  <c r="G259" i="39" s="1"/>
  <c r="E260" i="39"/>
  <c r="G260" i="39" s="1"/>
  <c r="E261" i="39"/>
  <c r="G261" i="39" s="1"/>
  <c r="E262" i="39"/>
  <c r="G262" i="39" s="1"/>
  <c r="E263" i="39"/>
  <c r="G263" i="39" s="1"/>
  <c r="E264" i="39"/>
  <c r="G264" i="39" s="1"/>
  <c r="E265" i="39"/>
  <c r="G265" i="39" s="1"/>
  <c r="E266" i="39"/>
  <c r="G266" i="39" s="1"/>
  <c r="E267" i="39"/>
  <c r="G267" i="39" s="1"/>
  <c r="E268" i="39"/>
  <c r="G268" i="39" s="1"/>
  <c r="E269" i="39"/>
  <c r="G269" i="39" s="1"/>
  <c r="E270" i="39"/>
  <c r="G270" i="39" s="1"/>
  <c r="E271" i="39"/>
  <c r="G271" i="39" s="1"/>
  <c r="E272" i="39"/>
  <c r="G272" i="39" s="1"/>
  <c r="E273" i="39"/>
  <c r="G273" i="39" s="1"/>
  <c r="E274" i="39"/>
  <c r="G274" i="39" s="1"/>
  <c r="E275" i="39"/>
  <c r="G275" i="39" s="1"/>
  <c r="E276" i="39"/>
  <c r="G276" i="39" s="1"/>
  <c r="E277" i="39"/>
  <c r="G277" i="39" s="1"/>
  <c r="E278" i="39"/>
  <c r="G278" i="39" s="1"/>
  <c r="E279" i="39"/>
  <c r="G279" i="39" s="1"/>
  <c r="E280" i="39"/>
  <c r="G280" i="39" s="1"/>
  <c r="E281" i="39"/>
  <c r="G281" i="39" s="1"/>
  <c r="E282" i="39"/>
  <c r="G282" i="39" s="1"/>
  <c r="E283" i="39"/>
  <c r="G283" i="39" s="1"/>
  <c r="E284" i="39"/>
  <c r="G284" i="39" s="1"/>
  <c r="E285" i="39"/>
  <c r="G285" i="39" s="1"/>
  <c r="E286" i="39"/>
  <c r="G286" i="39" s="1"/>
  <c r="E287" i="39"/>
  <c r="G287" i="39" s="1"/>
  <c r="E288" i="39"/>
  <c r="G288" i="39" s="1"/>
  <c r="E289" i="39"/>
  <c r="G289" i="39" s="1"/>
  <c r="E290" i="39"/>
  <c r="G290" i="39" s="1"/>
  <c r="E291" i="39"/>
  <c r="G291" i="39" s="1"/>
  <c r="E292" i="39"/>
  <c r="G292" i="39" s="1"/>
  <c r="E293" i="39"/>
  <c r="G293" i="39" s="1"/>
  <c r="E294" i="39"/>
  <c r="G294" i="39" s="1"/>
  <c r="E295" i="39"/>
  <c r="G295" i="39" s="1"/>
  <c r="E296" i="39"/>
  <c r="G296" i="39" s="1"/>
  <c r="E297" i="39"/>
  <c r="G297" i="39" s="1"/>
  <c r="E298" i="39"/>
  <c r="G298" i="39" s="1"/>
  <c r="E299" i="39"/>
  <c r="G299" i="39" s="1"/>
  <c r="E300" i="39"/>
  <c r="G300" i="39" s="1"/>
  <c r="E301" i="39"/>
  <c r="G301" i="39" s="1"/>
  <c r="E302" i="39"/>
  <c r="G302" i="39" s="1"/>
  <c r="E303" i="39"/>
  <c r="G303" i="39" s="1"/>
  <c r="E304" i="39"/>
  <c r="G304" i="39" s="1"/>
  <c r="E305" i="39"/>
  <c r="G305" i="39" s="1"/>
  <c r="E306" i="39"/>
  <c r="G306" i="39" s="1"/>
  <c r="E307" i="39"/>
  <c r="G307" i="39" s="1"/>
  <c r="E308" i="39"/>
  <c r="G308" i="39" s="1"/>
  <c r="E309" i="39"/>
  <c r="G309" i="39" s="1"/>
  <c r="E310" i="39"/>
  <c r="G310" i="39" s="1"/>
  <c r="E311" i="39"/>
  <c r="G311" i="39" s="1"/>
  <c r="E312" i="39"/>
  <c r="G312" i="39" s="1"/>
  <c r="E313" i="39"/>
  <c r="G313" i="39" s="1"/>
  <c r="E314" i="39"/>
  <c r="G314" i="39" s="1"/>
  <c r="E315" i="39"/>
  <c r="G315" i="39" s="1"/>
  <c r="E316" i="39"/>
  <c r="G316" i="39" s="1"/>
  <c r="E4" i="39"/>
  <c r="G4" i="39" s="1"/>
  <c r="E5" i="36"/>
  <c r="G5" i="36" s="1"/>
  <c r="E6" i="36"/>
  <c r="G6" i="36" s="1"/>
  <c r="E7" i="36"/>
  <c r="G7" i="36" s="1"/>
  <c r="E8" i="36"/>
  <c r="G8" i="36" s="1"/>
  <c r="E9" i="36"/>
  <c r="G9" i="36" s="1"/>
  <c r="E10" i="36"/>
  <c r="G10" i="36" s="1"/>
  <c r="E11" i="36"/>
  <c r="G11" i="36" s="1"/>
  <c r="E12" i="36"/>
  <c r="G12" i="36" s="1"/>
  <c r="E13" i="36"/>
  <c r="G13" i="36" s="1"/>
  <c r="E14" i="36"/>
  <c r="G14" i="36" s="1"/>
  <c r="E15" i="36"/>
  <c r="G15" i="36" s="1"/>
  <c r="E16" i="36"/>
  <c r="G16" i="36" s="1"/>
  <c r="E17" i="36"/>
  <c r="G17" i="36" s="1"/>
  <c r="E18" i="36"/>
  <c r="G18" i="36" s="1"/>
  <c r="E19" i="36"/>
  <c r="G19" i="36" s="1"/>
  <c r="E20" i="36"/>
  <c r="G20" i="36" s="1"/>
  <c r="E21" i="36"/>
  <c r="G21" i="36" s="1"/>
  <c r="E22" i="36"/>
  <c r="G22" i="36" s="1"/>
  <c r="E23" i="36"/>
  <c r="G23" i="36" s="1"/>
  <c r="E24" i="36"/>
  <c r="G24" i="36" s="1"/>
  <c r="E25" i="36"/>
  <c r="G25" i="36" s="1"/>
  <c r="E26" i="36"/>
  <c r="G26" i="36" s="1"/>
  <c r="E27" i="36"/>
  <c r="G27" i="36" s="1"/>
  <c r="E28" i="36"/>
  <c r="G28" i="36" s="1"/>
  <c r="E29" i="36"/>
  <c r="G29" i="36" s="1"/>
  <c r="E30" i="36"/>
  <c r="G30" i="36" s="1"/>
  <c r="E31" i="36"/>
  <c r="G31" i="36" s="1"/>
  <c r="E32" i="36"/>
  <c r="G32" i="36" s="1"/>
  <c r="E33" i="36"/>
  <c r="G33" i="36" s="1"/>
  <c r="E34" i="36"/>
  <c r="G34" i="36" s="1"/>
  <c r="E35" i="36"/>
  <c r="G35" i="36" s="1"/>
  <c r="E36" i="36"/>
  <c r="G36" i="36" s="1"/>
  <c r="E37" i="36"/>
  <c r="G37" i="36" s="1"/>
  <c r="E38" i="36"/>
  <c r="G38" i="36" s="1"/>
  <c r="E39" i="36"/>
  <c r="G39" i="36" s="1"/>
  <c r="E40" i="36"/>
  <c r="G40" i="36" s="1"/>
  <c r="E41" i="36"/>
  <c r="G41" i="36" s="1"/>
  <c r="E42" i="36"/>
  <c r="G42" i="36" s="1"/>
  <c r="E43" i="36"/>
  <c r="G43" i="36" s="1"/>
  <c r="E44" i="36"/>
  <c r="G44" i="36" s="1"/>
  <c r="E45" i="36"/>
  <c r="G45" i="36" s="1"/>
  <c r="E46" i="36"/>
  <c r="G46" i="36" s="1"/>
  <c r="E47" i="36"/>
  <c r="G47" i="36" s="1"/>
  <c r="E48" i="36"/>
  <c r="G48" i="36" s="1"/>
  <c r="E49" i="36"/>
  <c r="G49" i="36" s="1"/>
  <c r="E50" i="36"/>
  <c r="G50" i="36" s="1"/>
  <c r="E51" i="36"/>
  <c r="G51" i="36" s="1"/>
  <c r="E52" i="36"/>
  <c r="G52" i="36" s="1"/>
  <c r="E53" i="36"/>
  <c r="G53" i="36" s="1"/>
  <c r="E54" i="36"/>
  <c r="G54" i="36" s="1"/>
  <c r="E55" i="36"/>
  <c r="G55" i="36" s="1"/>
  <c r="E56" i="36"/>
  <c r="G56" i="36" s="1"/>
  <c r="E57" i="36"/>
  <c r="G57" i="36" s="1"/>
  <c r="E58" i="36"/>
  <c r="G58" i="36" s="1"/>
  <c r="E59" i="36"/>
  <c r="G59" i="36" s="1"/>
  <c r="E60" i="36"/>
  <c r="G60" i="36" s="1"/>
  <c r="E61" i="36"/>
  <c r="G61" i="36" s="1"/>
  <c r="E62" i="36"/>
  <c r="G62" i="36" s="1"/>
  <c r="E63" i="36"/>
  <c r="G63" i="36" s="1"/>
  <c r="E64" i="36"/>
  <c r="G64" i="36" s="1"/>
  <c r="E65" i="36"/>
  <c r="G65" i="36" s="1"/>
  <c r="E66" i="36"/>
  <c r="G66" i="36" s="1"/>
  <c r="E67" i="36"/>
  <c r="G67" i="36" s="1"/>
  <c r="E68" i="36"/>
  <c r="G68" i="36" s="1"/>
  <c r="E69" i="36"/>
  <c r="G69" i="36" s="1"/>
  <c r="E70" i="36"/>
  <c r="G70" i="36" s="1"/>
  <c r="E71" i="36"/>
  <c r="G71" i="36" s="1"/>
  <c r="E72" i="36"/>
  <c r="G72" i="36" s="1"/>
  <c r="E73" i="36"/>
  <c r="G73" i="36" s="1"/>
  <c r="E74" i="36"/>
  <c r="G74" i="36" s="1"/>
  <c r="E75" i="36"/>
  <c r="G75" i="36" s="1"/>
  <c r="E76" i="36"/>
  <c r="G76" i="36" s="1"/>
  <c r="E77" i="36"/>
  <c r="G77" i="36" s="1"/>
  <c r="E78" i="36"/>
  <c r="G78" i="36" s="1"/>
  <c r="E79" i="36"/>
  <c r="G79" i="36" s="1"/>
  <c r="E80" i="36"/>
  <c r="G80" i="36" s="1"/>
  <c r="E81" i="36"/>
  <c r="G81" i="36" s="1"/>
  <c r="E82" i="36"/>
  <c r="G82" i="36" s="1"/>
  <c r="E83" i="36"/>
  <c r="G83" i="36" s="1"/>
  <c r="E84" i="36"/>
  <c r="G84" i="36" s="1"/>
  <c r="E85" i="36"/>
  <c r="G85" i="36" s="1"/>
  <c r="E86" i="36"/>
  <c r="G86" i="36" s="1"/>
  <c r="E87" i="36"/>
  <c r="G87" i="36" s="1"/>
  <c r="E88" i="36"/>
  <c r="G88" i="36" s="1"/>
  <c r="E89" i="36"/>
  <c r="G89" i="36" s="1"/>
  <c r="E90" i="36"/>
  <c r="G90" i="36" s="1"/>
  <c r="E91" i="36"/>
  <c r="G91" i="36" s="1"/>
  <c r="E92" i="36"/>
  <c r="G92" i="36" s="1"/>
  <c r="E93" i="36"/>
  <c r="G93" i="36" s="1"/>
  <c r="E94" i="36"/>
  <c r="G94" i="36" s="1"/>
  <c r="E95" i="36"/>
  <c r="G95" i="36" s="1"/>
  <c r="E96" i="36"/>
  <c r="G96" i="36" s="1"/>
  <c r="E97" i="36"/>
  <c r="G97" i="36" s="1"/>
  <c r="E98" i="36"/>
  <c r="G98" i="36" s="1"/>
  <c r="E99" i="36"/>
  <c r="G99" i="36" s="1"/>
  <c r="E100" i="36"/>
  <c r="G100" i="36" s="1"/>
  <c r="E101" i="36"/>
  <c r="G101" i="36" s="1"/>
  <c r="E102" i="36"/>
  <c r="G102" i="36" s="1"/>
  <c r="E103" i="36"/>
  <c r="G103" i="36" s="1"/>
  <c r="E104" i="36"/>
  <c r="G104" i="36" s="1"/>
  <c r="E105" i="36"/>
  <c r="G105" i="36" s="1"/>
  <c r="E106" i="36"/>
  <c r="G106" i="36" s="1"/>
  <c r="E107" i="36"/>
  <c r="G107" i="36" s="1"/>
  <c r="E108" i="36"/>
  <c r="G108" i="36" s="1"/>
  <c r="E109" i="36"/>
  <c r="G109" i="36" s="1"/>
  <c r="E110" i="36"/>
  <c r="G110" i="36" s="1"/>
  <c r="E111" i="36"/>
  <c r="G111" i="36" s="1"/>
  <c r="E112" i="36"/>
  <c r="G112" i="36" s="1"/>
  <c r="E113" i="36"/>
  <c r="G113" i="36" s="1"/>
  <c r="E114" i="36"/>
  <c r="G114" i="36" s="1"/>
  <c r="E115" i="36"/>
  <c r="G115" i="36" s="1"/>
  <c r="E116" i="36"/>
  <c r="G116" i="36" s="1"/>
  <c r="E117" i="36"/>
  <c r="G117" i="36" s="1"/>
  <c r="E118" i="36"/>
  <c r="G118" i="36" s="1"/>
  <c r="E119" i="36"/>
  <c r="G119" i="36" s="1"/>
  <c r="E120" i="36"/>
  <c r="G120" i="36" s="1"/>
  <c r="E121" i="36"/>
  <c r="G121" i="36" s="1"/>
  <c r="E122" i="36"/>
  <c r="G122" i="36" s="1"/>
  <c r="E123" i="36"/>
  <c r="G123" i="36" s="1"/>
  <c r="E124" i="36"/>
  <c r="G124" i="36" s="1"/>
  <c r="E125" i="36"/>
  <c r="G125" i="36" s="1"/>
  <c r="E126" i="36"/>
  <c r="G126" i="36" s="1"/>
  <c r="E127" i="36"/>
  <c r="G127" i="36" s="1"/>
  <c r="E128" i="36"/>
  <c r="G128" i="36" s="1"/>
  <c r="E129" i="36"/>
  <c r="G129" i="36" s="1"/>
  <c r="E130" i="36"/>
  <c r="G130" i="36" s="1"/>
  <c r="E131" i="36"/>
  <c r="G131" i="36" s="1"/>
  <c r="E132" i="36"/>
  <c r="G132" i="36" s="1"/>
  <c r="E133" i="36"/>
  <c r="G133" i="36" s="1"/>
  <c r="E134" i="36"/>
  <c r="G134" i="36" s="1"/>
  <c r="E135" i="36"/>
  <c r="G135" i="36" s="1"/>
  <c r="E136" i="36"/>
  <c r="G136" i="36" s="1"/>
  <c r="E137" i="36"/>
  <c r="G137" i="36" s="1"/>
  <c r="E138" i="36"/>
  <c r="G138" i="36" s="1"/>
  <c r="E139" i="36"/>
  <c r="G139" i="36" s="1"/>
  <c r="E140" i="36"/>
  <c r="G140" i="36" s="1"/>
  <c r="E141" i="36"/>
  <c r="G141" i="36" s="1"/>
  <c r="E142" i="36"/>
  <c r="G142" i="36" s="1"/>
  <c r="E143" i="36"/>
  <c r="G143" i="36" s="1"/>
  <c r="E144" i="36"/>
  <c r="G144" i="36" s="1"/>
  <c r="E145" i="36"/>
  <c r="G145" i="36" s="1"/>
  <c r="E146" i="36"/>
  <c r="G146" i="36" s="1"/>
  <c r="E147" i="36"/>
  <c r="G147" i="36" s="1"/>
  <c r="E148" i="36"/>
  <c r="G148" i="36" s="1"/>
  <c r="E149" i="36"/>
  <c r="G149" i="36" s="1"/>
  <c r="E150" i="36"/>
  <c r="G150" i="36" s="1"/>
  <c r="E151" i="36"/>
  <c r="G151" i="36" s="1"/>
  <c r="E152" i="36"/>
  <c r="G152" i="36" s="1"/>
  <c r="E153" i="36"/>
  <c r="G153" i="36" s="1"/>
  <c r="E154" i="36"/>
  <c r="G154" i="36" s="1"/>
  <c r="E155" i="36"/>
  <c r="G155" i="36" s="1"/>
  <c r="E156" i="36"/>
  <c r="G156" i="36" s="1"/>
  <c r="E157" i="36"/>
  <c r="G157" i="36" s="1"/>
  <c r="E158" i="36"/>
  <c r="G158" i="36" s="1"/>
  <c r="E159" i="36"/>
  <c r="G159" i="36" s="1"/>
  <c r="E160" i="36"/>
  <c r="G160" i="36" s="1"/>
  <c r="E161" i="36"/>
  <c r="G161" i="36" s="1"/>
  <c r="E162" i="36"/>
  <c r="G162" i="36" s="1"/>
  <c r="E163" i="36"/>
  <c r="G163" i="36" s="1"/>
  <c r="E164" i="36"/>
  <c r="G164" i="36" s="1"/>
  <c r="E165" i="36"/>
  <c r="G165" i="36" s="1"/>
  <c r="E166" i="36"/>
  <c r="G166" i="36" s="1"/>
  <c r="E167" i="36"/>
  <c r="G167" i="36" s="1"/>
  <c r="E168" i="36"/>
  <c r="G168" i="36" s="1"/>
  <c r="E169" i="36"/>
  <c r="G169" i="36" s="1"/>
  <c r="E170" i="36"/>
  <c r="G170" i="36" s="1"/>
  <c r="E171" i="36"/>
  <c r="G171" i="36" s="1"/>
  <c r="E172" i="36"/>
  <c r="G172" i="36" s="1"/>
  <c r="E173" i="36"/>
  <c r="G173" i="36" s="1"/>
  <c r="E174" i="36"/>
  <c r="G174" i="36" s="1"/>
  <c r="E175" i="36"/>
  <c r="G175" i="36" s="1"/>
  <c r="E176" i="36"/>
  <c r="G176" i="36" s="1"/>
  <c r="E177" i="36"/>
  <c r="G177" i="36" s="1"/>
  <c r="E178" i="36"/>
  <c r="G178" i="36" s="1"/>
  <c r="E179" i="36"/>
  <c r="G179" i="36" s="1"/>
  <c r="E180" i="36"/>
  <c r="G180" i="36" s="1"/>
  <c r="E181" i="36"/>
  <c r="G181" i="36" s="1"/>
  <c r="E182" i="36"/>
  <c r="G182" i="36" s="1"/>
  <c r="E183" i="36"/>
  <c r="G183" i="36" s="1"/>
  <c r="E184" i="36"/>
  <c r="G184" i="36" s="1"/>
  <c r="E185" i="36"/>
  <c r="G185" i="36" s="1"/>
  <c r="E186" i="36"/>
  <c r="G186" i="36" s="1"/>
  <c r="E187" i="36"/>
  <c r="G187" i="36" s="1"/>
  <c r="E188" i="36"/>
  <c r="G188" i="36" s="1"/>
  <c r="E189" i="36"/>
  <c r="G189" i="36" s="1"/>
  <c r="E190" i="36"/>
  <c r="G190" i="36" s="1"/>
  <c r="E191" i="36"/>
  <c r="G191" i="36" s="1"/>
  <c r="E192" i="36"/>
  <c r="G192" i="36" s="1"/>
  <c r="E193" i="36"/>
  <c r="G193" i="36" s="1"/>
  <c r="E194" i="36"/>
  <c r="G194" i="36" s="1"/>
  <c r="E195" i="36"/>
  <c r="G195" i="36" s="1"/>
  <c r="E196" i="36"/>
  <c r="G196" i="36" s="1"/>
  <c r="E197" i="36"/>
  <c r="G197" i="36" s="1"/>
  <c r="E198" i="36"/>
  <c r="G198" i="36" s="1"/>
  <c r="E199" i="36"/>
  <c r="G199" i="36" s="1"/>
  <c r="E200" i="36"/>
  <c r="G200" i="36" s="1"/>
  <c r="E201" i="36"/>
  <c r="G201" i="36" s="1"/>
  <c r="E202" i="36"/>
  <c r="G202" i="36" s="1"/>
  <c r="E203" i="36"/>
  <c r="G203" i="36" s="1"/>
  <c r="E204" i="36"/>
  <c r="G204" i="36" s="1"/>
  <c r="E205" i="36"/>
  <c r="G205" i="36" s="1"/>
  <c r="E206" i="36"/>
  <c r="G206" i="36" s="1"/>
  <c r="E207" i="36"/>
  <c r="G207" i="36" s="1"/>
  <c r="E208" i="36"/>
  <c r="G208" i="36" s="1"/>
  <c r="E209" i="36"/>
  <c r="G209" i="36" s="1"/>
  <c r="E210" i="36"/>
  <c r="G210" i="36" s="1"/>
  <c r="E211" i="36"/>
  <c r="G211" i="36" s="1"/>
  <c r="E212" i="36"/>
  <c r="G212" i="36" s="1"/>
  <c r="E213" i="36"/>
  <c r="G213" i="36" s="1"/>
  <c r="E214" i="36"/>
  <c r="G214" i="36" s="1"/>
  <c r="E215" i="36"/>
  <c r="G215" i="36" s="1"/>
  <c r="E216" i="36"/>
  <c r="G216" i="36" s="1"/>
  <c r="E217" i="36"/>
  <c r="G217" i="36" s="1"/>
  <c r="E218" i="36"/>
  <c r="G218" i="36" s="1"/>
  <c r="E219" i="36"/>
  <c r="G219" i="36" s="1"/>
  <c r="E220" i="36"/>
  <c r="G220" i="36" s="1"/>
  <c r="E221" i="36"/>
  <c r="G221" i="36" s="1"/>
  <c r="E222" i="36"/>
  <c r="G222" i="36" s="1"/>
  <c r="E223" i="36"/>
  <c r="G223" i="36" s="1"/>
  <c r="E224" i="36"/>
  <c r="G224" i="36" s="1"/>
  <c r="E225" i="36"/>
  <c r="G225" i="36" s="1"/>
  <c r="E226" i="36"/>
  <c r="G226" i="36" s="1"/>
  <c r="E227" i="36"/>
  <c r="G227" i="36" s="1"/>
  <c r="E228" i="36"/>
  <c r="G228" i="36" s="1"/>
  <c r="E229" i="36"/>
  <c r="G229" i="36" s="1"/>
  <c r="E230" i="36"/>
  <c r="G230" i="36" s="1"/>
  <c r="E231" i="36"/>
  <c r="G231" i="36" s="1"/>
  <c r="E232" i="36"/>
  <c r="G232" i="36" s="1"/>
  <c r="E233" i="36"/>
  <c r="G233" i="36" s="1"/>
  <c r="E234" i="36"/>
  <c r="G234" i="36" s="1"/>
  <c r="E235" i="36"/>
  <c r="G235" i="36" s="1"/>
  <c r="E236" i="36"/>
  <c r="G236" i="36" s="1"/>
  <c r="E237" i="36"/>
  <c r="G237" i="36" s="1"/>
  <c r="E238" i="36"/>
  <c r="G238" i="36" s="1"/>
  <c r="E239" i="36"/>
  <c r="G239" i="36" s="1"/>
  <c r="E240" i="36"/>
  <c r="G240" i="36" s="1"/>
  <c r="E241" i="36"/>
  <c r="G241" i="36" s="1"/>
  <c r="E242" i="36"/>
  <c r="G242" i="36" s="1"/>
  <c r="E243" i="36"/>
  <c r="G243" i="36" s="1"/>
  <c r="E244" i="36"/>
  <c r="G244" i="36" s="1"/>
  <c r="E245" i="36"/>
  <c r="G245" i="36" s="1"/>
  <c r="E246" i="36"/>
  <c r="G246" i="36" s="1"/>
  <c r="E247" i="36"/>
  <c r="G247" i="36" s="1"/>
  <c r="E248" i="36"/>
  <c r="G248" i="36" s="1"/>
  <c r="E249" i="36"/>
  <c r="G249" i="36" s="1"/>
  <c r="E250" i="36"/>
  <c r="G250" i="36" s="1"/>
  <c r="E251" i="36"/>
  <c r="G251" i="36" s="1"/>
  <c r="E252" i="36"/>
  <c r="G252" i="36" s="1"/>
  <c r="E253" i="36"/>
  <c r="G253" i="36" s="1"/>
  <c r="E254" i="36"/>
  <c r="G254" i="36" s="1"/>
  <c r="E255" i="36"/>
  <c r="G255" i="36" s="1"/>
  <c r="E256" i="36"/>
  <c r="G256" i="36" s="1"/>
  <c r="E257" i="36"/>
  <c r="G257" i="36" s="1"/>
  <c r="E258" i="36"/>
  <c r="G258" i="36" s="1"/>
  <c r="E259" i="36"/>
  <c r="G259" i="36" s="1"/>
  <c r="E260" i="36"/>
  <c r="G260" i="36" s="1"/>
  <c r="E261" i="36"/>
  <c r="G261" i="36" s="1"/>
  <c r="E262" i="36"/>
  <c r="G262" i="36" s="1"/>
  <c r="E263" i="36"/>
  <c r="G263" i="36" s="1"/>
  <c r="E264" i="36"/>
  <c r="G264" i="36" s="1"/>
  <c r="E265" i="36"/>
  <c r="G265" i="36" s="1"/>
  <c r="E266" i="36"/>
  <c r="G266" i="36" s="1"/>
  <c r="E267" i="36"/>
  <c r="G267" i="36" s="1"/>
  <c r="E268" i="36"/>
  <c r="G268" i="36" s="1"/>
  <c r="E269" i="36"/>
  <c r="G269" i="36" s="1"/>
  <c r="E270" i="36"/>
  <c r="G270" i="36" s="1"/>
  <c r="E271" i="36"/>
  <c r="G271" i="36" s="1"/>
  <c r="E272" i="36"/>
  <c r="G272" i="36" s="1"/>
  <c r="E273" i="36"/>
  <c r="G273" i="36" s="1"/>
  <c r="E274" i="36"/>
  <c r="G274" i="36" s="1"/>
  <c r="E275" i="36"/>
  <c r="G275" i="36" s="1"/>
  <c r="E276" i="36"/>
  <c r="G276" i="36" s="1"/>
  <c r="E277" i="36"/>
  <c r="G277" i="36" s="1"/>
  <c r="E278" i="36"/>
  <c r="G278" i="36" s="1"/>
  <c r="E279" i="36"/>
  <c r="G279" i="36" s="1"/>
  <c r="E280" i="36"/>
  <c r="G280" i="36" s="1"/>
  <c r="E281" i="36"/>
  <c r="G281" i="36" s="1"/>
  <c r="E282" i="36"/>
  <c r="G282" i="36" s="1"/>
  <c r="E283" i="36"/>
  <c r="G283" i="36" s="1"/>
  <c r="E284" i="36"/>
  <c r="G284" i="36" s="1"/>
  <c r="E285" i="36"/>
  <c r="G285" i="36" s="1"/>
  <c r="E286" i="36"/>
  <c r="G286" i="36" s="1"/>
  <c r="E287" i="36"/>
  <c r="G287" i="36" s="1"/>
  <c r="E288" i="36"/>
  <c r="G288" i="36" s="1"/>
  <c r="E289" i="36"/>
  <c r="G289" i="36" s="1"/>
  <c r="E290" i="36"/>
  <c r="G290" i="36" s="1"/>
  <c r="E291" i="36"/>
  <c r="G291" i="36" s="1"/>
  <c r="E292" i="36"/>
  <c r="G292" i="36" s="1"/>
  <c r="E293" i="36"/>
  <c r="G293" i="36" s="1"/>
  <c r="E294" i="36"/>
  <c r="G294" i="36" s="1"/>
  <c r="E295" i="36"/>
  <c r="G295" i="36" s="1"/>
  <c r="E296" i="36"/>
  <c r="G296" i="36" s="1"/>
  <c r="E297" i="36"/>
  <c r="G297" i="36" s="1"/>
  <c r="E298" i="36"/>
  <c r="G298" i="36" s="1"/>
  <c r="E299" i="36"/>
  <c r="G299" i="36" s="1"/>
  <c r="E300" i="36"/>
  <c r="G300" i="36" s="1"/>
  <c r="E301" i="36"/>
  <c r="G301" i="36" s="1"/>
  <c r="E302" i="36"/>
  <c r="G302" i="36" s="1"/>
  <c r="E303" i="36"/>
  <c r="G303" i="36" s="1"/>
  <c r="E304" i="36"/>
  <c r="G304" i="36" s="1"/>
  <c r="E305" i="36"/>
  <c r="G305" i="36" s="1"/>
  <c r="E306" i="36"/>
  <c r="G306" i="36" s="1"/>
  <c r="E307" i="36"/>
  <c r="G307" i="36" s="1"/>
  <c r="E308" i="36"/>
  <c r="G308" i="36" s="1"/>
  <c r="E309" i="36"/>
  <c r="G309" i="36" s="1"/>
  <c r="E310" i="36"/>
  <c r="G310" i="36" s="1"/>
  <c r="E311" i="36"/>
  <c r="G311" i="36" s="1"/>
  <c r="E312" i="36"/>
  <c r="G312" i="36" s="1"/>
  <c r="E313" i="36"/>
  <c r="G313" i="36" s="1"/>
  <c r="E314" i="36"/>
  <c r="G314" i="36" s="1"/>
  <c r="E315" i="36"/>
  <c r="G315" i="36" s="1"/>
  <c r="E316" i="36"/>
  <c r="G316" i="36" s="1"/>
  <c r="E4" i="36"/>
  <c r="G4" i="36" s="1"/>
  <c r="F5" i="39"/>
  <c r="F6" i="39"/>
  <c r="F7" i="39"/>
  <c r="F8" i="39"/>
  <c r="F9" i="39"/>
  <c r="F10" i="39"/>
  <c r="F11" i="39"/>
  <c r="H11" i="39" s="1"/>
  <c r="I11" i="39" s="1"/>
  <c r="F12" i="39"/>
  <c r="F13" i="39"/>
  <c r="F14" i="39"/>
  <c r="F15" i="39"/>
  <c r="H15" i="39" s="1"/>
  <c r="I15" i="39" s="1"/>
  <c r="F16" i="39"/>
  <c r="F17" i="39"/>
  <c r="F18" i="39"/>
  <c r="F19" i="39"/>
  <c r="F20" i="39"/>
  <c r="F21" i="39"/>
  <c r="F22" i="39"/>
  <c r="F23" i="39"/>
  <c r="F24" i="39"/>
  <c r="F25" i="39"/>
  <c r="H25" i="39" s="1"/>
  <c r="I25" i="39" s="1"/>
  <c r="J25" i="39" s="1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47" i="39"/>
  <c r="F48" i="39"/>
  <c r="F49" i="39"/>
  <c r="F50" i="39"/>
  <c r="F51" i="39"/>
  <c r="F52" i="39"/>
  <c r="F53" i="39"/>
  <c r="F54" i="39"/>
  <c r="F55" i="39"/>
  <c r="F56" i="39"/>
  <c r="F57" i="39"/>
  <c r="F58" i="39"/>
  <c r="H58" i="39" s="1"/>
  <c r="I58" i="39" s="1"/>
  <c r="F59" i="39"/>
  <c r="F60" i="39"/>
  <c r="F61" i="39"/>
  <c r="F62" i="39"/>
  <c r="F63" i="39"/>
  <c r="F64" i="39"/>
  <c r="F65" i="39"/>
  <c r="F66" i="39"/>
  <c r="F67" i="39"/>
  <c r="F68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4" i="39"/>
  <c r="F85" i="39"/>
  <c r="F86" i="39"/>
  <c r="F87" i="39"/>
  <c r="F88" i="39"/>
  <c r="F89" i="39"/>
  <c r="F90" i="39"/>
  <c r="F91" i="39"/>
  <c r="F92" i="39"/>
  <c r="F93" i="39"/>
  <c r="F94" i="39"/>
  <c r="F95" i="39"/>
  <c r="F96" i="39"/>
  <c r="F97" i="39"/>
  <c r="F98" i="39"/>
  <c r="F99" i="39"/>
  <c r="F100" i="39"/>
  <c r="F101" i="39"/>
  <c r="F102" i="39"/>
  <c r="F103" i="39"/>
  <c r="F104" i="39"/>
  <c r="F105" i="39"/>
  <c r="F106" i="39"/>
  <c r="F107" i="39"/>
  <c r="F108" i="39"/>
  <c r="F109" i="39"/>
  <c r="H109" i="39" s="1"/>
  <c r="F110" i="39"/>
  <c r="F111" i="39"/>
  <c r="F112" i="39"/>
  <c r="F113" i="39"/>
  <c r="F114" i="39"/>
  <c r="F115" i="39"/>
  <c r="F116" i="39"/>
  <c r="F117" i="39"/>
  <c r="F118" i="39"/>
  <c r="F119" i="39"/>
  <c r="F120" i="39"/>
  <c r="F121" i="39"/>
  <c r="F122" i="39"/>
  <c r="F123" i="39"/>
  <c r="F124" i="39"/>
  <c r="F125" i="39"/>
  <c r="H125" i="39" s="1"/>
  <c r="I125" i="39" s="1"/>
  <c r="F126" i="39"/>
  <c r="F127" i="39"/>
  <c r="F128" i="39"/>
  <c r="F129" i="39"/>
  <c r="F130" i="39"/>
  <c r="F131" i="39"/>
  <c r="F132" i="39"/>
  <c r="F133" i="39"/>
  <c r="F134" i="39"/>
  <c r="F135" i="39"/>
  <c r="F136" i="39"/>
  <c r="F137" i="39"/>
  <c r="F138" i="39"/>
  <c r="F139" i="39"/>
  <c r="F140" i="39"/>
  <c r="F141" i="39"/>
  <c r="F142" i="39"/>
  <c r="F143" i="39"/>
  <c r="F144" i="39"/>
  <c r="F145" i="39"/>
  <c r="H145" i="39" s="1"/>
  <c r="I145" i="39" s="1"/>
  <c r="F146" i="39"/>
  <c r="F147" i="39"/>
  <c r="F148" i="39"/>
  <c r="F149" i="39"/>
  <c r="F150" i="39"/>
  <c r="F151" i="39"/>
  <c r="F152" i="39"/>
  <c r="F153" i="39"/>
  <c r="F154" i="39"/>
  <c r="F155" i="39"/>
  <c r="F156" i="39"/>
  <c r="H156" i="39" s="1"/>
  <c r="F157" i="39"/>
  <c r="F158" i="39"/>
  <c r="F159" i="39"/>
  <c r="F160" i="39"/>
  <c r="F161" i="39"/>
  <c r="F162" i="39"/>
  <c r="F163" i="39"/>
  <c r="F164" i="39"/>
  <c r="F165" i="39"/>
  <c r="F166" i="39"/>
  <c r="F167" i="39"/>
  <c r="F168" i="39"/>
  <c r="F169" i="39"/>
  <c r="F170" i="39"/>
  <c r="F171" i="39"/>
  <c r="F172" i="39"/>
  <c r="F173" i="39"/>
  <c r="H173" i="39" s="1"/>
  <c r="I173" i="39" s="1"/>
  <c r="F174" i="39"/>
  <c r="F175" i="39"/>
  <c r="F176" i="39"/>
  <c r="F177" i="39"/>
  <c r="F178" i="39"/>
  <c r="F179" i="39"/>
  <c r="F180" i="39"/>
  <c r="F181" i="39"/>
  <c r="F182" i="39"/>
  <c r="F183" i="39"/>
  <c r="F184" i="39"/>
  <c r="F185" i="39"/>
  <c r="F186" i="39"/>
  <c r="F187" i="39"/>
  <c r="F188" i="39"/>
  <c r="F189" i="39"/>
  <c r="F190" i="39"/>
  <c r="F191" i="39"/>
  <c r="F192" i="39"/>
  <c r="F193" i="39"/>
  <c r="F194" i="39"/>
  <c r="F195" i="39"/>
  <c r="F196" i="39"/>
  <c r="F197" i="39"/>
  <c r="F198" i="39"/>
  <c r="F199" i="39"/>
  <c r="F200" i="39"/>
  <c r="F201" i="39"/>
  <c r="F202" i="39"/>
  <c r="F203" i="39"/>
  <c r="F204" i="39"/>
  <c r="F205" i="39"/>
  <c r="F206" i="39"/>
  <c r="F207" i="39"/>
  <c r="F208" i="39"/>
  <c r="F209" i="39"/>
  <c r="F210" i="39"/>
  <c r="F211" i="39"/>
  <c r="F212" i="39"/>
  <c r="F213" i="39"/>
  <c r="F214" i="39"/>
  <c r="F215" i="39"/>
  <c r="F216" i="39"/>
  <c r="F217" i="39"/>
  <c r="F218" i="39"/>
  <c r="F219" i="39"/>
  <c r="F220" i="39"/>
  <c r="F221" i="39"/>
  <c r="F222" i="39"/>
  <c r="F223" i="39"/>
  <c r="F224" i="39"/>
  <c r="F225" i="39"/>
  <c r="F226" i="39"/>
  <c r="F227" i="39"/>
  <c r="F228" i="39"/>
  <c r="F229" i="39"/>
  <c r="F230" i="39"/>
  <c r="F231" i="39"/>
  <c r="F232" i="39"/>
  <c r="F233" i="39"/>
  <c r="H233" i="39" s="1"/>
  <c r="I233" i="39" s="1"/>
  <c r="F234" i="39"/>
  <c r="F235" i="39"/>
  <c r="F236" i="39"/>
  <c r="F237" i="39"/>
  <c r="F238" i="39"/>
  <c r="F239" i="39"/>
  <c r="F240" i="39"/>
  <c r="F241" i="39"/>
  <c r="F242" i="39"/>
  <c r="F243" i="39"/>
  <c r="F244" i="39"/>
  <c r="F245" i="39"/>
  <c r="F246" i="39"/>
  <c r="F247" i="39"/>
  <c r="F248" i="39"/>
  <c r="F249" i="39"/>
  <c r="F250" i="39"/>
  <c r="F251" i="39"/>
  <c r="F252" i="39"/>
  <c r="F253" i="39"/>
  <c r="F254" i="39"/>
  <c r="F255" i="39"/>
  <c r="F256" i="39"/>
  <c r="H256" i="39" s="1"/>
  <c r="I256" i="39" s="1"/>
  <c r="F257" i="39"/>
  <c r="F258" i="39"/>
  <c r="F259" i="39"/>
  <c r="F260" i="39"/>
  <c r="F261" i="39"/>
  <c r="F262" i="39"/>
  <c r="F263" i="39"/>
  <c r="F264" i="39"/>
  <c r="F265" i="39"/>
  <c r="F266" i="39"/>
  <c r="F267" i="39"/>
  <c r="F268" i="39"/>
  <c r="F269" i="39"/>
  <c r="F270" i="39"/>
  <c r="F271" i="39"/>
  <c r="F272" i="39"/>
  <c r="F273" i="39"/>
  <c r="F274" i="39"/>
  <c r="F275" i="39"/>
  <c r="F276" i="39"/>
  <c r="F277" i="39"/>
  <c r="F278" i="39"/>
  <c r="F279" i="39"/>
  <c r="F280" i="39"/>
  <c r="F281" i="39"/>
  <c r="F282" i="39"/>
  <c r="F283" i="39"/>
  <c r="F284" i="39"/>
  <c r="F285" i="39"/>
  <c r="F286" i="39"/>
  <c r="F287" i="39"/>
  <c r="F288" i="39"/>
  <c r="F289" i="39"/>
  <c r="F290" i="39"/>
  <c r="F291" i="39"/>
  <c r="F292" i="39"/>
  <c r="F293" i="39"/>
  <c r="F294" i="39"/>
  <c r="F295" i="39"/>
  <c r="F296" i="39"/>
  <c r="F297" i="39"/>
  <c r="F298" i="39"/>
  <c r="F299" i="39"/>
  <c r="F300" i="39"/>
  <c r="F301" i="39"/>
  <c r="F302" i="39"/>
  <c r="F303" i="39"/>
  <c r="F304" i="39"/>
  <c r="F305" i="39"/>
  <c r="F306" i="39"/>
  <c r="F307" i="39"/>
  <c r="F308" i="39"/>
  <c r="F309" i="39"/>
  <c r="F310" i="39"/>
  <c r="F311" i="39"/>
  <c r="F312" i="39"/>
  <c r="F313" i="39"/>
  <c r="F314" i="39"/>
  <c r="F315" i="39"/>
  <c r="F316" i="39"/>
  <c r="F4" i="39"/>
  <c r="D5" i="39"/>
  <c r="D6" i="39"/>
  <c r="D7" i="39"/>
  <c r="D8" i="39"/>
  <c r="D9" i="39"/>
  <c r="D10" i="39"/>
  <c r="D11" i="39"/>
  <c r="D12" i="39"/>
  <c r="D13" i="39"/>
  <c r="D14" i="39"/>
  <c r="D15" i="39"/>
  <c r="D16" i="39"/>
  <c r="D17" i="39"/>
  <c r="D18" i="39"/>
  <c r="D19" i="39"/>
  <c r="D20" i="39"/>
  <c r="D21" i="39"/>
  <c r="D22" i="39"/>
  <c r="D23" i="39"/>
  <c r="D24" i="39"/>
  <c r="D25" i="39"/>
  <c r="D26" i="39"/>
  <c r="D27" i="39"/>
  <c r="D28" i="39"/>
  <c r="D29" i="39"/>
  <c r="D30" i="39"/>
  <c r="D31" i="39"/>
  <c r="D32" i="39"/>
  <c r="D33" i="39"/>
  <c r="D34" i="39"/>
  <c r="D35" i="39"/>
  <c r="D36" i="39"/>
  <c r="D37" i="39"/>
  <c r="D38" i="39"/>
  <c r="D39" i="39"/>
  <c r="D40" i="39"/>
  <c r="D41" i="39"/>
  <c r="D42" i="39"/>
  <c r="D43" i="39"/>
  <c r="D44" i="39"/>
  <c r="D45" i="39"/>
  <c r="D46" i="39"/>
  <c r="D47" i="39"/>
  <c r="D48" i="39"/>
  <c r="D49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66" i="39"/>
  <c r="D67" i="39"/>
  <c r="D68" i="39"/>
  <c r="D69" i="39"/>
  <c r="D70" i="39"/>
  <c r="D71" i="39"/>
  <c r="D72" i="39"/>
  <c r="D73" i="39"/>
  <c r="D74" i="39"/>
  <c r="D75" i="39"/>
  <c r="D76" i="39"/>
  <c r="D77" i="39"/>
  <c r="D78" i="39"/>
  <c r="D79" i="39"/>
  <c r="D80" i="39"/>
  <c r="D81" i="39"/>
  <c r="D82" i="39"/>
  <c r="D83" i="39"/>
  <c r="D84" i="39"/>
  <c r="D85" i="39"/>
  <c r="D86" i="39"/>
  <c r="D87" i="39"/>
  <c r="D88" i="39"/>
  <c r="D89" i="39"/>
  <c r="D90" i="39"/>
  <c r="D91" i="39"/>
  <c r="D92" i="39"/>
  <c r="D93" i="39"/>
  <c r="D94" i="39"/>
  <c r="D95" i="39"/>
  <c r="D96" i="39"/>
  <c r="D97" i="39"/>
  <c r="D98" i="39"/>
  <c r="D99" i="39"/>
  <c r="D100" i="39"/>
  <c r="D101" i="39"/>
  <c r="D102" i="39"/>
  <c r="D103" i="39"/>
  <c r="D104" i="39"/>
  <c r="D105" i="39"/>
  <c r="D106" i="39"/>
  <c r="D107" i="39"/>
  <c r="D108" i="39"/>
  <c r="D109" i="39"/>
  <c r="D110" i="39"/>
  <c r="D111" i="39"/>
  <c r="D112" i="39"/>
  <c r="D113" i="39"/>
  <c r="D114" i="39"/>
  <c r="D115" i="39"/>
  <c r="D116" i="39"/>
  <c r="D117" i="39"/>
  <c r="D118" i="39"/>
  <c r="D119" i="39"/>
  <c r="D120" i="39"/>
  <c r="D121" i="39"/>
  <c r="D122" i="39"/>
  <c r="D123" i="39"/>
  <c r="D124" i="39"/>
  <c r="D125" i="39"/>
  <c r="D126" i="39"/>
  <c r="D127" i="39"/>
  <c r="D128" i="39"/>
  <c r="D129" i="39"/>
  <c r="D130" i="39"/>
  <c r="D131" i="39"/>
  <c r="D132" i="39"/>
  <c r="D133" i="39"/>
  <c r="D134" i="39"/>
  <c r="D135" i="39"/>
  <c r="D136" i="39"/>
  <c r="D137" i="39"/>
  <c r="D138" i="39"/>
  <c r="D139" i="39"/>
  <c r="D140" i="39"/>
  <c r="D141" i="39"/>
  <c r="D142" i="39"/>
  <c r="D143" i="39"/>
  <c r="D144" i="39"/>
  <c r="D145" i="39"/>
  <c r="D146" i="39"/>
  <c r="D147" i="39"/>
  <c r="D148" i="39"/>
  <c r="D149" i="39"/>
  <c r="D150" i="39"/>
  <c r="D151" i="39"/>
  <c r="D152" i="39"/>
  <c r="D153" i="39"/>
  <c r="D154" i="39"/>
  <c r="D155" i="39"/>
  <c r="D156" i="39"/>
  <c r="D157" i="39"/>
  <c r="D158" i="39"/>
  <c r="D159" i="39"/>
  <c r="D160" i="39"/>
  <c r="D161" i="39"/>
  <c r="D162" i="39"/>
  <c r="D163" i="39"/>
  <c r="D164" i="39"/>
  <c r="D165" i="39"/>
  <c r="D166" i="39"/>
  <c r="D167" i="39"/>
  <c r="D168" i="39"/>
  <c r="D169" i="39"/>
  <c r="D170" i="39"/>
  <c r="D171" i="39"/>
  <c r="D172" i="39"/>
  <c r="D173" i="39"/>
  <c r="D174" i="39"/>
  <c r="D175" i="39"/>
  <c r="D176" i="39"/>
  <c r="D177" i="39"/>
  <c r="D178" i="39"/>
  <c r="D179" i="39"/>
  <c r="D180" i="39"/>
  <c r="D181" i="39"/>
  <c r="D182" i="39"/>
  <c r="D183" i="39"/>
  <c r="D184" i="39"/>
  <c r="D185" i="39"/>
  <c r="D186" i="39"/>
  <c r="D187" i="39"/>
  <c r="D188" i="39"/>
  <c r="D189" i="39"/>
  <c r="D190" i="39"/>
  <c r="D191" i="39"/>
  <c r="D192" i="39"/>
  <c r="D193" i="39"/>
  <c r="D194" i="39"/>
  <c r="D195" i="39"/>
  <c r="D196" i="39"/>
  <c r="D197" i="39"/>
  <c r="D198" i="39"/>
  <c r="D199" i="39"/>
  <c r="D200" i="39"/>
  <c r="D201" i="39"/>
  <c r="D202" i="39"/>
  <c r="D203" i="39"/>
  <c r="D204" i="39"/>
  <c r="D205" i="39"/>
  <c r="D206" i="39"/>
  <c r="D207" i="39"/>
  <c r="D208" i="39"/>
  <c r="D209" i="39"/>
  <c r="D210" i="39"/>
  <c r="D211" i="39"/>
  <c r="D212" i="39"/>
  <c r="D213" i="39"/>
  <c r="D214" i="39"/>
  <c r="D215" i="39"/>
  <c r="D216" i="39"/>
  <c r="D217" i="39"/>
  <c r="D218" i="39"/>
  <c r="D219" i="39"/>
  <c r="D220" i="39"/>
  <c r="D221" i="39"/>
  <c r="D222" i="39"/>
  <c r="D223" i="39"/>
  <c r="D224" i="39"/>
  <c r="D225" i="39"/>
  <c r="D226" i="39"/>
  <c r="D227" i="39"/>
  <c r="D228" i="39"/>
  <c r="D229" i="39"/>
  <c r="D230" i="39"/>
  <c r="D231" i="39"/>
  <c r="D232" i="39"/>
  <c r="D233" i="39"/>
  <c r="D234" i="39"/>
  <c r="D235" i="39"/>
  <c r="D236" i="39"/>
  <c r="D237" i="39"/>
  <c r="D238" i="39"/>
  <c r="D239" i="39"/>
  <c r="D240" i="39"/>
  <c r="D241" i="39"/>
  <c r="D242" i="39"/>
  <c r="D243" i="39"/>
  <c r="D244" i="39"/>
  <c r="D245" i="39"/>
  <c r="D246" i="39"/>
  <c r="D247" i="39"/>
  <c r="D248" i="39"/>
  <c r="D249" i="39"/>
  <c r="D250" i="39"/>
  <c r="D251" i="39"/>
  <c r="D252" i="39"/>
  <c r="D253" i="39"/>
  <c r="D254" i="39"/>
  <c r="D255" i="39"/>
  <c r="D256" i="39"/>
  <c r="D257" i="39"/>
  <c r="D258" i="39"/>
  <c r="D259" i="39"/>
  <c r="D260" i="39"/>
  <c r="D261" i="39"/>
  <c r="D262" i="39"/>
  <c r="D263" i="39"/>
  <c r="D264" i="39"/>
  <c r="D265" i="39"/>
  <c r="D266" i="39"/>
  <c r="D267" i="39"/>
  <c r="D268" i="39"/>
  <c r="D269" i="39"/>
  <c r="D270" i="39"/>
  <c r="D271" i="39"/>
  <c r="D272" i="39"/>
  <c r="D273" i="39"/>
  <c r="D274" i="39"/>
  <c r="D275" i="39"/>
  <c r="D276" i="39"/>
  <c r="D277" i="39"/>
  <c r="D278" i="39"/>
  <c r="D279" i="39"/>
  <c r="D280" i="39"/>
  <c r="D281" i="39"/>
  <c r="D282" i="39"/>
  <c r="D283" i="39"/>
  <c r="D284" i="39"/>
  <c r="D285" i="39"/>
  <c r="D286" i="39"/>
  <c r="D287" i="39"/>
  <c r="D288" i="39"/>
  <c r="D289" i="39"/>
  <c r="D290" i="39"/>
  <c r="D291" i="39"/>
  <c r="D292" i="39"/>
  <c r="D293" i="39"/>
  <c r="D294" i="39"/>
  <c r="D295" i="39"/>
  <c r="D296" i="39"/>
  <c r="D297" i="39"/>
  <c r="D298" i="39"/>
  <c r="D299" i="39"/>
  <c r="D300" i="39"/>
  <c r="D301" i="39"/>
  <c r="D302" i="39"/>
  <c r="D303" i="39"/>
  <c r="D304" i="39"/>
  <c r="D305" i="39"/>
  <c r="D306" i="39"/>
  <c r="D307" i="39"/>
  <c r="D308" i="39"/>
  <c r="D309" i="39"/>
  <c r="D310" i="39"/>
  <c r="D311" i="39"/>
  <c r="D312" i="39"/>
  <c r="D313" i="39"/>
  <c r="D314" i="39"/>
  <c r="D315" i="39"/>
  <c r="D316" i="39"/>
  <c r="D4" i="39"/>
  <c r="E5" i="38"/>
  <c r="G5" i="38" s="1"/>
  <c r="E6" i="38"/>
  <c r="G6" i="38" s="1"/>
  <c r="E7" i="38"/>
  <c r="G7" i="38" s="1"/>
  <c r="E8" i="38"/>
  <c r="G8" i="38" s="1"/>
  <c r="E9" i="38"/>
  <c r="G9" i="38" s="1"/>
  <c r="E10" i="38"/>
  <c r="G10" i="38" s="1"/>
  <c r="E11" i="38"/>
  <c r="G11" i="38" s="1"/>
  <c r="E12" i="38"/>
  <c r="G12" i="38" s="1"/>
  <c r="E13" i="38"/>
  <c r="G13" i="38" s="1"/>
  <c r="E14" i="38"/>
  <c r="G14" i="38" s="1"/>
  <c r="E15" i="38"/>
  <c r="G15" i="38" s="1"/>
  <c r="E16" i="38"/>
  <c r="G16" i="38" s="1"/>
  <c r="E17" i="38"/>
  <c r="G17" i="38" s="1"/>
  <c r="E18" i="38"/>
  <c r="G18" i="38" s="1"/>
  <c r="E19" i="38"/>
  <c r="G19" i="38" s="1"/>
  <c r="E20" i="38"/>
  <c r="G20" i="38" s="1"/>
  <c r="E21" i="38"/>
  <c r="G21" i="38" s="1"/>
  <c r="E22" i="38"/>
  <c r="G22" i="38" s="1"/>
  <c r="E23" i="38"/>
  <c r="G23" i="38" s="1"/>
  <c r="E24" i="38"/>
  <c r="G24" i="38" s="1"/>
  <c r="E25" i="38"/>
  <c r="G25" i="38" s="1"/>
  <c r="E26" i="38"/>
  <c r="G26" i="38" s="1"/>
  <c r="E27" i="38"/>
  <c r="G27" i="38" s="1"/>
  <c r="E28" i="38"/>
  <c r="G28" i="38" s="1"/>
  <c r="E29" i="38"/>
  <c r="G29" i="38" s="1"/>
  <c r="E30" i="38"/>
  <c r="G30" i="38" s="1"/>
  <c r="E31" i="38"/>
  <c r="G31" i="38" s="1"/>
  <c r="E32" i="38"/>
  <c r="G32" i="38" s="1"/>
  <c r="E33" i="38"/>
  <c r="G33" i="38" s="1"/>
  <c r="E34" i="38"/>
  <c r="G34" i="38" s="1"/>
  <c r="E35" i="38"/>
  <c r="G35" i="38" s="1"/>
  <c r="E36" i="38"/>
  <c r="G36" i="38" s="1"/>
  <c r="E37" i="38"/>
  <c r="G37" i="38" s="1"/>
  <c r="E38" i="38"/>
  <c r="G38" i="38" s="1"/>
  <c r="E39" i="38"/>
  <c r="G39" i="38" s="1"/>
  <c r="E40" i="38"/>
  <c r="G40" i="38" s="1"/>
  <c r="E41" i="38"/>
  <c r="G41" i="38" s="1"/>
  <c r="E42" i="38"/>
  <c r="G42" i="38" s="1"/>
  <c r="E43" i="38"/>
  <c r="G43" i="38" s="1"/>
  <c r="E44" i="38"/>
  <c r="G44" i="38" s="1"/>
  <c r="E45" i="38"/>
  <c r="G45" i="38" s="1"/>
  <c r="E46" i="38"/>
  <c r="G46" i="38" s="1"/>
  <c r="E47" i="38"/>
  <c r="G47" i="38" s="1"/>
  <c r="E48" i="38"/>
  <c r="G48" i="38" s="1"/>
  <c r="E49" i="38"/>
  <c r="G49" i="38" s="1"/>
  <c r="E50" i="38"/>
  <c r="G50" i="38" s="1"/>
  <c r="E51" i="38"/>
  <c r="G51" i="38" s="1"/>
  <c r="E52" i="38"/>
  <c r="G52" i="38" s="1"/>
  <c r="E53" i="38"/>
  <c r="G53" i="38" s="1"/>
  <c r="E54" i="38"/>
  <c r="G54" i="38" s="1"/>
  <c r="E55" i="38"/>
  <c r="G55" i="38" s="1"/>
  <c r="E56" i="38"/>
  <c r="G56" i="38" s="1"/>
  <c r="E57" i="38"/>
  <c r="G57" i="38" s="1"/>
  <c r="E58" i="38"/>
  <c r="G58" i="38" s="1"/>
  <c r="E59" i="38"/>
  <c r="G59" i="38" s="1"/>
  <c r="E60" i="38"/>
  <c r="G60" i="38" s="1"/>
  <c r="E61" i="38"/>
  <c r="G61" i="38" s="1"/>
  <c r="E62" i="38"/>
  <c r="G62" i="38" s="1"/>
  <c r="E63" i="38"/>
  <c r="G63" i="38" s="1"/>
  <c r="E64" i="38"/>
  <c r="G64" i="38" s="1"/>
  <c r="E65" i="38"/>
  <c r="G65" i="38" s="1"/>
  <c r="E66" i="38"/>
  <c r="G66" i="38" s="1"/>
  <c r="E67" i="38"/>
  <c r="G67" i="38" s="1"/>
  <c r="E68" i="38"/>
  <c r="G68" i="38" s="1"/>
  <c r="E69" i="38"/>
  <c r="G69" i="38" s="1"/>
  <c r="E70" i="38"/>
  <c r="G70" i="38" s="1"/>
  <c r="E71" i="38"/>
  <c r="G71" i="38" s="1"/>
  <c r="E72" i="38"/>
  <c r="G72" i="38" s="1"/>
  <c r="E73" i="38"/>
  <c r="G73" i="38" s="1"/>
  <c r="E74" i="38"/>
  <c r="G74" i="38" s="1"/>
  <c r="E75" i="38"/>
  <c r="G75" i="38" s="1"/>
  <c r="E76" i="38"/>
  <c r="G76" i="38" s="1"/>
  <c r="E77" i="38"/>
  <c r="G77" i="38" s="1"/>
  <c r="E78" i="38"/>
  <c r="G78" i="38" s="1"/>
  <c r="E79" i="38"/>
  <c r="G79" i="38" s="1"/>
  <c r="E80" i="38"/>
  <c r="G80" i="38" s="1"/>
  <c r="E81" i="38"/>
  <c r="G81" i="38" s="1"/>
  <c r="E82" i="38"/>
  <c r="G82" i="38" s="1"/>
  <c r="E83" i="38"/>
  <c r="G83" i="38" s="1"/>
  <c r="E84" i="38"/>
  <c r="G84" i="38" s="1"/>
  <c r="E85" i="38"/>
  <c r="G85" i="38" s="1"/>
  <c r="E86" i="38"/>
  <c r="G86" i="38" s="1"/>
  <c r="E87" i="38"/>
  <c r="G87" i="38" s="1"/>
  <c r="E88" i="38"/>
  <c r="G88" i="38" s="1"/>
  <c r="E89" i="38"/>
  <c r="G89" i="38" s="1"/>
  <c r="E90" i="38"/>
  <c r="G90" i="38" s="1"/>
  <c r="E91" i="38"/>
  <c r="G91" i="38" s="1"/>
  <c r="E92" i="38"/>
  <c r="G92" i="38" s="1"/>
  <c r="E93" i="38"/>
  <c r="G93" i="38" s="1"/>
  <c r="E94" i="38"/>
  <c r="G94" i="38" s="1"/>
  <c r="E95" i="38"/>
  <c r="G95" i="38" s="1"/>
  <c r="E96" i="38"/>
  <c r="G96" i="38" s="1"/>
  <c r="E97" i="38"/>
  <c r="G97" i="38" s="1"/>
  <c r="E98" i="38"/>
  <c r="G98" i="38" s="1"/>
  <c r="E99" i="38"/>
  <c r="G99" i="38" s="1"/>
  <c r="E100" i="38"/>
  <c r="G100" i="38" s="1"/>
  <c r="E101" i="38"/>
  <c r="G101" i="38" s="1"/>
  <c r="E102" i="38"/>
  <c r="G102" i="38" s="1"/>
  <c r="E103" i="38"/>
  <c r="G103" i="38" s="1"/>
  <c r="E104" i="38"/>
  <c r="G104" i="38" s="1"/>
  <c r="E105" i="38"/>
  <c r="G105" i="38" s="1"/>
  <c r="E106" i="38"/>
  <c r="G106" i="38" s="1"/>
  <c r="E107" i="38"/>
  <c r="G107" i="38" s="1"/>
  <c r="E108" i="38"/>
  <c r="G108" i="38" s="1"/>
  <c r="E109" i="38"/>
  <c r="G109" i="38" s="1"/>
  <c r="E110" i="38"/>
  <c r="G110" i="38" s="1"/>
  <c r="E111" i="38"/>
  <c r="G111" i="38" s="1"/>
  <c r="E112" i="38"/>
  <c r="G112" i="38" s="1"/>
  <c r="E113" i="38"/>
  <c r="G113" i="38" s="1"/>
  <c r="E114" i="38"/>
  <c r="G114" i="38" s="1"/>
  <c r="E115" i="38"/>
  <c r="G115" i="38" s="1"/>
  <c r="E116" i="38"/>
  <c r="G116" i="38" s="1"/>
  <c r="E117" i="38"/>
  <c r="G117" i="38" s="1"/>
  <c r="E118" i="38"/>
  <c r="G118" i="38" s="1"/>
  <c r="E119" i="38"/>
  <c r="G119" i="38" s="1"/>
  <c r="E120" i="38"/>
  <c r="G120" i="38" s="1"/>
  <c r="E121" i="38"/>
  <c r="G121" i="38" s="1"/>
  <c r="E122" i="38"/>
  <c r="G122" i="38" s="1"/>
  <c r="E123" i="38"/>
  <c r="G123" i="38" s="1"/>
  <c r="E124" i="38"/>
  <c r="G124" i="38" s="1"/>
  <c r="E125" i="38"/>
  <c r="G125" i="38" s="1"/>
  <c r="E126" i="38"/>
  <c r="G126" i="38" s="1"/>
  <c r="E127" i="38"/>
  <c r="G127" i="38" s="1"/>
  <c r="E128" i="38"/>
  <c r="G128" i="38" s="1"/>
  <c r="E129" i="38"/>
  <c r="G129" i="38" s="1"/>
  <c r="E130" i="38"/>
  <c r="G130" i="38" s="1"/>
  <c r="E131" i="38"/>
  <c r="G131" i="38" s="1"/>
  <c r="E132" i="38"/>
  <c r="G132" i="38" s="1"/>
  <c r="E133" i="38"/>
  <c r="G133" i="38" s="1"/>
  <c r="E134" i="38"/>
  <c r="G134" i="38" s="1"/>
  <c r="E135" i="38"/>
  <c r="G135" i="38" s="1"/>
  <c r="E136" i="38"/>
  <c r="G136" i="38" s="1"/>
  <c r="E137" i="38"/>
  <c r="G137" i="38" s="1"/>
  <c r="E138" i="38"/>
  <c r="G138" i="38" s="1"/>
  <c r="E139" i="38"/>
  <c r="G139" i="38" s="1"/>
  <c r="E140" i="38"/>
  <c r="G140" i="38" s="1"/>
  <c r="E141" i="38"/>
  <c r="G141" i="38" s="1"/>
  <c r="E142" i="38"/>
  <c r="G142" i="38" s="1"/>
  <c r="E143" i="38"/>
  <c r="G143" i="38" s="1"/>
  <c r="E144" i="38"/>
  <c r="G144" i="38" s="1"/>
  <c r="E145" i="38"/>
  <c r="G145" i="38" s="1"/>
  <c r="E146" i="38"/>
  <c r="G146" i="38" s="1"/>
  <c r="E147" i="38"/>
  <c r="G147" i="38" s="1"/>
  <c r="E148" i="38"/>
  <c r="G148" i="38" s="1"/>
  <c r="E149" i="38"/>
  <c r="G149" i="38" s="1"/>
  <c r="E150" i="38"/>
  <c r="G150" i="38" s="1"/>
  <c r="E151" i="38"/>
  <c r="G151" i="38" s="1"/>
  <c r="E152" i="38"/>
  <c r="G152" i="38" s="1"/>
  <c r="E153" i="38"/>
  <c r="G153" i="38" s="1"/>
  <c r="E154" i="38"/>
  <c r="G154" i="38" s="1"/>
  <c r="E155" i="38"/>
  <c r="G155" i="38" s="1"/>
  <c r="E156" i="38"/>
  <c r="G156" i="38" s="1"/>
  <c r="E157" i="38"/>
  <c r="G157" i="38" s="1"/>
  <c r="E158" i="38"/>
  <c r="G158" i="38" s="1"/>
  <c r="E159" i="38"/>
  <c r="G159" i="38" s="1"/>
  <c r="E160" i="38"/>
  <c r="G160" i="38" s="1"/>
  <c r="E161" i="38"/>
  <c r="G161" i="38" s="1"/>
  <c r="E162" i="38"/>
  <c r="G162" i="38" s="1"/>
  <c r="E163" i="38"/>
  <c r="G163" i="38" s="1"/>
  <c r="E164" i="38"/>
  <c r="G164" i="38" s="1"/>
  <c r="E165" i="38"/>
  <c r="G165" i="38" s="1"/>
  <c r="E166" i="38"/>
  <c r="G166" i="38" s="1"/>
  <c r="E167" i="38"/>
  <c r="G167" i="38" s="1"/>
  <c r="E168" i="38"/>
  <c r="G168" i="38" s="1"/>
  <c r="E169" i="38"/>
  <c r="G169" i="38" s="1"/>
  <c r="E170" i="38"/>
  <c r="G170" i="38" s="1"/>
  <c r="E171" i="38"/>
  <c r="G171" i="38" s="1"/>
  <c r="E172" i="38"/>
  <c r="G172" i="38" s="1"/>
  <c r="E173" i="38"/>
  <c r="G173" i="38" s="1"/>
  <c r="E174" i="38"/>
  <c r="G174" i="38" s="1"/>
  <c r="E175" i="38"/>
  <c r="G175" i="38" s="1"/>
  <c r="E176" i="38"/>
  <c r="G176" i="38" s="1"/>
  <c r="E177" i="38"/>
  <c r="G177" i="38" s="1"/>
  <c r="E178" i="38"/>
  <c r="G178" i="38" s="1"/>
  <c r="E179" i="38"/>
  <c r="G179" i="38" s="1"/>
  <c r="E180" i="38"/>
  <c r="G180" i="38" s="1"/>
  <c r="E181" i="38"/>
  <c r="G181" i="38" s="1"/>
  <c r="E182" i="38"/>
  <c r="G182" i="38" s="1"/>
  <c r="E183" i="38"/>
  <c r="G183" i="38" s="1"/>
  <c r="E184" i="38"/>
  <c r="G184" i="38" s="1"/>
  <c r="E185" i="38"/>
  <c r="G185" i="38" s="1"/>
  <c r="E186" i="38"/>
  <c r="G186" i="38" s="1"/>
  <c r="E187" i="38"/>
  <c r="G187" i="38" s="1"/>
  <c r="E188" i="38"/>
  <c r="G188" i="38" s="1"/>
  <c r="E189" i="38"/>
  <c r="G189" i="38" s="1"/>
  <c r="E190" i="38"/>
  <c r="G190" i="38" s="1"/>
  <c r="E191" i="38"/>
  <c r="G191" i="38" s="1"/>
  <c r="E192" i="38"/>
  <c r="G192" i="38" s="1"/>
  <c r="E193" i="38"/>
  <c r="G193" i="38" s="1"/>
  <c r="E194" i="38"/>
  <c r="G194" i="38" s="1"/>
  <c r="E195" i="38"/>
  <c r="G195" i="38" s="1"/>
  <c r="E196" i="38"/>
  <c r="G196" i="38" s="1"/>
  <c r="E197" i="38"/>
  <c r="G197" i="38" s="1"/>
  <c r="E198" i="38"/>
  <c r="G198" i="38" s="1"/>
  <c r="E199" i="38"/>
  <c r="G199" i="38" s="1"/>
  <c r="E200" i="38"/>
  <c r="G200" i="38" s="1"/>
  <c r="E201" i="38"/>
  <c r="G201" i="38" s="1"/>
  <c r="E202" i="38"/>
  <c r="G202" i="38" s="1"/>
  <c r="E203" i="38"/>
  <c r="G203" i="38" s="1"/>
  <c r="E204" i="38"/>
  <c r="G204" i="38" s="1"/>
  <c r="E205" i="38"/>
  <c r="G205" i="38" s="1"/>
  <c r="E206" i="38"/>
  <c r="G206" i="38" s="1"/>
  <c r="E207" i="38"/>
  <c r="G207" i="38" s="1"/>
  <c r="E208" i="38"/>
  <c r="G208" i="38" s="1"/>
  <c r="E209" i="38"/>
  <c r="G209" i="38" s="1"/>
  <c r="E210" i="38"/>
  <c r="G210" i="38" s="1"/>
  <c r="E211" i="38"/>
  <c r="G211" i="38" s="1"/>
  <c r="E212" i="38"/>
  <c r="G212" i="38" s="1"/>
  <c r="E213" i="38"/>
  <c r="G213" i="38" s="1"/>
  <c r="E214" i="38"/>
  <c r="G214" i="38" s="1"/>
  <c r="E215" i="38"/>
  <c r="G215" i="38" s="1"/>
  <c r="E216" i="38"/>
  <c r="G216" i="38" s="1"/>
  <c r="E217" i="38"/>
  <c r="G217" i="38" s="1"/>
  <c r="E218" i="38"/>
  <c r="G218" i="38" s="1"/>
  <c r="E219" i="38"/>
  <c r="G219" i="38" s="1"/>
  <c r="E220" i="38"/>
  <c r="G220" i="38" s="1"/>
  <c r="E221" i="38"/>
  <c r="G221" i="38" s="1"/>
  <c r="E222" i="38"/>
  <c r="G222" i="38" s="1"/>
  <c r="E223" i="38"/>
  <c r="G223" i="38" s="1"/>
  <c r="E224" i="38"/>
  <c r="G224" i="38" s="1"/>
  <c r="E225" i="38"/>
  <c r="G225" i="38" s="1"/>
  <c r="E226" i="38"/>
  <c r="G226" i="38" s="1"/>
  <c r="E227" i="38"/>
  <c r="G227" i="38" s="1"/>
  <c r="E228" i="38"/>
  <c r="G228" i="38" s="1"/>
  <c r="E229" i="38"/>
  <c r="G229" i="38" s="1"/>
  <c r="E230" i="38"/>
  <c r="G230" i="38" s="1"/>
  <c r="E231" i="38"/>
  <c r="G231" i="38" s="1"/>
  <c r="E232" i="38"/>
  <c r="G232" i="38" s="1"/>
  <c r="E233" i="38"/>
  <c r="G233" i="38" s="1"/>
  <c r="E234" i="38"/>
  <c r="G234" i="38" s="1"/>
  <c r="E235" i="38"/>
  <c r="G235" i="38" s="1"/>
  <c r="E236" i="38"/>
  <c r="G236" i="38" s="1"/>
  <c r="E237" i="38"/>
  <c r="G237" i="38" s="1"/>
  <c r="E238" i="38"/>
  <c r="G238" i="38" s="1"/>
  <c r="E239" i="38"/>
  <c r="G239" i="38" s="1"/>
  <c r="E240" i="38"/>
  <c r="G240" i="38" s="1"/>
  <c r="E241" i="38"/>
  <c r="G241" i="38" s="1"/>
  <c r="E242" i="38"/>
  <c r="G242" i="38" s="1"/>
  <c r="E243" i="38"/>
  <c r="G243" i="38" s="1"/>
  <c r="E244" i="38"/>
  <c r="G244" i="38" s="1"/>
  <c r="E245" i="38"/>
  <c r="G245" i="38" s="1"/>
  <c r="E246" i="38"/>
  <c r="G246" i="38" s="1"/>
  <c r="E247" i="38"/>
  <c r="G247" i="38" s="1"/>
  <c r="E248" i="38"/>
  <c r="G248" i="38" s="1"/>
  <c r="E249" i="38"/>
  <c r="G249" i="38" s="1"/>
  <c r="E250" i="38"/>
  <c r="G250" i="38" s="1"/>
  <c r="E251" i="38"/>
  <c r="G251" i="38" s="1"/>
  <c r="E252" i="38"/>
  <c r="G252" i="38" s="1"/>
  <c r="E253" i="38"/>
  <c r="G253" i="38" s="1"/>
  <c r="E254" i="38"/>
  <c r="G254" i="38" s="1"/>
  <c r="E255" i="38"/>
  <c r="G255" i="38" s="1"/>
  <c r="E256" i="38"/>
  <c r="G256" i="38" s="1"/>
  <c r="E257" i="38"/>
  <c r="G257" i="38" s="1"/>
  <c r="E258" i="38"/>
  <c r="G258" i="38" s="1"/>
  <c r="E259" i="38"/>
  <c r="G259" i="38" s="1"/>
  <c r="E260" i="38"/>
  <c r="G260" i="38" s="1"/>
  <c r="E261" i="38"/>
  <c r="G261" i="38" s="1"/>
  <c r="E262" i="38"/>
  <c r="G262" i="38" s="1"/>
  <c r="E263" i="38"/>
  <c r="G263" i="38" s="1"/>
  <c r="E264" i="38"/>
  <c r="G264" i="38" s="1"/>
  <c r="E265" i="38"/>
  <c r="G265" i="38" s="1"/>
  <c r="E266" i="38"/>
  <c r="G266" i="38" s="1"/>
  <c r="E267" i="38"/>
  <c r="G267" i="38" s="1"/>
  <c r="E268" i="38"/>
  <c r="G268" i="38" s="1"/>
  <c r="E269" i="38"/>
  <c r="G269" i="38" s="1"/>
  <c r="E270" i="38"/>
  <c r="G270" i="38" s="1"/>
  <c r="E271" i="38"/>
  <c r="G271" i="38" s="1"/>
  <c r="E272" i="38"/>
  <c r="G272" i="38" s="1"/>
  <c r="E273" i="38"/>
  <c r="G273" i="38" s="1"/>
  <c r="E274" i="38"/>
  <c r="G274" i="38" s="1"/>
  <c r="E275" i="38"/>
  <c r="G275" i="38" s="1"/>
  <c r="E276" i="38"/>
  <c r="G276" i="38" s="1"/>
  <c r="E277" i="38"/>
  <c r="G277" i="38" s="1"/>
  <c r="E278" i="38"/>
  <c r="G278" i="38" s="1"/>
  <c r="E279" i="38"/>
  <c r="G279" i="38" s="1"/>
  <c r="E280" i="38"/>
  <c r="G280" i="38" s="1"/>
  <c r="E281" i="38"/>
  <c r="G281" i="38" s="1"/>
  <c r="E282" i="38"/>
  <c r="G282" i="38" s="1"/>
  <c r="E283" i="38"/>
  <c r="G283" i="38" s="1"/>
  <c r="E284" i="38"/>
  <c r="G284" i="38" s="1"/>
  <c r="E285" i="38"/>
  <c r="G285" i="38" s="1"/>
  <c r="E286" i="38"/>
  <c r="G286" i="38" s="1"/>
  <c r="E287" i="38"/>
  <c r="G287" i="38" s="1"/>
  <c r="E288" i="38"/>
  <c r="G288" i="38" s="1"/>
  <c r="E289" i="38"/>
  <c r="G289" i="38" s="1"/>
  <c r="E290" i="38"/>
  <c r="G290" i="38" s="1"/>
  <c r="E291" i="38"/>
  <c r="G291" i="38" s="1"/>
  <c r="E292" i="38"/>
  <c r="G292" i="38" s="1"/>
  <c r="E293" i="38"/>
  <c r="G293" i="38" s="1"/>
  <c r="E294" i="38"/>
  <c r="G294" i="38" s="1"/>
  <c r="E295" i="38"/>
  <c r="G295" i="38" s="1"/>
  <c r="E296" i="38"/>
  <c r="G296" i="38" s="1"/>
  <c r="E297" i="38"/>
  <c r="G297" i="38" s="1"/>
  <c r="E298" i="38"/>
  <c r="G298" i="38" s="1"/>
  <c r="E299" i="38"/>
  <c r="G299" i="38" s="1"/>
  <c r="E300" i="38"/>
  <c r="G300" i="38" s="1"/>
  <c r="E301" i="38"/>
  <c r="G301" i="38" s="1"/>
  <c r="E302" i="38"/>
  <c r="G302" i="38" s="1"/>
  <c r="E303" i="38"/>
  <c r="G303" i="38" s="1"/>
  <c r="E304" i="38"/>
  <c r="G304" i="38" s="1"/>
  <c r="E305" i="38"/>
  <c r="G305" i="38" s="1"/>
  <c r="E306" i="38"/>
  <c r="G306" i="38" s="1"/>
  <c r="E307" i="38"/>
  <c r="G307" i="38" s="1"/>
  <c r="E308" i="38"/>
  <c r="G308" i="38" s="1"/>
  <c r="E309" i="38"/>
  <c r="G309" i="38" s="1"/>
  <c r="E310" i="38"/>
  <c r="G310" i="38" s="1"/>
  <c r="E311" i="38"/>
  <c r="G311" i="38" s="1"/>
  <c r="E312" i="38"/>
  <c r="G312" i="38" s="1"/>
  <c r="E313" i="38"/>
  <c r="G313" i="38" s="1"/>
  <c r="E314" i="38"/>
  <c r="G314" i="38" s="1"/>
  <c r="E315" i="38"/>
  <c r="G315" i="38" s="1"/>
  <c r="E316" i="38"/>
  <c r="G316" i="38" s="1"/>
  <c r="E4" i="38"/>
  <c r="G4" i="38" s="1"/>
  <c r="F5" i="38"/>
  <c r="F6" i="38"/>
  <c r="F7" i="38"/>
  <c r="F8" i="38"/>
  <c r="F9" i="38"/>
  <c r="F10" i="38"/>
  <c r="F11" i="38"/>
  <c r="H11" i="38" s="1"/>
  <c r="F12" i="38"/>
  <c r="F13" i="38"/>
  <c r="F14" i="38"/>
  <c r="F15" i="38"/>
  <c r="H15" i="38" s="1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F111" i="38"/>
  <c r="F112" i="38"/>
  <c r="F113" i="38"/>
  <c r="F114" i="38"/>
  <c r="F115" i="38"/>
  <c r="F116" i="38"/>
  <c r="F117" i="38"/>
  <c r="F118" i="38"/>
  <c r="F119" i="38"/>
  <c r="F120" i="38"/>
  <c r="F121" i="38"/>
  <c r="F122" i="38"/>
  <c r="F123" i="38"/>
  <c r="F124" i="38"/>
  <c r="F125" i="38"/>
  <c r="H125" i="38" s="1"/>
  <c r="I125" i="38" s="1"/>
  <c r="F126" i="38"/>
  <c r="F127" i="38"/>
  <c r="F128" i="38"/>
  <c r="F129" i="38"/>
  <c r="F130" i="38"/>
  <c r="F131" i="38"/>
  <c r="F132" i="38"/>
  <c r="F133" i="38"/>
  <c r="F134" i="38"/>
  <c r="F135" i="38"/>
  <c r="F136" i="38"/>
  <c r="F137" i="38"/>
  <c r="F138" i="38"/>
  <c r="F139" i="38"/>
  <c r="F140" i="38"/>
  <c r="F141" i="38"/>
  <c r="F142" i="38"/>
  <c r="F143" i="38"/>
  <c r="F144" i="38"/>
  <c r="F145" i="38"/>
  <c r="H145" i="38" s="1"/>
  <c r="I145" i="38" s="1"/>
  <c r="J145" i="38" s="1"/>
  <c r="F146" i="38"/>
  <c r="F147" i="38"/>
  <c r="F148" i="38"/>
  <c r="F149" i="38"/>
  <c r="F150" i="38"/>
  <c r="F151" i="38"/>
  <c r="F152" i="38"/>
  <c r="F153" i="38"/>
  <c r="F154" i="38"/>
  <c r="F155" i="38"/>
  <c r="F156" i="38"/>
  <c r="H156" i="38" s="1"/>
  <c r="I156" i="38" s="1"/>
  <c r="J156" i="38" s="1"/>
  <c r="F157" i="38"/>
  <c r="F158" i="38"/>
  <c r="F159" i="38"/>
  <c r="F160" i="38"/>
  <c r="F161" i="38"/>
  <c r="F162" i="38"/>
  <c r="F163" i="38"/>
  <c r="F164" i="38"/>
  <c r="F165" i="38"/>
  <c r="F166" i="38"/>
  <c r="F167" i="38"/>
  <c r="F168" i="38"/>
  <c r="F169" i="38"/>
  <c r="F170" i="38"/>
  <c r="F171" i="38"/>
  <c r="F172" i="38"/>
  <c r="F173" i="38"/>
  <c r="H173" i="38" s="1"/>
  <c r="I173" i="38" s="1"/>
  <c r="F174" i="38"/>
  <c r="F175" i="38"/>
  <c r="F176" i="38"/>
  <c r="F177" i="38"/>
  <c r="F178" i="38"/>
  <c r="F179" i="38"/>
  <c r="F180" i="38"/>
  <c r="F181" i="38"/>
  <c r="F182" i="38"/>
  <c r="F183" i="38"/>
  <c r="F184" i="38"/>
  <c r="F185" i="38"/>
  <c r="F186" i="38"/>
  <c r="F187" i="38"/>
  <c r="F188" i="38"/>
  <c r="F189" i="38"/>
  <c r="F190" i="38"/>
  <c r="F191" i="38"/>
  <c r="F192" i="38"/>
  <c r="F193" i="38"/>
  <c r="F194" i="38"/>
  <c r="F195" i="38"/>
  <c r="F196" i="38"/>
  <c r="F197" i="38"/>
  <c r="F198" i="38"/>
  <c r="F199" i="38"/>
  <c r="F200" i="38"/>
  <c r="F201" i="38"/>
  <c r="F202" i="38"/>
  <c r="F203" i="38"/>
  <c r="F204" i="38"/>
  <c r="F205" i="38"/>
  <c r="F206" i="38"/>
  <c r="F207" i="38"/>
  <c r="F208" i="38"/>
  <c r="F209" i="38"/>
  <c r="F210" i="38"/>
  <c r="F211" i="38"/>
  <c r="F212" i="38"/>
  <c r="F213" i="38"/>
  <c r="F214" i="38"/>
  <c r="F215" i="38"/>
  <c r="F216" i="38"/>
  <c r="F217" i="38"/>
  <c r="F218" i="38"/>
  <c r="F219" i="38"/>
  <c r="F220" i="38"/>
  <c r="F221" i="38"/>
  <c r="F222" i="38"/>
  <c r="F223" i="38"/>
  <c r="F224" i="38"/>
  <c r="F225" i="38"/>
  <c r="F226" i="38"/>
  <c r="F227" i="38"/>
  <c r="F228" i="38"/>
  <c r="F229" i="38"/>
  <c r="F230" i="38"/>
  <c r="F231" i="38"/>
  <c r="F232" i="38"/>
  <c r="F233" i="38"/>
  <c r="F234" i="38"/>
  <c r="F235" i="38"/>
  <c r="F236" i="38"/>
  <c r="F237" i="38"/>
  <c r="F238" i="38"/>
  <c r="F239" i="38"/>
  <c r="H239" i="38" s="1"/>
  <c r="I239" i="38" s="1"/>
  <c r="F240" i="38"/>
  <c r="F241" i="38"/>
  <c r="F242" i="38"/>
  <c r="F243" i="38"/>
  <c r="F244" i="38"/>
  <c r="F245" i="38"/>
  <c r="F246" i="38"/>
  <c r="F247" i="38"/>
  <c r="F248" i="38"/>
  <c r="F249" i="38"/>
  <c r="F250" i="38"/>
  <c r="F251" i="38"/>
  <c r="F252" i="38"/>
  <c r="F253" i="38"/>
  <c r="F254" i="38"/>
  <c r="F255" i="38"/>
  <c r="F256" i="38"/>
  <c r="H256" i="38" s="1"/>
  <c r="F257" i="38"/>
  <c r="F258" i="38"/>
  <c r="F259" i="38"/>
  <c r="F260" i="38"/>
  <c r="F261" i="38"/>
  <c r="F262" i="38"/>
  <c r="F263" i="38"/>
  <c r="F264" i="38"/>
  <c r="F265" i="38"/>
  <c r="F266" i="38"/>
  <c r="F267" i="38"/>
  <c r="F268" i="38"/>
  <c r="F269" i="38"/>
  <c r="F270" i="38"/>
  <c r="F271" i="38"/>
  <c r="H271" i="38" s="1"/>
  <c r="I271" i="38" s="1"/>
  <c r="J271" i="38" s="1"/>
  <c r="F272" i="38"/>
  <c r="F273" i="38"/>
  <c r="F274" i="38"/>
  <c r="F275" i="38"/>
  <c r="F276" i="38"/>
  <c r="F277" i="38"/>
  <c r="F278" i="38"/>
  <c r="F279" i="38"/>
  <c r="F280" i="38"/>
  <c r="F281" i="38"/>
  <c r="F282" i="38"/>
  <c r="F283" i="38"/>
  <c r="F284" i="38"/>
  <c r="F285" i="38"/>
  <c r="F286" i="38"/>
  <c r="F287" i="38"/>
  <c r="F288" i="38"/>
  <c r="F289" i="38"/>
  <c r="F290" i="38"/>
  <c r="F291" i="38"/>
  <c r="F292" i="38"/>
  <c r="F293" i="38"/>
  <c r="F294" i="38"/>
  <c r="F295" i="38"/>
  <c r="F296" i="38"/>
  <c r="F297" i="38"/>
  <c r="F298" i="38"/>
  <c r="F299" i="38"/>
  <c r="F300" i="38"/>
  <c r="F301" i="38"/>
  <c r="F302" i="38"/>
  <c r="F303" i="38"/>
  <c r="F304" i="38"/>
  <c r="F305" i="38"/>
  <c r="F306" i="38"/>
  <c r="F307" i="38"/>
  <c r="F308" i="38"/>
  <c r="F309" i="38"/>
  <c r="F310" i="38"/>
  <c r="F311" i="38"/>
  <c r="F312" i="38"/>
  <c r="F313" i="38"/>
  <c r="F314" i="38"/>
  <c r="F315" i="38"/>
  <c r="F316" i="38"/>
  <c r="F4" i="38"/>
  <c r="D5" i="38"/>
  <c r="D6" i="38"/>
  <c r="D7" i="38"/>
  <c r="D8" i="38"/>
  <c r="D9" i="38"/>
  <c r="D10" i="38"/>
  <c r="D11" i="38"/>
  <c r="D12" i="38"/>
  <c r="D13" i="38"/>
  <c r="D14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2" i="38"/>
  <c r="D73" i="38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D104" i="38"/>
  <c r="D105" i="38"/>
  <c r="D106" i="38"/>
  <c r="D107" i="38"/>
  <c r="D108" i="38"/>
  <c r="D109" i="38"/>
  <c r="D110" i="38"/>
  <c r="D111" i="38"/>
  <c r="D112" i="38"/>
  <c r="D113" i="38"/>
  <c r="D114" i="38"/>
  <c r="D115" i="38"/>
  <c r="D116" i="38"/>
  <c r="D117" i="38"/>
  <c r="D118" i="38"/>
  <c r="D119" i="38"/>
  <c r="D120" i="38"/>
  <c r="D121" i="38"/>
  <c r="D122" i="38"/>
  <c r="D123" i="38"/>
  <c r="D124" i="38"/>
  <c r="D125" i="38"/>
  <c r="D126" i="38"/>
  <c r="D127" i="38"/>
  <c r="D128" i="38"/>
  <c r="D129" i="38"/>
  <c r="D130" i="38"/>
  <c r="D131" i="38"/>
  <c r="D132" i="38"/>
  <c r="D133" i="38"/>
  <c r="D134" i="38"/>
  <c r="D135" i="38"/>
  <c r="D136" i="38"/>
  <c r="D137" i="38"/>
  <c r="D138" i="38"/>
  <c r="D139" i="38"/>
  <c r="D140" i="38"/>
  <c r="D141" i="38"/>
  <c r="D142" i="38"/>
  <c r="D143" i="38"/>
  <c r="D144" i="38"/>
  <c r="D145" i="38"/>
  <c r="D146" i="38"/>
  <c r="D147" i="38"/>
  <c r="D148" i="38"/>
  <c r="D149" i="38"/>
  <c r="D150" i="38"/>
  <c r="D151" i="38"/>
  <c r="D152" i="38"/>
  <c r="D153" i="38"/>
  <c r="D154" i="38"/>
  <c r="D155" i="38"/>
  <c r="D156" i="38"/>
  <c r="D157" i="38"/>
  <c r="D158" i="38"/>
  <c r="D159" i="38"/>
  <c r="D160" i="38"/>
  <c r="D161" i="38"/>
  <c r="D162" i="38"/>
  <c r="D163" i="38"/>
  <c r="D164" i="38"/>
  <c r="D165" i="38"/>
  <c r="D166" i="38"/>
  <c r="D167" i="38"/>
  <c r="D168" i="38"/>
  <c r="D169" i="38"/>
  <c r="D170" i="38"/>
  <c r="D171" i="38"/>
  <c r="D172" i="38"/>
  <c r="D173" i="38"/>
  <c r="D174" i="38"/>
  <c r="D175" i="38"/>
  <c r="D176" i="38"/>
  <c r="D177" i="38"/>
  <c r="D178" i="38"/>
  <c r="D179" i="38"/>
  <c r="D180" i="38"/>
  <c r="D181" i="38"/>
  <c r="D182" i="38"/>
  <c r="D183" i="38"/>
  <c r="D184" i="38"/>
  <c r="D185" i="38"/>
  <c r="D186" i="38"/>
  <c r="D187" i="38"/>
  <c r="D188" i="38"/>
  <c r="D189" i="38"/>
  <c r="D190" i="38"/>
  <c r="D191" i="38"/>
  <c r="D192" i="38"/>
  <c r="D193" i="38"/>
  <c r="D194" i="38"/>
  <c r="D195" i="38"/>
  <c r="D196" i="38"/>
  <c r="D197" i="38"/>
  <c r="D198" i="38"/>
  <c r="D199" i="38"/>
  <c r="D200" i="38"/>
  <c r="D201" i="38"/>
  <c r="D202" i="38"/>
  <c r="D203" i="38"/>
  <c r="D204" i="38"/>
  <c r="D205" i="38"/>
  <c r="D206" i="38"/>
  <c r="D207" i="38"/>
  <c r="D208" i="38"/>
  <c r="D209" i="38"/>
  <c r="D210" i="38"/>
  <c r="D211" i="38"/>
  <c r="D212" i="38"/>
  <c r="D213" i="38"/>
  <c r="D214" i="38"/>
  <c r="D215" i="38"/>
  <c r="D216" i="38"/>
  <c r="D217" i="38"/>
  <c r="D218" i="38"/>
  <c r="D219" i="38"/>
  <c r="D220" i="38"/>
  <c r="D221" i="38"/>
  <c r="D222" i="38"/>
  <c r="D223" i="38"/>
  <c r="D224" i="38"/>
  <c r="D225" i="38"/>
  <c r="D226" i="38"/>
  <c r="D227" i="38"/>
  <c r="D228" i="38"/>
  <c r="D229" i="38"/>
  <c r="D230" i="38"/>
  <c r="D231" i="38"/>
  <c r="D232" i="38"/>
  <c r="D233" i="38"/>
  <c r="D234" i="38"/>
  <c r="D235" i="38"/>
  <c r="D236" i="38"/>
  <c r="D237" i="38"/>
  <c r="D238" i="38"/>
  <c r="D239" i="38"/>
  <c r="D240" i="38"/>
  <c r="D241" i="38"/>
  <c r="D242" i="38"/>
  <c r="D243" i="38"/>
  <c r="D244" i="38"/>
  <c r="D245" i="38"/>
  <c r="D246" i="38"/>
  <c r="D247" i="38"/>
  <c r="D248" i="38"/>
  <c r="D249" i="38"/>
  <c r="D250" i="38"/>
  <c r="D251" i="38"/>
  <c r="D252" i="38"/>
  <c r="D253" i="38"/>
  <c r="D254" i="38"/>
  <c r="D255" i="38"/>
  <c r="D256" i="38"/>
  <c r="D257" i="38"/>
  <c r="D258" i="38"/>
  <c r="D259" i="38"/>
  <c r="D260" i="38"/>
  <c r="D261" i="38"/>
  <c r="D262" i="38"/>
  <c r="D263" i="38"/>
  <c r="D264" i="38"/>
  <c r="D265" i="38"/>
  <c r="D266" i="38"/>
  <c r="D267" i="38"/>
  <c r="D268" i="38"/>
  <c r="D269" i="38"/>
  <c r="D270" i="38"/>
  <c r="D271" i="38"/>
  <c r="D272" i="38"/>
  <c r="D273" i="38"/>
  <c r="D274" i="38"/>
  <c r="D275" i="38"/>
  <c r="D276" i="38"/>
  <c r="D277" i="38"/>
  <c r="D278" i="38"/>
  <c r="D279" i="38"/>
  <c r="D280" i="38"/>
  <c r="D281" i="38"/>
  <c r="D282" i="38"/>
  <c r="D283" i="38"/>
  <c r="D284" i="38"/>
  <c r="D285" i="38"/>
  <c r="D286" i="38"/>
  <c r="D287" i="38"/>
  <c r="D288" i="38"/>
  <c r="D289" i="38"/>
  <c r="D290" i="38"/>
  <c r="D291" i="38"/>
  <c r="D292" i="38"/>
  <c r="D293" i="38"/>
  <c r="D294" i="38"/>
  <c r="D295" i="38"/>
  <c r="D296" i="38"/>
  <c r="D297" i="38"/>
  <c r="D298" i="38"/>
  <c r="D299" i="38"/>
  <c r="D300" i="38"/>
  <c r="D301" i="38"/>
  <c r="D302" i="38"/>
  <c r="D303" i="38"/>
  <c r="D304" i="38"/>
  <c r="D305" i="38"/>
  <c r="D306" i="38"/>
  <c r="D307" i="38"/>
  <c r="D308" i="38"/>
  <c r="D309" i="38"/>
  <c r="D310" i="38"/>
  <c r="D311" i="38"/>
  <c r="D312" i="38"/>
  <c r="D313" i="38"/>
  <c r="D314" i="38"/>
  <c r="D315" i="38"/>
  <c r="D316" i="38"/>
  <c r="D4" i="38"/>
  <c r="H15" i="37"/>
  <c r="H58" i="37"/>
  <c r="H156" i="37"/>
  <c r="H175" i="37"/>
  <c r="H196" i="37"/>
  <c r="H239" i="37"/>
  <c r="H243" i="37"/>
  <c r="H256" i="37"/>
  <c r="H258" i="37"/>
  <c r="H301" i="37"/>
  <c r="E5" i="37"/>
  <c r="G5" i="37" s="1"/>
  <c r="E6" i="37"/>
  <c r="G6" i="37" s="1"/>
  <c r="E7" i="37"/>
  <c r="G7" i="37" s="1"/>
  <c r="E8" i="37"/>
  <c r="G8" i="37" s="1"/>
  <c r="E9" i="37"/>
  <c r="G9" i="37" s="1"/>
  <c r="E10" i="37"/>
  <c r="G10" i="37" s="1"/>
  <c r="E11" i="37"/>
  <c r="G11" i="37" s="1"/>
  <c r="E12" i="37"/>
  <c r="G12" i="37" s="1"/>
  <c r="E13" i="37"/>
  <c r="G13" i="37" s="1"/>
  <c r="E14" i="37"/>
  <c r="G14" i="37" s="1"/>
  <c r="E15" i="37"/>
  <c r="G15" i="37" s="1"/>
  <c r="E16" i="37"/>
  <c r="G16" i="37" s="1"/>
  <c r="E17" i="37"/>
  <c r="G17" i="37" s="1"/>
  <c r="E18" i="37"/>
  <c r="G18" i="37" s="1"/>
  <c r="E19" i="37"/>
  <c r="G19" i="37" s="1"/>
  <c r="E20" i="37"/>
  <c r="G20" i="37" s="1"/>
  <c r="E21" i="37"/>
  <c r="G21" i="37" s="1"/>
  <c r="E22" i="37"/>
  <c r="G22" i="37" s="1"/>
  <c r="E23" i="37"/>
  <c r="G23" i="37" s="1"/>
  <c r="E24" i="37"/>
  <c r="G24" i="37" s="1"/>
  <c r="E25" i="37"/>
  <c r="G25" i="37" s="1"/>
  <c r="E26" i="37"/>
  <c r="G26" i="37" s="1"/>
  <c r="E27" i="37"/>
  <c r="G27" i="37" s="1"/>
  <c r="E28" i="37"/>
  <c r="G28" i="37" s="1"/>
  <c r="E29" i="37"/>
  <c r="G29" i="37" s="1"/>
  <c r="E30" i="37"/>
  <c r="G30" i="37" s="1"/>
  <c r="E31" i="37"/>
  <c r="G31" i="37" s="1"/>
  <c r="E32" i="37"/>
  <c r="G32" i="37" s="1"/>
  <c r="E33" i="37"/>
  <c r="G33" i="37" s="1"/>
  <c r="E34" i="37"/>
  <c r="G34" i="37" s="1"/>
  <c r="E35" i="37"/>
  <c r="G35" i="37" s="1"/>
  <c r="E36" i="37"/>
  <c r="G36" i="37" s="1"/>
  <c r="E37" i="37"/>
  <c r="G37" i="37" s="1"/>
  <c r="E38" i="37"/>
  <c r="G38" i="37" s="1"/>
  <c r="E39" i="37"/>
  <c r="G39" i="37" s="1"/>
  <c r="E40" i="37"/>
  <c r="G40" i="37" s="1"/>
  <c r="E41" i="37"/>
  <c r="G41" i="37" s="1"/>
  <c r="E42" i="37"/>
  <c r="G42" i="37" s="1"/>
  <c r="E43" i="37"/>
  <c r="G43" i="37" s="1"/>
  <c r="E44" i="37"/>
  <c r="G44" i="37" s="1"/>
  <c r="E45" i="37"/>
  <c r="G45" i="37" s="1"/>
  <c r="E46" i="37"/>
  <c r="G46" i="37" s="1"/>
  <c r="E47" i="37"/>
  <c r="G47" i="37" s="1"/>
  <c r="E48" i="37"/>
  <c r="G48" i="37" s="1"/>
  <c r="E49" i="37"/>
  <c r="G49" i="37" s="1"/>
  <c r="E50" i="37"/>
  <c r="G50" i="37" s="1"/>
  <c r="E51" i="37"/>
  <c r="G51" i="37" s="1"/>
  <c r="E52" i="37"/>
  <c r="G52" i="37" s="1"/>
  <c r="E53" i="37"/>
  <c r="G53" i="37" s="1"/>
  <c r="E54" i="37"/>
  <c r="G54" i="37" s="1"/>
  <c r="E55" i="37"/>
  <c r="G55" i="37" s="1"/>
  <c r="E56" i="37"/>
  <c r="G56" i="37" s="1"/>
  <c r="E57" i="37"/>
  <c r="G57" i="37" s="1"/>
  <c r="E58" i="37"/>
  <c r="G58" i="37" s="1"/>
  <c r="E59" i="37"/>
  <c r="G59" i="37" s="1"/>
  <c r="E60" i="37"/>
  <c r="G60" i="37" s="1"/>
  <c r="E61" i="37"/>
  <c r="G61" i="37" s="1"/>
  <c r="E62" i="37"/>
  <c r="G62" i="37" s="1"/>
  <c r="E63" i="37"/>
  <c r="G63" i="37" s="1"/>
  <c r="E64" i="37"/>
  <c r="G64" i="37" s="1"/>
  <c r="E65" i="37"/>
  <c r="G65" i="37" s="1"/>
  <c r="E66" i="37"/>
  <c r="G66" i="37" s="1"/>
  <c r="E67" i="37"/>
  <c r="G67" i="37" s="1"/>
  <c r="E68" i="37"/>
  <c r="G68" i="37" s="1"/>
  <c r="E69" i="37"/>
  <c r="G69" i="37" s="1"/>
  <c r="E70" i="37"/>
  <c r="G70" i="37" s="1"/>
  <c r="E71" i="37"/>
  <c r="G71" i="37" s="1"/>
  <c r="E72" i="37"/>
  <c r="G72" i="37" s="1"/>
  <c r="E73" i="37"/>
  <c r="G73" i="37" s="1"/>
  <c r="E74" i="37"/>
  <c r="G74" i="37" s="1"/>
  <c r="E75" i="37"/>
  <c r="G75" i="37" s="1"/>
  <c r="E76" i="37"/>
  <c r="G76" i="37" s="1"/>
  <c r="E77" i="37"/>
  <c r="G77" i="37" s="1"/>
  <c r="E78" i="37"/>
  <c r="G78" i="37" s="1"/>
  <c r="E79" i="37"/>
  <c r="G79" i="37" s="1"/>
  <c r="E80" i="37"/>
  <c r="G80" i="37" s="1"/>
  <c r="E81" i="37"/>
  <c r="G81" i="37" s="1"/>
  <c r="E82" i="37"/>
  <c r="G82" i="37" s="1"/>
  <c r="E83" i="37"/>
  <c r="G83" i="37" s="1"/>
  <c r="E84" i="37"/>
  <c r="G84" i="37" s="1"/>
  <c r="E85" i="37"/>
  <c r="G85" i="37" s="1"/>
  <c r="E86" i="37"/>
  <c r="G86" i="37" s="1"/>
  <c r="E87" i="37"/>
  <c r="G87" i="37" s="1"/>
  <c r="E88" i="37"/>
  <c r="G88" i="37" s="1"/>
  <c r="E89" i="37"/>
  <c r="G89" i="37" s="1"/>
  <c r="E90" i="37"/>
  <c r="G90" i="37" s="1"/>
  <c r="E91" i="37"/>
  <c r="G91" i="37" s="1"/>
  <c r="E92" i="37"/>
  <c r="G92" i="37" s="1"/>
  <c r="E93" i="37"/>
  <c r="G93" i="37" s="1"/>
  <c r="E94" i="37"/>
  <c r="G94" i="37" s="1"/>
  <c r="E95" i="37"/>
  <c r="G95" i="37" s="1"/>
  <c r="E96" i="37"/>
  <c r="G96" i="37" s="1"/>
  <c r="E97" i="37"/>
  <c r="G97" i="37" s="1"/>
  <c r="E98" i="37"/>
  <c r="G98" i="37" s="1"/>
  <c r="E99" i="37"/>
  <c r="G99" i="37" s="1"/>
  <c r="E100" i="37"/>
  <c r="G100" i="37" s="1"/>
  <c r="E101" i="37"/>
  <c r="G101" i="37" s="1"/>
  <c r="E102" i="37"/>
  <c r="G102" i="37" s="1"/>
  <c r="E103" i="37"/>
  <c r="G103" i="37" s="1"/>
  <c r="E104" i="37"/>
  <c r="G104" i="37" s="1"/>
  <c r="E105" i="37"/>
  <c r="G105" i="37" s="1"/>
  <c r="E106" i="37"/>
  <c r="G106" i="37" s="1"/>
  <c r="E107" i="37"/>
  <c r="G107" i="37" s="1"/>
  <c r="E108" i="37"/>
  <c r="G108" i="37" s="1"/>
  <c r="E109" i="37"/>
  <c r="G109" i="37" s="1"/>
  <c r="E110" i="37"/>
  <c r="G110" i="37" s="1"/>
  <c r="E111" i="37"/>
  <c r="G111" i="37" s="1"/>
  <c r="E112" i="37"/>
  <c r="G112" i="37" s="1"/>
  <c r="E113" i="37"/>
  <c r="G113" i="37" s="1"/>
  <c r="E114" i="37"/>
  <c r="G114" i="37" s="1"/>
  <c r="E115" i="37"/>
  <c r="G115" i="37" s="1"/>
  <c r="E116" i="37"/>
  <c r="G116" i="37" s="1"/>
  <c r="E117" i="37"/>
  <c r="G117" i="37" s="1"/>
  <c r="E118" i="37"/>
  <c r="G118" i="37" s="1"/>
  <c r="E119" i="37"/>
  <c r="G119" i="37" s="1"/>
  <c r="E120" i="37"/>
  <c r="G120" i="37" s="1"/>
  <c r="E121" i="37"/>
  <c r="G121" i="37" s="1"/>
  <c r="E122" i="37"/>
  <c r="G122" i="37" s="1"/>
  <c r="E123" i="37"/>
  <c r="G123" i="37" s="1"/>
  <c r="E124" i="37"/>
  <c r="G124" i="37" s="1"/>
  <c r="E125" i="37"/>
  <c r="G125" i="37" s="1"/>
  <c r="E126" i="37"/>
  <c r="G126" i="37" s="1"/>
  <c r="E127" i="37"/>
  <c r="G127" i="37" s="1"/>
  <c r="H127" i="37" s="1"/>
  <c r="E128" i="37"/>
  <c r="G128" i="37" s="1"/>
  <c r="E129" i="37"/>
  <c r="G129" i="37" s="1"/>
  <c r="E130" i="37"/>
  <c r="G130" i="37" s="1"/>
  <c r="E131" i="37"/>
  <c r="G131" i="37" s="1"/>
  <c r="E132" i="37"/>
  <c r="G132" i="37" s="1"/>
  <c r="E133" i="37"/>
  <c r="G133" i="37" s="1"/>
  <c r="E134" i="37"/>
  <c r="G134" i="37" s="1"/>
  <c r="E135" i="37"/>
  <c r="G135" i="37" s="1"/>
  <c r="E136" i="37"/>
  <c r="G136" i="37" s="1"/>
  <c r="E137" i="37"/>
  <c r="G137" i="37" s="1"/>
  <c r="E138" i="37"/>
  <c r="G138" i="37" s="1"/>
  <c r="E139" i="37"/>
  <c r="G139" i="37" s="1"/>
  <c r="E140" i="37"/>
  <c r="G140" i="37" s="1"/>
  <c r="E141" i="37"/>
  <c r="G141" i="37" s="1"/>
  <c r="E142" i="37"/>
  <c r="G142" i="37" s="1"/>
  <c r="E143" i="37"/>
  <c r="G143" i="37" s="1"/>
  <c r="E144" i="37"/>
  <c r="G144" i="37" s="1"/>
  <c r="E145" i="37"/>
  <c r="G145" i="37" s="1"/>
  <c r="E146" i="37"/>
  <c r="G146" i="37" s="1"/>
  <c r="E147" i="37"/>
  <c r="G147" i="37" s="1"/>
  <c r="E148" i="37"/>
  <c r="G148" i="37" s="1"/>
  <c r="E149" i="37"/>
  <c r="G149" i="37" s="1"/>
  <c r="E150" i="37"/>
  <c r="G150" i="37" s="1"/>
  <c r="E151" i="37"/>
  <c r="G151" i="37" s="1"/>
  <c r="E152" i="37"/>
  <c r="G152" i="37" s="1"/>
  <c r="E153" i="37"/>
  <c r="G153" i="37" s="1"/>
  <c r="E154" i="37"/>
  <c r="G154" i="37" s="1"/>
  <c r="E155" i="37"/>
  <c r="G155" i="37" s="1"/>
  <c r="E156" i="37"/>
  <c r="G156" i="37" s="1"/>
  <c r="E157" i="37"/>
  <c r="G157" i="37" s="1"/>
  <c r="E158" i="37"/>
  <c r="G158" i="37" s="1"/>
  <c r="E159" i="37"/>
  <c r="G159" i="37" s="1"/>
  <c r="E160" i="37"/>
  <c r="G160" i="37" s="1"/>
  <c r="E161" i="37"/>
  <c r="G161" i="37" s="1"/>
  <c r="E162" i="37"/>
  <c r="G162" i="37" s="1"/>
  <c r="E163" i="37"/>
  <c r="G163" i="37" s="1"/>
  <c r="E164" i="37"/>
  <c r="G164" i="37" s="1"/>
  <c r="E165" i="37"/>
  <c r="G165" i="37" s="1"/>
  <c r="E166" i="37"/>
  <c r="G166" i="37" s="1"/>
  <c r="E167" i="37"/>
  <c r="G167" i="37" s="1"/>
  <c r="E168" i="37"/>
  <c r="G168" i="37" s="1"/>
  <c r="E169" i="37"/>
  <c r="G169" i="37" s="1"/>
  <c r="E170" i="37"/>
  <c r="G170" i="37" s="1"/>
  <c r="E171" i="37"/>
  <c r="G171" i="37" s="1"/>
  <c r="E172" i="37"/>
  <c r="G172" i="37" s="1"/>
  <c r="E173" i="37"/>
  <c r="G173" i="37" s="1"/>
  <c r="E174" i="37"/>
  <c r="G174" i="37" s="1"/>
  <c r="E175" i="37"/>
  <c r="G175" i="37" s="1"/>
  <c r="E176" i="37"/>
  <c r="G176" i="37" s="1"/>
  <c r="E177" i="37"/>
  <c r="G177" i="37" s="1"/>
  <c r="E178" i="37"/>
  <c r="G178" i="37" s="1"/>
  <c r="E179" i="37"/>
  <c r="G179" i="37" s="1"/>
  <c r="E180" i="37"/>
  <c r="G180" i="37" s="1"/>
  <c r="E181" i="37"/>
  <c r="G181" i="37" s="1"/>
  <c r="E182" i="37"/>
  <c r="G182" i="37" s="1"/>
  <c r="E183" i="37"/>
  <c r="G183" i="37" s="1"/>
  <c r="E184" i="37"/>
  <c r="G184" i="37" s="1"/>
  <c r="E185" i="37"/>
  <c r="G185" i="37" s="1"/>
  <c r="E186" i="37"/>
  <c r="G186" i="37" s="1"/>
  <c r="E187" i="37"/>
  <c r="G187" i="37" s="1"/>
  <c r="E188" i="37"/>
  <c r="G188" i="37" s="1"/>
  <c r="E189" i="37"/>
  <c r="G189" i="37" s="1"/>
  <c r="E190" i="37"/>
  <c r="G190" i="37" s="1"/>
  <c r="E191" i="37"/>
  <c r="G191" i="37" s="1"/>
  <c r="E192" i="37"/>
  <c r="G192" i="37" s="1"/>
  <c r="E193" i="37"/>
  <c r="G193" i="37" s="1"/>
  <c r="E194" i="37"/>
  <c r="G194" i="37" s="1"/>
  <c r="E195" i="37"/>
  <c r="G195" i="37" s="1"/>
  <c r="E196" i="37"/>
  <c r="G196" i="37" s="1"/>
  <c r="E197" i="37"/>
  <c r="G197" i="37" s="1"/>
  <c r="E198" i="37"/>
  <c r="G198" i="37" s="1"/>
  <c r="E199" i="37"/>
  <c r="G199" i="37" s="1"/>
  <c r="E200" i="37"/>
  <c r="G200" i="37" s="1"/>
  <c r="E201" i="37"/>
  <c r="G201" i="37" s="1"/>
  <c r="E202" i="37"/>
  <c r="G202" i="37" s="1"/>
  <c r="E203" i="37"/>
  <c r="G203" i="37" s="1"/>
  <c r="E204" i="37"/>
  <c r="G204" i="37" s="1"/>
  <c r="E205" i="37"/>
  <c r="G205" i="37" s="1"/>
  <c r="E206" i="37"/>
  <c r="G206" i="37" s="1"/>
  <c r="E207" i="37"/>
  <c r="G207" i="37" s="1"/>
  <c r="E208" i="37"/>
  <c r="G208" i="37" s="1"/>
  <c r="E209" i="37"/>
  <c r="G209" i="37" s="1"/>
  <c r="E210" i="37"/>
  <c r="G210" i="37" s="1"/>
  <c r="E211" i="37"/>
  <c r="G211" i="37" s="1"/>
  <c r="E212" i="37"/>
  <c r="G212" i="37" s="1"/>
  <c r="E213" i="37"/>
  <c r="G213" i="37" s="1"/>
  <c r="E214" i="37"/>
  <c r="G214" i="37" s="1"/>
  <c r="E215" i="37"/>
  <c r="G215" i="37" s="1"/>
  <c r="E216" i="37"/>
  <c r="G216" i="37" s="1"/>
  <c r="E217" i="37"/>
  <c r="G217" i="37" s="1"/>
  <c r="E218" i="37"/>
  <c r="G218" i="37" s="1"/>
  <c r="E219" i="37"/>
  <c r="G219" i="37" s="1"/>
  <c r="E220" i="37"/>
  <c r="G220" i="37" s="1"/>
  <c r="E221" i="37"/>
  <c r="G221" i="37" s="1"/>
  <c r="E222" i="37"/>
  <c r="G222" i="37" s="1"/>
  <c r="E223" i="37"/>
  <c r="G223" i="37" s="1"/>
  <c r="E224" i="37"/>
  <c r="G224" i="37" s="1"/>
  <c r="E225" i="37"/>
  <c r="G225" i="37" s="1"/>
  <c r="E226" i="37"/>
  <c r="G226" i="37" s="1"/>
  <c r="E227" i="37"/>
  <c r="G227" i="37" s="1"/>
  <c r="E228" i="37"/>
  <c r="G228" i="37" s="1"/>
  <c r="E229" i="37"/>
  <c r="G229" i="37" s="1"/>
  <c r="E230" i="37"/>
  <c r="G230" i="37" s="1"/>
  <c r="E231" i="37"/>
  <c r="G231" i="37" s="1"/>
  <c r="E232" i="37"/>
  <c r="G232" i="37" s="1"/>
  <c r="E233" i="37"/>
  <c r="G233" i="37" s="1"/>
  <c r="E234" i="37"/>
  <c r="G234" i="37" s="1"/>
  <c r="E235" i="37"/>
  <c r="G235" i="37" s="1"/>
  <c r="E236" i="37"/>
  <c r="G236" i="37" s="1"/>
  <c r="E237" i="37"/>
  <c r="G237" i="37" s="1"/>
  <c r="E238" i="37"/>
  <c r="G238" i="37" s="1"/>
  <c r="E239" i="37"/>
  <c r="G239" i="37" s="1"/>
  <c r="E240" i="37"/>
  <c r="G240" i="37" s="1"/>
  <c r="E241" i="37"/>
  <c r="G241" i="37" s="1"/>
  <c r="E242" i="37"/>
  <c r="G242" i="37" s="1"/>
  <c r="E243" i="37"/>
  <c r="G243" i="37" s="1"/>
  <c r="E244" i="37"/>
  <c r="G244" i="37" s="1"/>
  <c r="E245" i="37"/>
  <c r="G245" i="37" s="1"/>
  <c r="E246" i="37"/>
  <c r="G246" i="37" s="1"/>
  <c r="E247" i="37"/>
  <c r="G247" i="37" s="1"/>
  <c r="E248" i="37"/>
  <c r="G248" i="37" s="1"/>
  <c r="E249" i="37"/>
  <c r="G249" i="37" s="1"/>
  <c r="E250" i="37"/>
  <c r="G250" i="37" s="1"/>
  <c r="E251" i="37"/>
  <c r="G251" i="37" s="1"/>
  <c r="E252" i="37"/>
  <c r="G252" i="37" s="1"/>
  <c r="E253" i="37"/>
  <c r="G253" i="37" s="1"/>
  <c r="E254" i="37"/>
  <c r="G254" i="37" s="1"/>
  <c r="E255" i="37"/>
  <c r="G255" i="37" s="1"/>
  <c r="E256" i="37"/>
  <c r="G256" i="37" s="1"/>
  <c r="E257" i="37"/>
  <c r="G257" i="37" s="1"/>
  <c r="E258" i="37"/>
  <c r="G258" i="37" s="1"/>
  <c r="E259" i="37"/>
  <c r="G259" i="37" s="1"/>
  <c r="E260" i="37"/>
  <c r="G260" i="37" s="1"/>
  <c r="E261" i="37"/>
  <c r="G261" i="37" s="1"/>
  <c r="E262" i="37"/>
  <c r="G262" i="37" s="1"/>
  <c r="E263" i="37"/>
  <c r="G263" i="37" s="1"/>
  <c r="E264" i="37"/>
  <c r="G264" i="37" s="1"/>
  <c r="E265" i="37"/>
  <c r="G265" i="37" s="1"/>
  <c r="E266" i="37"/>
  <c r="G266" i="37" s="1"/>
  <c r="E267" i="37"/>
  <c r="G267" i="37" s="1"/>
  <c r="E268" i="37"/>
  <c r="G268" i="37" s="1"/>
  <c r="E269" i="37"/>
  <c r="G269" i="37" s="1"/>
  <c r="E270" i="37"/>
  <c r="G270" i="37" s="1"/>
  <c r="E271" i="37"/>
  <c r="G271" i="37" s="1"/>
  <c r="E272" i="37"/>
  <c r="G272" i="37" s="1"/>
  <c r="E273" i="37"/>
  <c r="G273" i="37" s="1"/>
  <c r="E274" i="37"/>
  <c r="G274" i="37" s="1"/>
  <c r="E275" i="37"/>
  <c r="G275" i="37" s="1"/>
  <c r="E276" i="37"/>
  <c r="G276" i="37" s="1"/>
  <c r="E277" i="37"/>
  <c r="G277" i="37" s="1"/>
  <c r="E278" i="37"/>
  <c r="G278" i="37" s="1"/>
  <c r="E279" i="37"/>
  <c r="G279" i="37" s="1"/>
  <c r="E280" i="37"/>
  <c r="G280" i="37" s="1"/>
  <c r="E281" i="37"/>
  <c r="G281" i="37" s="1"/>
  <c r="E282" i="37"/>
  <c r="G282" i="37" s="1"/>
  <c r="E283" i="37"/>
  <c r="G283" i="37" s="1"/>
  <c r="E284" i="37"/>
  <c r="G284" i="37" s="1"/>
  <c r="E285" i="37"/>
  <c r="G285" i="37" s="1"/>
  <c r="E286" i="37"/>
  <c r="G286" i="37" s="1"/>
  <c r="E287" i="37"/>
  <c r="G287" i="37" s="1"/>
  <c r="E288" i="37"/>
  <c r="G288" i="37" s="1"/>
  <c r="E289" i="37"/>
  <c r="G289" i="37" s="1"/>
  <c r="E290" i="37"/>
  <c r="G290" i="37" s="1"/>
  <c r="E291" i="37"/>
  <c r="G291" i="37" s="1"/>
  <c r="E292" i="37"/>
  <c r="G292" i="37" s="1"/>
  <c r="E293" i="37"/>
  <c r="G293" i="37" s="1"/>
  <c r="E294" i="37"/>
  <c r="G294" i="37" s="1"/>
  <c r="E295" i="37"/>
  <c r="G295" i="37" s="1"/>
  <c r="E296" i="37"/>
  <c r="G296" i="37" s="1"/>
  <c r="E297" i="37"/>
  <c r="G297" i="37" s="1"/>
  <c r="E298" i="37"/>
  <c r="G298" i="37" s="1"/>
  <c r="E299" i="37"/>
  <c r="G299" i="37" s="1"/>
  <c r="E300" i="37"/>
  <c r="G300" i="37" s="1"/>
  <c r="E301" i="37"/>
  <c r="G301" i="37" s="1"/>
  <c r="E302" i="37"/>
  <c r="G302" i="37" s="1"/>
  <c r="E303" i="37"/>
  <c r="G303" i="37" s="1"/>
  <c r="E304" i="37"/>
  <c r="G304" i="37" s="1"/>
  <c r="E305" i="37"/>
  <c r="G305" i="37" s="1"/>
  <c r="E306" i="37"/>
  <c r="G306" i="37" s="1"/>
  <c r="E307" i="37"/>
  <c r="G307" i="37" s="1"/>
  <c r="E308" i="37"/>
  <c r="G308" i="37" s="1"/>
  <c r="E309" i="37"/>
  <c r="G309" i="37" s="1"/>
  <c r="E310" i="37"/>
  <c r="G310" i="37" s="1"/>
  <c r="E311" i="37"/>
  <c r="G311" i="37" s="1"/>
  <c r="E312" i="37"/>
  <c r="G312" i="37" s="1"/>
  <c r="E313" i="37"/>
  <c r="G313" i="37" s="1"/>
  <c r="E314" i="37"/>
  <c r="G314" i="37" s="1"/>
  <c r="E315" i="37"/>
  <c r="G315" i="37" s="1"/>
  <c r="E316" i="37"/>
  <c r="G316" i="37" s="1"/>
  <c r="E4" i="37"/>
  <c r="G4" i="37" s="1"/>
  <c r="F5" i="36"/>
  <c r="F6" i="36"/>
  <c r="F7" i="36"/>
  <c r="F8" i="36"/>
  <c r="F9" i="36"/>
  <c r="F10" i="36"/>
  <c r="F11" i="36"/>
  <c r="F12" i="36"/>
  <c r="F13" i="36"/>
  <c r="F14" i="36"/>
  <c r="F15" i="36"/>
  <c r="H15" i="36" s="1"/>
  <c r="I15" i="36" s="1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F104" i="36"/>
  <c r="F105" i="36"/>
  <c r="F106" i="36"/>
  <c r="F107" i="36"/>
  <c r="F108" i="36"/>
  <c r="F109" i="36"/>
  <c r="F110" i="36"/>
  <c r="F111" i="36"/>
  <c r="F112" i="36"/>
  <c r="F113" i="36"/>
  <c r="F114" i="36"/>
  <c r="F115" i="36"/>
  <c r="F116" i="36"/>
  <c r="F117" i="36"/>
  <c r="F118" i="36"/>
  <c r="F119" i="36"/>
  <c r="F120" i="36"/>
  <c r="F121" i="36"/>
  <c r="F122" i="36"/>
  <c r="F123" i="36"/>
  <c r="F124" i="36"/>
  <c r="F125" i="36"/>
  <c r="F126" i="36"/>
  <c r="F127" i="36"/>
  <c r="F128" i="36"/>
  <c r="F129" i="36"/>
  <c r="F130" i="36"/>
  <c r="F131" i="36"/>
  <c r="F132" i="36"/>
  <c r="F133" i="36"/>
  <c r="F134" i="36"/>
  <c r="F135" i="36"/>
  <c r="F136" i="36"/>
  <c r="F137" i="36"/>
  <c r="F138" i="36"/>
  <c r="F139" i="36"/>
  <c r="F140" i="36"/>
  <c r="F141" i="36"/>
  <c r="F142" i="36"/>
  <c r="F143" i="36"/>
  <c r="F144" i="36"/>
  <c r="F145" i="36"/>
  <c r="F146" i="36"/>
  <c r="F147" i="36"/>
  <c r="F148" i="36"/>
  <c r="F149" i="36"/>
  <c r="F150" i="36"/>
  <c r="F151" i="36"/>
  <c r="F152" i="36"/>
  <c r="F153" i="36"/>
  <c r="F154" i="36"/>
  <c r="F155" i="36"/>
  <c r="F156" i="36"/>
  <c r="H156" i="36" s="1"/>
  <c r="F157" i="36"/>
  <c r="F158" i="36"/>
  <c r="F159" i="36"/>
  <c r="F160" i="36"/>
  <c r="F161" i="36"/>
  <c r="F162" i="36"/>
  <c r="F163" i="36"/>
  <c r="F164" i="36"/>
  <c r="F165" i="36"/>
  <c r="F166" i="36"/>
  <c r="F167" i="36"/>
  <c r="F168" i="36"/>
  <c r="F169" i="36"/>
  <c r="F170" i="36"/>
  <c r="F171" i="36"/>
  <c r="F172" i="36"/>
  <c r="F173" i="36"/>
  <c r="F174" i="36"/>
  <c r="F175" i="36"/>
  <c r="F176" i="36"/>
  <c r="F177" i="36"/>
  <c r="F178" i="36"/>
  <c r="F179" i="36"/>
  <c r="F180" i="36"/>
  <c r="F181" i="36"/>
  <c r="F182" i="36"/>
  <c r="F183" i="36"/>
  <c r="F184" i="36"/>
  <c r="F185" i="36"/>
  <c r="F186" i="36"/>
  <c r="F187" i="36"/>
  <c r="F188" i="36"/>
  <c r="F189" i="36"/>
  <c r="F190" i="36"/>
  <c r="F191" i="36"/>
  <c r="F192" i="36"/>
  <c r="F193" i="36"/>
  <c r="F194" i="36"/>
  <c r="F195" i="36"/>
  <c r="F196" i="36"/>
  <c r="F197" i="36"/>
  <c r="F198" i="36"/>
  <c r="F199" i="36"/>
  <c r="F200" i="36"/>
  <c r="F201" i="36"/>
  <c r="F202" i="36"/>
  <c r="F203" i="36"/>
  <c r="F204" i="36"/>
  <c r="F205" i="36"/>
  <c r="F206" i="36"/>
  <c r="F207" i="36"/>
  <c r="F208" i="36"/>
  <c r="F209" i="36"/>
  <c r="F210" i="36"/>
  <c r="F211" i="36"/>
  <c r="F212" i="36"/>
  <c r="F213" i="36"/>
  <c r="F214" i="36"/>
  <c r="F215" i="36"/>
  <c r="F216" i="36"/>
  <c r="F217" i="36"/>
  <c r="F218" i="36"/>
  <c r="F219" i="36"/>
  <c r="F220" i="36"/>
  <c r="F221" i="36"/>
  <c r="F222" i="36"/>
  <c r="F223" i="36"/>
  <c r="F224" i="36"/>
  <c r="F225" i="36"/>
  <c r="F226" i="36"/>
  <c r="F227" i="36"/>
  <c r="F228" i="36"/>
  <c r="F229" i="36"/>
  <c r="F230" i="36"/>
  <c r="F231" i="36"/>
  <c r="F232" i="36"/>
  <c r="F233" i="36"/>
  <c r="F234" i="36"/>
  <c r="F235" i="36"/>
  <c r="F236" i="36"/>
  <c r="F237" i="36"/>
  <c r="F238" i="36"/>
  <c r="F239" i="36"/>
  <c r="F240" i="36"/>
  <c r="F241" i="36"/>
  <c r="F242" i="36"/>
  <c r="F243" i="36"/>
  <c r="F244" i="36"/>
  <c r="F245" i="36"/>
  <c r="F246" i="36"/>
  <c r="F247" i="36"/>
  <c r="F248" i="36"/>
  <c r="F249" i="36"/>
  <c r="F250" i="36"/>
  <c r="F251" i="36"/>
  <c r="F252" i="36"/>
  <c r="F253" i="36"/>
  <c r="F254" i="36"/>
  <c r="F255" i="36"/>
  <c r="F256" i="36"/>
  <c r="H256" i="36" s="1"/>
  <c r="F257" i="36"/>
  <c r="F258" i="36"/>
  <c r="H258" i="36" s="1"/>
  <c r="I258" i="36" s="1"/>
  <c r="F259" i="36"/>
  <c r="F260" i="36"/>
  <c r="F261" i="36"/>
  <c r="F262" i="36"/>
  <c r="F263" i="36"/>
  <c r="F264" i="36"/>
  <c r="F265" i="36"/>
  <c r="F266" i="36"/>
  <c r="F267" i="36"/>
  <c r="F268" i="36"/>
  <c r="F269" i="36"/>
  <c r="F270" i="36"/>
  <c r="F271" i="36"/>
  <c r="F272" i="36"/>
  <c r="F273" i="36"/>
  <c r="F274" i="36"/>
  <c r="F275" i="36"/>
  <c r="F276" i="36"/>
  <c r="F277" i="36"/>
  <c r="F278" i="36"/>
  <c r="F279" i="36"/>
  <c r="F280" i="36"/>
  <c r="F281" i="36"/>
  <c r="F282" i="36"/>
  <c r="F283" i="36"/>
  <c r="F284" i="36"/>
  <c r="F285" i="36"/>
  <c r="F286" i="36"/>
  <c r="F287" i="36"/>
  <c r="F288" i="36"/>
  <c r="F289" i="36"/>
  <c r="F290" i="36"/>
  <c r="F291" i="36"/>
  <c r="F292" i="36"/>
  <c r="F293" i="36"/>
  <c r="F294" i="36"/>
  <c r="F295" i="36"/>
  <c r="F296" i="36"/>
  <c r="F297" i="36"/>
  <c r="F298" i="36"/>
  <c r="F299" i="36"/>
  <c r="F300" i="36"/>
  <c r="F301" i="36"/>
  <c r="F302" i="36"/>
  <c r="F303" i="36"/>
  <c r="F304" i="36"/>
  <c r="F305" i="36"/>
  <c r="F306" i="36"/>
  <c r="F307" i="36"/>
  <c r="F308" i="36"/>
  <c r="F309" i="36"/>
  <c r="F310" i="36"/>
  <c r="F311" i="36"/>
  <c r="F312" i="36"/>
  <c r="F313" i="36"/>
  <c r="F314" i="36"/>
  <c r="F315" i="36"/>
  <c r="F316" i="36"/>
  <c r="F4" i="36"/>
  <c r="D5" i="36"/>
  <c r="D6" i="36"/>
  <c r="D7" i="36"/>
  <c r="D8" i="36"/>
  <c r="D9" i="36"/>
  <c r="D10" i="36"/>
  <c r="D11" i="36"/>
  <c r="D12" i="36"/>
  <c r="D13" i="36"/>
  <c r="D14" i="36"/>
  <c r="D15" i="36"/>
  <c r="D16" i="36"/>
  <c r="D17" i="36"/>
  <c r="D18" i="36"/>
  <c r="D19" i="36"/>
  <c r="D20" i="36"/>
  <c r="D21" i="36"/>
  <c r="D22" i="36"/>
  <c r="D23" i="36"/>
  <c r="D24" i="36"/>
  <c r="D25" i="36"/>
  <c r="D26" i="36"/>
  <c r="D27" i="36"/>
  <c r="D28" i="36"/>
  <c r="D29" i="36"/>
  <c r="D30" i="36"/>
  <c r="D31" i="36"/>
  <c r="D32" i="36"/>
  <c r="D33" i="36"/>
  <c r="D34" i="36"/>
  <c r="D35" i="36"/>
  <c r="D36" i="36"/>
  <c r="D37" i="36"/>
  <c r="D38" i="36"/>
  <c r="D39" i="36"/>
  <c r="D40" i="36"/>
  <c r="D41" i="36"/>
  <c r="D42" i="36"/>
  <c r="D43" i="36"/>
  <c r="D44" i="36"/>
  <c r="D45" i="36"/>
  <c r="D46" i="36"/>
  <c r="D47" i="36"/>
  <c r="D48" i="36"/>
  <c r="D49" i="36"/>
  <c r="D50" i="36"/>
  <c r="D51" i="36"/>
  <c r="D52" i="36"/>
  <c r="D53" i="36"/>
  <c r="D54" i="36"/>
  <c r="D55" i="36"/>
  <c r="D56" i="36"/>
  <c r="D57" i="36"/>
  <c r="D58" i="36"/>
  <c r="D59" i="36"/>
  <c r="D60" i="36"/>
  <c r="D61" i="36"/>
  <c r="D62" i="36"/>
  <c r="D63" i="36"/>
  <c r="D64" i="36"/>
  <c r="D65" i="36"/>
  <c r="D66" i="36"/>
  <c r="D67" i="36"/>
  <c r="D68" i="36"/>
  <c r="D69" i="36"/>
  <c r="D70" i="36"/>
  <c r="D71" i="36"/>
  <c r="D72" i="36"/>
  <c r="D73" i="36"/>
  <c r="D74" i="36"/>
  <c r="D75" i="36"/>
  <c r="D76" i="36"/>
  <c r="D77" i="36"/>
  <c r="D78" i="36"/>
  <c r="D79" i="36"/>
  <c r="D80" i="36"/>
  <c r="D81" i="36"/>
  <c r="D82" i="36"/>
  <c r="D83" i="36"/>
  <c r="D84" i="36"/>
  <c r="D85" i="36"/>
  <c r="D86" i="36"/>
  <c r="D87" i="36"/>
  <c r="D88" i="36"/>
  <c r="D89" i="36"/>
  <c r="D90" i="36"/>
  <c r="D91" i="36"/>
  <c r="D92" i="36"/>
  <c r="D93" i="36"/>
  <c r="D94" i="36"/>
  <c r="D95" i="36"/>
  <c r="D96" i="36"/>
  <c r="D97" i="36"/>
  <c r="D98" i="36"/>
  <c r="D99" i="36"/>
  <c r="D100" i="36"/>
  <c r="D101" i="36"/>
  <c r="D102" i="36"/>
  <c r="D103" i="36"/>
  <c r="D104" i="36"/>
  <c r="D105" i="36"/>
  <c r="D106" i="36"/>
  <c r="D107" i="36"/>
  <c r="D108" i="36"/>
  <c r="D109" i="36"/>
  <c r="D110" i="36"/>
  <c r="D111" i="36"/>
  <c r="D112" i="36"/>
  <c r="D113" i="36"/>
  <c r="D114" i="36"/>
  <c r="D115" i="36"/>
  <c r="D116" i="36"/>
  <c r="D117" i="36"/>
  <c r="D118" i="36"/>
  <c r="D119" i="36"/>
  <c r="D120" i="36"/>
  <c r="D121" i="36"/>
  <c r="D122" i="36"/>
  <c r="D123" i="36"/>
  <c r="D124" i="36"/>
  <c r="D125" i="36"/>
  <c r="D126" i="36"/>
  <c r="D127" i="36"/>
  <c r="D128" i="36"/>
  <c r="D129" i="36"/>
  <c r="D130" i="36"/>
  <c r="D131" i="36"/>
  <c r="D132" i="36"/>
  <c r="D133" i="36"/>
  <c r="D134" i="36"/>
  <c r="D135" i="36"/>
  <c r="D136" i="36"/>
  <c r="D137" i="36"/>
  <c r="D138" i="36"/>
  <c r="D139" i="36"/>
  <c r="D140" i="36"/>
  <c r="D141" i="36"/>
  <c r="D142" i="36"/>
  <c r="D143" i="36"/>
  <c r="D144" i="36"/>
  <c r="D145" i="36"/>
  <c r="D146" i="36"/>
  <c r="D147" i="36"/>
  <c r="D148" i="36"/>
  <c r="D149" i="36"/>
  <c r="D150" i="36"/>
  <c r="D151" i="36"/>
  <c r="D152" i="36"/>
  <c r="D153" i="36"/>
  <c r="D154" i="36"/>
  <c r="D155" i="36"/>
  <c r="D156" i="36"/>
  <c r="D157" i="36"/>
  <c r="D158" i="36"/>
  <c r="D159" i="36"/>
  <c r="D160" i="36"/>
  <c r="D161" i="36"/>
  <c r="D162" i="36"/>
  <c r="D163" i="36"/>
  <c r="D164" i="36"/>
  <c r="D165" i="36"/>
  <c r="D166" i="36"/>
  <c r="D167" i="36"/>
  <c r="D168" i="36"/>
  <c r="D169" i="36"/>
  <c r="D170" i="36"/>
  <c r="D171" i="36"/>
  <c r="D172" i="36"/>
  <c r="D173" i="36"/>
  <c r="D174" i="36"/>
  <c r="D175" i="36"/>
  <c r="D176" i="36"/>
  <c r="D177" i="36"/>
  <c r="D178" i="36"/>
  <c r="D179" i="36"/>
  <c r="D180" i="36"/>
  <c r="D181" i="36"/>
  <c r="D182" i="36"/>
  <c r="D183" i="36"/>
  <c r="D184" i="36"/>
  <c r="D185" i="36"/>
  <c r="D186" i="36"/>
  <c r="D187" i="36"/>
  <c r="D188" i="36"/>
  <c r="D189" i="36"/>
  <c r="D190" i="36"/>
  <c r="D191" i="36"/>
  <c r="D192" i="36"/>
  <c r="D193" i="36"/>
  <c r="D194" i="36"/>
  <c r="D195" i="36"/>
  <c r="D196" i="36"/>
  <c r="D197" i="36"/>
  <c r="D198" i="36"/>
  <c r="D199" i="36"/>
  <c r="D200" i="36"/>
  <c r="D201" i="36"/>
  <c r="D202" i="36"/>
  <c r="D203" i="36"/>
  <c r="D204" i="36"/>
  <c r="D205" i="36"/>
  <c r="D206" i="36"/>
  <c r="D207" i="36"/>
  <c r="D208" i="36"/>
  <c r="D209" i="36"/>
  <c r="D210" i="36"/>
  <c r="D211" i="36"/>
  <c r="D212" i="36"/>
  <c r="D213" i="36"/>
  <c r="D214" i="36"/>
  <c r="D215" i="36"/>
  <c r="D216" i="36"/>
  <c r="D217" i="36"/>
  <c r="D218" i="36"/>
  <c r="D219" i="36"/>
  <c r="D220" i="36"/>
  <c r="D221" i="36"/>
  <c r="D222" i="36"/>
  <c r="D223" i="36"/>
  <c r="D224" i="36"/>
  <c r="D225" i="36"/>
  <c r="D226" i="36"/>
  <c r="D227" i="36"/>
  <c r="D228" i="36"/>
  <c r="D229" i="36"/>
  <c r="D230" i="36"/>
  <c r="D231" i="36"/>
  <c r="D232" i="36"/>
  <c r="D233" i="36"/>
  <c r="D234" i="36"/>
  <c r="D235" i="36"/>
  <c r="D236" i="36"/>
  <c r="D237" i="36"/>
  <c r="D238" i="36"/>
  <c r="D239" i="36"/>
  <c r="D240" i="36"/>
  <c r="D241" i="36"/>
  <c r="D242" i="36"/>
  <c r="D243" i="36"/>
  <c r="D244" i="36"/>
  <c r="D245" i="36"/>
  <c r="D246" i="36"/>
  <c r="D247" i="36"/>
  <c r="D248" i="36"/>
  <c r="D249" i="36"/>
  <c r="D250" i="36"/>
  <c r="D251" i="36"/>
  <c r="D252" i="36"/>
  <c r="D253" i="36"/>
  <c r="D254" i="36"/>
  <c r="D255" i="36"/>
  <c r="D256" i="36"/>
  <c r="D257" i="36"/>
  <c r="D258" i="36"/>
  <c r="D259" i="36"/>
  <c r="D260" i="36"/>
  <c r="D261" i="36"/>
  <c r="D262" i="36"/>
  <c r="D263" i="36"/>
  <c r="D264" i="36"/>
  <c r="D265" i="36"/>
  <c r="D266" i="36"/>
  <c r="D267" i="36"/>
  <c r="D268" i="36"/>
  <c r="D269" i="36"/>
  <c r="D270" i="36"/>
  <c r="D271" i="36"/>
  <c r="D272" i="36"/>
  <c r="D273" i="36"/>
  <c r="D274" i="36"/>
  <c r="D275" i="36"/>
  <c r="D276" i="36"/>
  <c r="D277" i="36"/>
  <c r="D278" i="36"/>
  <c r="D279" i="36"/>
  <c r="D280" i="36"/>
  <c r="D281" i="36"/>
  <c r="D282" i="36"/>
  <c r="D283" i="36"/>
  <c r="D284" i="36"/>
  <c r="D285" i="36"/>
  <c r="D286" i="36"/>
  <c r="D287" i="36"/>
  <c r="D288" i="36"/>
  <c r="D289" i="36"/>
  <c r="D290" i="36"/>
  <c r="D291" i="36"/>
  <c r="D292" i="36"/>
  <c r="D293" i="36"/>
  <c r="D294" i="36"/>
  <c r="D295" i="36"/>
  <c r="D296" i="36"/>
  <c r="D297" i="36"/>
  <c r="D298" i="36"/>
  <c r="D299" i="36"/>
  <c r="D300" i="36"/>
  <c r="D301" i="36"/>
  <c r="D302" i="36"/>
  <c r="D303" i="36"/>
  <c r="D304" i="36"/>
  <c r="D305" i="36"/>
  <c r="D306" i="36"/>
  <c r="D307" i="36"/>
  <c r="D308" i="36"/>
  <c r="D309" i="36"/>
  <c r="D310" i="36"/>
  <c r="D311" i="36"/>
  <c r="D312" i="36"/>
  <c r="D313" i="36"/>
  <c r="D314" i="36"/>
  <c r="D315" i="36"/>
  <c r="D316" i="36"/>
  <c r="D4" i="36"/>
  <c r="B1" i="36"/>
  <c r="C1" i="36" s="1"/>
  <c r="D1" i="36" s="1"/>
  <c r="E1" i="36" s="1"/>
  <c r="H1" i="36" s="1"/>
  <c r="I1" i="36" s="1"/>
  <c r="J1" i="36" s="1"/>
  <c r="K1" i="36" s="1"/>
  <c r="L1" i="36" s="1"/>
  <c r="M1" i="36" s="1"/>
  <c r="N1" i="36" s="1"/>
  <c r="O1" i="36" s="1"/>
  <c r="P1" i="36" s="1"/>
  <c r="Q1" i="36" s="1"/>
  <c r="R1" i="36" s="1"/>
  <c r="S1" i="36" s="1"/>
  <c r="T1" i="36" s="1"/>
  <c r="U1" i="36" s="1"/>
  <c r="V1" i="36" s="1"/>
  <c r="W1" i="36" s="1"/>
  <c r="X1" i="36" s="1"/>
  <c r="D3" i="36" l="1"/>
  <c r="H127" i="36"/>
  <c r="I127" i="36" s="1"/>
  <c r="H127" i="39"/>
  <c r="I127" i="39" s="1"/>
  <c r="D3" i="39"/>
  <c r="F3" i="39" a="1"/>
  <c r="F3" i="39" s="1"/>
  <c r="F1" i="39" s="1"/>
  <c r="F3" i="36" a="1"/>
  <c r="F3" i="36" s="1"/>
  <c r="F1" i="36" s="1"/>
  <c r="D3" i="38"/>
  <c r="F3" i="38" a="1"/>
  <c r="F3" i="38" s="1"/>
  <c r="H244" i="39"/>
  <c r="I244" i="39" s="1"/>
  <c r="J244" i="39" s="1"/>
  <c r="H244" i="38"/>
  <c r="I244" i="38" s="1"/>
  <c r="J244" i="38" s="1"/>
  <c r="H171" i="37"/>
  <c r="I171" i="37" s="1"/>
  <c r="H83" i="37"/>
  <c r="I83" i="37" s="1"/>
  <c r="H75" i="37"/>
  <c r="I75" i="37" s="1"/>
  <c r="J75" i="37" s="1"/>
  <c r="H27" i="37"/>
  <c r="I27" i="37" s="1"/>
  <c r="H11" i="37"/>
  <c r="I11" i="37" s="1"/>
  <c r="J11" i="37" s="1"/>
  <c r="H233" i="38"/>
  <c r="I233" i="38" s="1"/>
  <c r="J233" i="38" s="1"/>
  <c r="H300" i="37"/>
  <c r="I300" i="37" s="1"/>
  <c r="J300" i="37" s="1"/>
  <c r="H284" i="37"/>
  <c r="I284" i="37" s="1"/>
  <c r="J284" i="37" s="1"/>
  <c r="H245" i="37"/>
  <c r="I245" i="37" s="1"/>
  <c r="H221" i="37"/>
  <c r="I221" i="37" s="1"/>
  <c r="H198" i="37"/>
  <c r="I198" i="37" s="1"/>
  <c r="H126" i="37"/>
  <c r="I126" i="37" s="1"/>
  <c r="J126" i="37" s="1"/>
  <c r="H86" i="37"/>
  <c r="I86" i="37" s="1"/>
  <c r="J86" i="37" s="1"/>
  <c r="H78" i="37"/>
  <c r="I78" i="37" s="1"/>
  <c r="H70" i="37"/>
  <c r="I70" i="37" s="1"/>
  <c r="J70" i="37" s="1"/>
  <c r="H275" i="37"/>
  <c r="I275" i="37" s="1"/>
  <c r="H244" i="37"/>
  <c r="I244" i="37" s="1"/>
  <c r="J244" i="37" s="1"/>
  <c r="H181" i="37"/>
  <c r="I181" i="37" s="1"/>
  <c r="J181" i="37" s="1"/>
  <c r="H173" i="37"/>
  <c r="I173" i="37" s="1"/>
  <c r="J173" i="37" s="1"/>
  <c r="H149" i="37"/>
  <c r="I149" i="37" s="1"/>
  <c r="H141" i="37"/>
  <c r="I141" i="37" s="1"/>
  <c r="H125" i="37"/>
  <c r="I125" i="37" s="1"/>
  <c r="H109" i="37"/>
  <c r="I109" i="37" s="1"/>
  <c r="H101" i="37"/>
  <c r="I101" i="37" s="1"/>
  <c r="H93" i="37"/>
  <c r="I93" i="37" s="1"/>
  <c r="H69" i="37"/>
  <c r="I69" i="37" s="1"/>
  <c r="H13" i="37"/>
  <c r="I13" i="37" s="1"/>
  <c r="J13" i="37" s="1"/>
  <c r="H233" i="36"/>
  <c r="I233" i="36" s="1"/>
  <c r="J233" i="36" s="1"/>
  <c r="H306" i="37"/>
  <c r="I306" i="37" s="1"/>
  <c r="H282" i="37"/>
  <c r="I282" i="37" s="1"/>
  <c r="H266" i="37"/>
  <c r="I266" i="37" s="1"/>
  <c r="H259" i="37"/>
  <c r="I259" i="37" s="1"/>
  <c r="J259" i="37" s="1"/>
  <c r="H124" i="37"/>
  <c r="I124" i="37" s="1"/>
  <c r="H68" i="37"/>
  <c r="I68" i="37" s="1"/>
  <c r="J68" i="37" s="1"/>
  <c r="H12" i="37"/>
  <c r="I12" i="37" s="1"/>
  <c r="J12" i="37" s="1"/>
  <c r="H249" i="37"/>
  <c r="I249" i="37" s="1"/>
  <c r="J249" i="37" s="1"/>
  <c r="H241" i="37"/>
  <c r="I241" i="37" s="1"/>
  <c r="H225" i="37"/>
  <c r="I225" i="37" s="1"/>
  <c r="H50" i="37"/>
  <c r="I50" i="37" s="1"/>
  <c r="J50" i="37" s="1"/>
  <c r="H303" i="37"/>
  <c r="I303" i="37" s="1"/>
  <c r="H287" i="37"/>
  <c r="I287" i="37" s="1"/>
  <c r="H279" i="37"/>
  <c r="I279" i="37" s="1"/>
  <c r="J279" i="37" s="1"/>
  <c r="H271" i="37"/>
  <c r="I271" i="37" s="1"/>
  <c r="H208" i="37"/>
  <c r="I208" i="37" s="1"/>
  <c r="J208" i="37" s="1"/>
  <c r="H145" i="37"/>
  <c r="I145" i="37" s="1"/>
  <c r="H97" i="37"/>
  <c r="I97" i="37" s="1"/>
  <c r="H33" i="37"/>
  <c r="I33" i="37" s="1"/>
  <c r="H25" i="37"/>
  <c r="I25" i="37" s="1"/>
  <c r="J25" i="37" s="1"/>
  <c r="H294" i="37"/>
  <c r="I294" i="37" s="1"/>
  <c r="H278" i="37"/>
  <c r="I278" i="37" s="1"/>
  <c r="H255" i="37"/>
  <c r="I255" i="37" s="1"/>
  <c r="J255" i="37" s="1"/>
  <c r="H223" i="37"/>
  <c r="I223" i="37" s="1"/>
  <c r="H168" i="37"/>
  <c r="I168" i="37" s="1"/>
  <c r="J168" i="37" s="1"/>
  <c r="H144" i="37"/>
  <c r="I144" i="37" s="1"/>
  <c r="J144" i="37" s="1"/>
  <c r="H128" i="37"/>
  <c r="I128" i="37" s="1"/>
  <c r="J128" i="37" s="1"/>
  <c r="H120" i="37"/>
  <c r="I120" i="37" s="1"/>
  <c r="H96" i="37"/>
  <c r="I96" i="37" s="1"/>
  <c r="H16" i="37"/>
  <c r="I16" i="37" s="1"/>
  <c r="J16" i="37" s="1"/>
  <c r="H8" i="37"/>
  <c r="I8" i="37" s="1"/>
  <c r="J8" i="37" s="1"/>
  <c r="H262" i="37"/>
  <c r="I262" i="37" s="1"/>
  <c r="J262" i="37" s="1"/>
  <c r="H230" i="37"/>
  <c r="I230" i="37" s="1"/>
  <c r="H222" i="37"/>
  <c r="I222" i="37" s="1"/>
  <c r="H207" i="37"/>
  <c r="I207" i="37" s="1"/>
  <c r="H143" i="37"/>
  <c r="I143" i="37" s="1"/>
  <c r="H135" i="37"/>
  <c r="I135" i="37" s="1"/>
  <c r="J135" i="37" s="1"/>
  <c r="H63" i="37"/>
  <c r="I63" i="37" s="1"/>
  <c r="J63" i="37" s="1"/>
  <c r="H7" i="37"/>
  <c r="I7" i="37" s="1"/>
  <c r="H6" i="36"/>
  <c r="I6" i="36" s="1"/>
  <c r="J6" i="36" s="1"/>
  <c r="H295" i="39"/>
  <c r="I295" i="39" s="1"/>
  <c r="H260" i="36"/>
  <c r="I260" i="36" s="1"/>
  <c r="J260" i="36" s="1"/>
  <c r="H260" i="39"/>
  <c r="I260" i="39" s="1"/>
  <c r="J260" i="39" s="1"/>
  <c r="H133" i="39"/>
  <c r="I133" i="39" s="1"/>
  <c r="J133" i="39" s="1"/>
  <c r="H133" i="38"/>
  <c r="I133" i="38" s="1"/>
  <c r="J133" i="38" s="1"/>
  <c r="H295" i="36"/>
  <c r="I295" i="36" s="1"/>
  <c r="J295" i="36" s="1"/>
  <c r="H108" i="38"/>
  <c r="I108" i="38" s="1"/>
  <c r="J108" i="38" s="1"/>
  <c r="H257" i="38"/>
  <c r="I257" i="38" s="1"/>
  <c r="J257" i="38" s="1"/>
  <c r="H209" i="38"/>
  <c r="I209" i="38" s="1"/>
  <c r="H170" i="38"/>
  <c r="I170" i="38" s="1"/>
  <c r="H122" i="38"/>
  <c r="I122" i="38" s="1"/>
  <c r="J122" i="38" s="1"/>
  <c r="H257" i="39"/>
  <c r="I257" i="39" s="1"/>
  <c r="J257" i="39" s="1"/>
  <c r="H122" i="39"/>
  <c r="I122" i="39" s="1"/>
  <c r="J122" i="39" s="1"/>
  <c r="H248" i="37"/>
  <c r="I248" i="37" s="1"/>
  <c r="J248" i="37" s="1"/>
  <c r="H224" i="37"/>
  <c r="I224" i="37" s="1"/>
  <c r="J224" i="37" s="1"/>
  <c r="H193" i="37"/>
  <c r="I193" i="37" s="1"/>
  <c r="J193" i="37" s="1"/>
  <c r="H9" i="37"/>
  <c r="I9" i="37" s="1"/>
  <c r="J9" i="37" s="1"/>
  <c r="H159" i="37"/>
  <c r="I159" i="37" s="1"/>
  <c r="H111" i="37"/>
  <c r="I111" i="37" s="1"/>
  <c r="H79" i="37"/>
  <c r="I79" i="37" s="1"/>
  <c r="J79" i="37" s="1"/>
  <c r="H190" i="37"/>
  <c r="I190" i="37" s="1"/>
  <c r="H174" i="37"/>
  <c r="I174" i="37" s="1"/>
  <c r="H158" i="37"/>
  <c r="I158" i="37" s="1"/>
  <c r="H118" i="37"/>
  <c r="I118" i="37" s="1"/>
  <c r="H30" i="37"/>
  <c r="I30" i="37" s="1"/>
  <c r="H14" i="37"/>
  <c r="I14" i="37" s="1"/>
  <c r="H6" i="37"/>
  <c r="H299" i="37"/>
  <c r="I299" i="37" s="1"/>
  <c r="H197" i="37"/>
  <c r="I197" i="37" s="1"/>
  <c r="J197" i="37" s="1"/>
  <c r="H165" i="37"/>
  <c r="I165" i="37" s="1"/>
  <c r="J165" i="37" s="1"/>
  <c r="H45" i="37"/>
  <c r="I45" i="37" s="1"/>
  <c r="H37" i="37"/>
  <c r="I37" i="37" s="1"/>
  <c r="J37" i="37" s="1"/>
  <c r="H5" i="37"/>
  <c r="I5" i="37" s="1"/>
  <c r="H314" i="37"/>
  <c r="I314" i="37" s="1"/>
  <c r="H235" i="37"/>
  <c r="I235" i="37" s="1"/>
  <c r="H273" i="37"/>
  <c r="I273" i="37" s="1"/>
  <c r="J273" i="37" s="1"/>
  <c r="H242" i="37"/>
  <c r="I242" i="37" s="1"/>
  <c r="J242" i="37" s="1"/>
  <c r="H179" i="37"/>
  <c r="I179" i="37" s="1"/>
  <c r="J179" i="37" s="1"/>
  <c r="H123" i="37"/>
  <c r="I123" i="37" s="1"/>
  <c r="H51" i="37"/>
  <c r="I51" i="37" s="1"/>
  <c r="H43" i="37"/>
  <c r="I43" i="37" s="1"/>
  <c r="H209" i="36"/>
  <c r="I209" i="36" s="1"/>
  <c r="J209" i="36" s="1"/>
  <c r="H170" i="36"/>
  <c r="I170" i="36" s="1"/>
  <c r="J170" i="36" s="1"/>
  <c r="H312" i="37"/>
  <c r="I312" i="37" s="1"/>
  <c r="H304" i="37"/>
  <c r="I304" i="37" s="1"/>
  <c r="H186" i="37"/>
  <c r="I186" i="37" s="1"/>
  <c r="H146" i="37"/>
  <c r="I146" i="37" s="1"/>
  <c r="H34" i="37"/>
  <c r="I34" i="37" s="1"/>
  <c r="H310" i="37"/>
  <c r="I310" i="37" s="1"/>
  <c r="H302" i="37"/>
  <c r="I302" i="37" s="1"/>
  <c r="H286" i="37"/>
  <c r="I286" i="37" s="1"/>
  <c r="J286" i="37" s="1"/>
  <c r="H270" i="37"/>
  <c r="I270" i="37" s="1"/>
  <c r="H263" i="37"/>
  <c r="I263" i="37" s="1"/>
  <c r="J263" i="37" s="1"/>
  <c r="H247" i="37"/>
  <c r="I247" i="37" s="1"/>
  <c r="H231" i="37"/>
  <c r="H215" i="37"/>
  <c r="I215" i="37" s="1"/>
  <c r="J215" i="37" s="1"/>
  <c r="H200" i="37"/>
  <c r="I200" i="37" s="1"/>
  <c r="H192" i="37"/>
  <c r="I192" i="37" s="1"/>
  <c r="H184" i="37"/>
  <c r="I184" i="37" s="1"/>
  <c r="H176" i="37"/>
  <c r="I176" i="37" s="1"/>
  <c r="H160" i="37"/>
  <c r="I160" i="37" s="1"/>
  <c r="J160" i="37" s="1"/>
  <c r="H152" i="37"/>
  <c r="I152" i="37" s="1"/>
  <c r="J152" i="37" s="1"/>
  <c r="H136" i="37"/>
  <c r="H112" i="37"/>
  <c r="I112" i="37" s="1"/>
  <c r="J112" i="37" s="1"/>
  <c r="H104" i="37"/>
  <c r="I104" i="37" s="1"/>
  <c r="J104" i="37" s="1"/>
  <c r="H88" i="37"/>
  <c r="I88" i="37" s="1"/>
  <c r="H80" i="37"/>
  <c r="I80" i="37" s="1"/>
  <c r="J80" i="37" s="1"/>
  <c r="H72" i="37"/>
  <c r="I72" i="37" s="1"/>
  <c r="H64" i="37"/>
  <c r="I64" i="37" s="1"/>
  <c r="J64" i="37" s="1"/>
  <c r="H56" i="37"/>
  <c r="I56" i="37" s="1"/>
  <c r="J56" i="37" s="1"/>
  <c r="H48" i="37"/>
  <c r="H40" i="37"/>
  <c r="I40" i="37" s="1"/>
  <c r="H32" i="37"/>
  <c r="I32" i="37" s="1"/>
  <c r="J32" i="37" s="1"/>
  <c r="H24" i="37"/>
  <c r="I24" i="37" s="1"/>
  <c r="J24" i="37" s="1"/>
  <c r="H313" i="37"/>
  <c r="I313" i="37" s="1"/>
  <c r="J313" i="37" s="1"/>
  <c r="H305" i="37"/>
  <c r="I305" i="37" s="1"/>
  <c r="J305" i="37" s="1"/>
  <c r="H297" i="37"/>
  <c r="I297" i="37" s="1"/>
  <c r="J297" i="37" s="1"/>
  <c r="H289" i="37"/>
  <c r="I289" i="37" s="1"/>
  <c r="H281" i="37"/>
  <c r="H265" i="37"/>
  <c r="I265" i="37" s="1"/>
  <c r="J265" i="37" s="1"/>
  <c r="H250" i="37"/>
  <c r="I250" i="37" s="1"/>
  <c r="H234" i="37"/>
  <c r="H226" i="37"/>
  <c r="I226" i="37" s="1"/>
  <c r="H218" i="37"/>
  <c r="I218" i="37" s="1"/>
  <c r="H210" i="37"/>
  <c r="I210" i="37" s="1"/>
  <c r="J210" i="37" s="1"/>
  <c r="H203" i="37"/>
  <c r="H195" i="37"/>
  <c r="H187" i="37"/>
  <c r="I187" i="37" s="1"/>
  <c r="H163" i="37"/>
  <c r="I163" i="37" s="1"/>
  <c r="H155" i="37"/>
  <c r="H147" i="37"/>
  <c r="I147" i="37" s="1"/>
  <c r="J147" i="37" s="1"/>
  <c r="H139" i="37"/>
  <c r="I139" i="37" s="1"/>
  <c r="H131" i="37"/>
  <c r="H115" i="37"/>
  <c r="I115" i="37" s="1"/>
  <c r="H107" i="37"/>
  <c r="H99" i="37"/>
  <c r="H91" i="37"/>
  <c r="I91" i="37" s="1"/>
  <c r="J91" i="37" s="1"/>
  <c r="H67" i="37"/>
  <c r="H59" i="37"/>
  <c r="I59" i="37" s="1"/>
  <c r="J59" i="37" s="1"/>
  <c r="H35" i="37"/>
  <c r="H19" i="37"/>
  <c r="I19" i="37" s="1"/>
  <c r="J19" i="37" s="1"/>
  <c r="H296" i="37"/>
  <c r="I296" i="37" s="1"/>
  <c r="H288" i="37"/>
  <c r="H280" i="37"/>
  <c r="I280" i="37" s="1"/>
  <c r="J280" i="37" s="1"/>
  <c r="H272" i="37"/>
  <c r="H264" i="37"/>
  <c r="H257" i="37"/>
  <c r="I257" i="37" s="1"/>
  <c r="J257" i="37" s="1"/>
  <c r="H233" i="37"/>
  <c r="H217" i="37"/>
  <c r="I217" i="37" s="1"/>
  <c r="H209" i="37"/>
  <c r="I209" i="37" s="1"/>
  <c r="H202" i="37"/>
  <c r="H194" i="37"/>
  <c r="I194" i="37" s="1"/>
  <c r="H178" i="37"/>
  <c r="I178" i="37" s="1"/>
  <c r="H170" i="37"/>
  <c r="H162" i="37"/>
  <c r="I162" i="37" s="1"/>
  <c r="H154" i="37"/>
  <c r="H138" i="37"/>
  <c r="I138" i="37" s="1"/>
  <c r="H130" i="37"/>
  <c r="I130" i="37" s="1"/>
  <c r="H122" i="37"/>
  <c r="H114" i="37"/>
  <c r="I114" i="37" s="1"/>
  <c r="H106" i="37"/>
  <c r="I106" i="37" s="1"/>
  <c r="H98" i="37"/>
  <c r="H90" i="37"/>
  <c r="I90" i="37" s="1"/>
  <c r="H82" i="37"/>
  <c r="H74" i="37"/>
  <c r="I74" i="37" s="1"/>
  <c r="J74" i="37" s="1"/>
  <c r="H66" i="37"/>
  <c r="I66" i="37" s="1"/>
  <c r="J66" i="37" s="1"/>
  <c r="H42" i="37"/>
  <c r="H26" i="37"/>
  <c r="I26" i="37" s="1"/>
  <c r="H18" i="37"/>
  <c r="I18" i="37" s="1"/>
  <c r="H10" i="37"/>
  <c r="H4" i="37"/>
  <c r="H311" i="37"/>
  <c r="H295" i="37"/>
  <c r="I295" i="37" s="1"/>
  <c r="H240" i="37"/>
  <c r="H232" i="37"/>
  <c r="I232" i="37" s="1"/>
  <c r="H216" i="37"/>
  <c r="I216" i="37" s="1"/>
  <c r="H201" i="37"/>
  <c r="H185" i="37"/>
  <c r="I185" i="37" s="1"/>
  <c r="H177" i="37"/>
  <c r="I177" i="37" s="1"/>
  <c r="J177" i="37" s="1"/>
  <c r="H169" i="37"/>
  <c r="I169" i="37" s="1"/>
  <c r="J169" i="37" s="1"/>
  <c r="H161" i="37"/>
  <c r="I161" i="37" s="1"/>
  <c r="J161" i="37" s="1"/>
  <c r="H153" i="37"/>
  <c r="H137" i="37"/>
  <c r="I137" i="37" s="1"/>
  <c r="H129" i="37"/>
  <c r="I129" i="37" s="1"/>
  <c r="H121" i="37"/>
  <c r="H113" i="37"/>
  <c r="I113" i="37" s="1"/>
  <c r="H105" i="37"/>
  <c r="H89" i="37"/>
  <c r="I89" i="37" s="1"/>
  <c r="J89" i="37" s="1"/>
  <c r="H81" i="37"/>
  <c r="I81" i="37" s="1"/>
  <c r="H73" i="37"/>
  <c r="H65" i="37"/>
  <c r="I65" i="37" s="1"/>
  <c r="H57" i="37"/>
  <c r="H49" i="37"/>
  <c r="H41" i="37"/>
  <c r="I41" i="37" s="1"/>
  <c r="H17" i="37"/>
  <c r="I17" i="37" s="1"/>
  <c r="H309" i="37"/>
  <c r="I309" i="37" s="1"/>
  <c r="J309" i="37" s="1"/>
  <c r="H293" i="37"/>
  <c r="H285" i="37"/>
  <c r="I285" i="37" s="1"/>
  <c r="H277" i="37"/>
  <c r="H269" i="37"/>
  <c r="H254" i="37"/>
  <c r="I254" i="37" s="1"/>
  <c r="J254" i="37" s="1"/>
  <c r="H246" i="37"/>
  <c r="I246" i="37" s="1"/>
  <c r="J246" i="37" s="1"/>
  <c r="H238" i="37"/>
  <c r="H214" i="37"/>
  <c r="H199" i="37"/>
  <c r="H191" i="37"/>
  <c r="H183" i="37"/>
  <c r="I183" i="37" s="1"/>
  <c r="H167" i="37"/>
  <c r="H151" i="37"/>
  <c r="I151" i="37" s="1"/>
  <c r="J151" i="37" s="1"/>
  <c r="H119" i="37"/>
  <c r="H103" i="37"/>
  <c r="H95" i="37"/>
  <c r="I95" i="37" s="1"/>
  <c r="H87" i="37"/>
  <c r="H71" i="37"/>
  <c r="I71" i="37" s="1"/>
  <c r="J71" i="37" s="1"/>
  <c r="H55" i="37"/>
  <c r="H47" i="37"/>
  <c r="H39" i="37"/>
  <c r="I39" i="37" s="1"/>
  <c r="H31" i="37"/>
  <c r="I31" i="37" s="1"/>
  <c r="H23" i="37"/>
  <c r="I23" i="37" s="1"/>
  <c r="J23" i="37" s="1"/>
  <c r="H316" i="37"/>
  <c r="I316" i="37" s="1"/>
  <c r="H308" i="37"/>
  <c r="H292" i="37"/>
  <c r="I292" i="37" s="1"/>
  <c r="H276" i="37"/>
  <c r="H268" i="37"/>
  <c r="H261" i="37"/>
  <c r="I261" i="37" s="1"/>
  <c r="J261" i="37" s="1"/>
  <c r="H253" i="37"/>
  <c r="H237" i="37"/>
  <c r="H229" i="37"/>
  <c r="H213" i="37"/>
  <c r="H206" i="37"/>
  <c r="H182" i="37"/>
  <c r="H166" i="37"/>
  <c r="H150" i="37"/>
  <c r="I150" i="37" s="1"/>
  <c r="J150" i="37" s="1"/>
  <c r="H142" i="37"/>
  <c r="H134" i="37"/>
  <c r="H110" i="37"/>
  <c r="I110" i="37" s="1"/>
  <c r="H102" i="37"/>
  <c r="H94" i="37"/>
  <c r="I94" i="37" s="1"/>
  <c r="H62" i="37"/>
  <c r="I62" i="37" s="1"/>
  <c r="J62" i="37" s="1"/>
  <c r="H54" i="37"/>
  <c r="I54" i="37" s="1"/>
  <c r="H46" i="37"/>
  <c r="I46" i="37" s="1"/>
  <c r="H38" i="37"/>
  <c r="I38" i="37" s="1"/>
  <c r="H22" i="37"/>
  <c r="H315" i="37"/>
  <c r="I315" i="37" s="1"/>
  <c r="H307" i="37"/>
  <c r="H291" i="37"/>
  <c r="H283" i="37"/>
  <c r="H267" i="37"/>
  <c r="H260" i="37"/>
  <c r="I260" i="37" s="1"/>
  <c r="H252" i="37"/>
  <c r="I252" i="37" s="1"/>
  <c r="J252" i="37" s="1"/>
  <c r="H236" i="37"/>
  <c r="H228" i="37"/>
  <c r="H220" i="37"/>
  <c r="H212" i="37"/>
  <c r="H205" i="37"/>
  <c r="I205" i="37" s="1"/>
  <c r="H189" i="37"/>
  <c r="H157" i="37"/>
  <c r="I157" i="37" s="1"/>
  <c r="J157" i="37" s="1"/>
  <c r="H133" i="37"/>
  <c r="H117" i="37"/>
  <c r="H85" i="37"/>
  <c r="H77" i="37"/>
  <c r="H61" i="37"/>
  <c r="H53" i="37"/>
  <c r="H29" i="37"/>
  <c r="H21" i="37"/>
  <c r="I21" i="37" s="1"/>
  <c r="H298" i="37"/>
  <c r="H290" i="37"/>
  <c r="I290" i="37" s="1"/>
  <c r="J290" i="37" s="1"/>
  <c r="H274" i="37"/>
  <c r="I274" i="37" s="1"/>
  <c r="H251" i="37"/>
  <c r="H227" i="37"/>
  <c r="H219" i="37"/>
  <c r="H211" i="37"/>
  <c r="I211" i="37" s="1"/>
  <c r="H204" i="37"/>
  <c r="I204" i="37" s="1"/>
  <c r="J204" i="37" s="1"/>
  <c r="H188" i="37"/>
  <c r="H180" i="37"/>
  <c r="I180" i="37" s="1"/>
  <c r="H172" i="37"/>
  <c r="H164" i="37"/>
  <c r="H148" i="37"/>
  <c r="H140" i="37"/>
  <c r="H132" i="37"/>
  <c r="H116" i="37"/>
  <c r="I116" i="37" s="1"/>
  <c r="H108" i="37"/>
  <c r="I108" i="37" s="1"/>
  <c r="J108" i="37" s="1"/>
  <c r="H100" i="37"/>
  <c r="H92" i="37"/>
  <c r="H84" i="37"/>
  <c r="H76" i="37"/>
  <c r="H60" i="37"/>
  <c r="I60" i="37" s="1"/>
  <c r="J60" i="37" s="1"/>
  <c r="H52" i="37"/>
  <c r="H44" i="37"/>
  <c r="I44" i="37" s="1"/>
  <c r="H36" i="37"/>
  <c r="I36" i="37" s="1"/>
  <c r="H28" i="37"/>
  <c r="I28" i="37" s="1"/>
  <c r="J28" i="37" s="1"/>
  <c r="H20" i="37"/>
  <c r="H245" i="39"/>
  <c r="I245" i="39" s="1"/>
  <c r="J245" i="39" s="1"/>
  <c r="H245" i="38"/>
  <c r="I245" i="38" s="1"/>
  <c r="J245" i="38" s="1"/>
  <c r="H17" i="39"/>
  <c r="I17" i="39" s="1"/>
  <c r="H269" i="39"/>
  <c r="I269" i="39" s="1"/>
  <c r="H166" i="39"/>
  <c r="I166" i="39" s="1"/>
  <c r="I15" i="37"/>
  <c r="J15" i="37" s="1"/>
  <c r="H316" i="39"/>
  <c r="I316" i="39" s="1"/>
  <c r="J316" i="39" s="1"/>
  <c r="H261" i="39"/>
  <c r="I261" i="39" s="1"/>
  <c r="J261" i="39" s="1"/>
  <c r="H229" i="39"/>
  <c r="I229" i="39" s="1"/>
  <c r="J229" i="39" s="1"/>
  <c r="H54" i="39"/>
  <c r="I54" i="39" s="1"/>
  <c r="J54" i="39" s="1"/>
  <c r="H284" i="39"/>
  <c r="I284" i="39" s="1"/>
  <c r="J284" i="39" s="1"/>
  <c r="H158" i="39"/>
  <c r="I158" i="39" s="1"/>
  <c r="H94" i="39"/>
  <c r="I94" i="39" s="1"/>
  <c r="J94" i="39" s="1"/>
  <c r="H56" i="39"/>
  <c r="I56" i="39" s="1"/>
  <c r="J56" i="39" s="1"/>
  <c r="I175" i="37"/>
  <c r="I127" i="37"/>
  <c r="H291" i="38"/>
  <c r="I291" i="38" s="1"/>
  <c r="H283" i="38"/>
  <c r="I283" i="38" s="1"/>
  <c r="J283" i="38" s="1"/>
  <c r="H267" i="38"/>
  <c r="I267" i="38" s="1"/>
  <c r="J267" i="38" s="1"/>
  <c r="H205" i="38"/>
  <c r="I205" i="38" s="1"/>
  <c r="J205" i="38" s="1"/>
  <c r="H165" i="38"/>
  <c r="I165" i="38" s="1"/>
  <c r="J165" i="38" s="1"/>
  <c r="H141" i="38"/>
  <c r="I141" i="38" s="1"/>
  <c r="J141" i="38" s="1"/>
  <c r="H101" i="38"/>
  <c r="I101" i="38" s="1"/>
  <c r="J101" i="38" s="1"/>
  <c r="H69" i="38"/>
  <c r="I69" i="38" s="1"/>
  <c r="J69" i="38" s="1"/>
  <c r="H106" i="38"/>
  <c r="I106" i="38" s="1"/>
  <c r="J106" i="38" s="1"/>
  <c r="H142" i="39"/>
  <c r="I142" i="39" s="1"/>
  <c r="J142" i="39" s="1"/>
  <c r="H110" i="39"/>
  <c r="I110" i="39" s="1"/>
  <c r="H78" i="39"/>
  <c r="I78" i="39" s="1"/>
  <c r="J78" i="39" s="1"/>
  <c r="H47" i="38"/>
  <c r="I47" i="38" s="1"/>
  <c r="I243" i="37"/>
  <c r="I196" i="37"/>
  <c r="I156" i="37"/>
  <c r="J156" i="37" s="1"/>
  <c r="I58" i="37"/>
  <c r="I258" i="37"/>
  <c r="J258" i="37" s="1"/>
  <c r="I256" i="37"/>
  <c r="J256" i="37" s="1"/>
  <c r="I301" i="37"/>
  <c r="J301" i="37" s="1"/>
  <c r="H120" i="39"/>
  <c r="I120" i="39" s="1"/>
  <c r="I239" i="37"/>
  <c r="H161" i="38"/>
  <c r="I161" i="38" s="1"/>
  <c r="J161" i="38" s="1"/>
  <c r="H105" i="38"/>
  <c r="I105" i="38" s="1"/>
  <c r="J105" i="38" s="1"/>
  <c r="H89" i="38"/>
  <c r="I89" i="38" s="1"/>
  <c r="J89" i="38" s="1"/>
  <c r="H81" i="38"/>
  <c r="I81" i="38" s="1"/>
  <c r="J81" i="38" s="1"/>
  <c r="H223" i="39"/>
  <c r="I223" i="39" s="1"/>
  <c r="J223" i="39" s="1"/>
  <c r="H215" i="39"/>
  <c r="I215" i="39" s="1"/>
  <c r="J215" i="39" s="1"/>
  <c r="H128" i="39"/>
  <c r="I128" i="39" s="1"/>
  <c r="H96" i="39"/>
  <c r="I96" i="39" s="1"/>
  <c r="J96" i="39" s="1"/>
  <c r="H88" i="39"/>
  <c r="I88" i="39" s="1"/>
  <c r="H48" i="39"/>
  <c r="I48" i="39" s="1"/>
  <c r="J48" i="39" s="1"/>
  <c r="H32" i="39"/>
  <c r="I32" i="39" s="1"/>
  <c r="J32" i="39" s="1"/>
  <c r="H16" i="39"/>
  <c r="I16" i="39" s="1"/>
  <c r="J16" i="39" s="1"/>
  <c r="H268" i="39"/>
  <c r="I268" i="39" s="1"/>
  <c r="J268" i="39" s="1"/>
  <c r="H226" i="39"/>
  <c r="I226" i="39" s="1"/>
  <c r="J226" i="39" s="1"/>
  <c r="H195" i="39"/>
  <c r="I195" i="39" s="1"/>
  <c r="J195" i="39" s="1"/>
  <c r="H49" i="39"/>
  <c r="I49" i="39" s="1"/>
  <c r="J49" i="39" s="1"/>
  <c r="H299" i="39"/>
  <c r="I299" i="39" s="1"/>
  <c r="H291" i="39"/>
  <c r="I291" i="39" s="1"/>
  <c r="H236" i="39"/>
  <c r="I236" i="39" s="1"/>
  <c r="J236" i="39" s="1"/>
  <c r="H228" i="39"/>
  <c r="I228" i="39" s="1"/>
  <c r="H205" i="39"/>
  <c r="I205" i="39" s="1"/>
  <c r="H197" i="39"/>
  <c r="I197" i="39" s="1"/>
  <c r="H165" i="39"/>
  <c r="I165" i="39" s="1"/>
  <c r="J165" i="39" s="1"/>
  <c r="H157" i="39"/>
  <c r="I157" i="39" s="1"/>
  <c r="J157" i="39" s="1"/>
  <c r="H149" i="39"/>
  <c r="I149" i="39" s="1"/>
  <c r="H141" i="39"/>
  <c r="I141" i="39" s="1"/>
  <c r="J141" i="39" s="1"/>
  <c r="H117" i="39"/>
  <c r="I117" i="39" s="1"/>
  <c r="H85" i="39"/>
  <c r="I85" i="39" s="1"/>
  <c r="J85" i="39" s="1"/>
  <c r="H77" i="39"/>
  <c r="I77" i="39" s="1"/>
  <c r="J77" i="39" s="1"/>
  <c r="H69" i="39"/>
  <c r="I69" i="39" s="1"/>
  <c r="J69" i="39" s="1"/>
  <c r="H61" i="39"/>
  <c r="I61" i="39" s="1"/>
  <c r="J61" i="39" s="1"/>
  <c r="H53" i="39"/>
  <c r="I53" i="39" s="1"/>
  <c r="J53" i="39" s="1"/>
  <c r="H45" i="39"/>
  <c r="I45" i="39" s="1"/>
  <c r="J45" i="39" s="1"/>
  <c r="H21" i="39"/>
  <c r="I21" i="39" s="1"/>
  <c r="J21" i="39" s="1"/>
  <c r="H232" i="39"/>
  <c r="I232" i="39" s="1"/>
  <c r="J232" i="39" s="1"/>
  <c r="H201" i="39"/>
  <c r="I201" i="39" s="1"/>
  <c r="H105" i="39"/>
  <c r="I105" i="39" s="1"/>
  <c r="J105" i="39" s="1"/>
  <c r="H73" i="39"/>
  <c r="I73" i="39" s="1"/>
  <c r="J73" i="39" s="1"/>
  <c r="H46" i="39"/>
  <c r="I46" i="39" s="1"/>
  <c r="H308" i="39"/>
  <c r="I308" i="39" s="1"/>
  <c r="J308" i="39" s="1"/>
  <c r="H126" i="39"/>
  <c r="I126" i="39" s="1"/>
  <c r="J126" i="39" s="1"/>
  <c r="H208" i="39"/>
  <c r="I208" i="39" s="1"/>
  <c r="J208" i="39" s="1"/>
  <c r="H81" i="39"/>
  <c r="I81" i="39" s="1"/>
  <c r="J81" i="39" s="1"/>
  <c r="H62" i="39"/>
  <c r="I62" i="39" s="1"/>
  <c r="J62" i="39" s="1"/>
  <c r="H134" i="39"/>
  <c r="I134" i="39" s="1"/>
  <c r="J134" i="39" s="1"/>
  <c r="H102" i="39"/>
  <c r="I102" i="39" s="1"/>
  <c r="H70" i="39"/>
  <c r="I70" i="39" s="1"/>
  <c r="J70" i="39" s="1"/>
  <c r="H33" i="39"/>
  <c r="I33" i="39" s="1"/>
  <c r="H207" i="39"/>
  <c r="I207" i="39" s="1"/>
  <c r="J207" i="39" s="1"/>
  <c r="H121" i="39"/>
  <c r="I121" i="39" s="1"/>
  <c r="J121" i="39" s="1"/>
  <c r="H89" i="39"/>
  <c r="I89" i="39" s="1"/>
  <c r="J89" i="39" s="1"/>
  <c r="H300" i="39"/>
  <c r="I300" i="39" s="1"/>
  <c r="J300" i="39" s="1"/>
  <c r="H97" i="39"/>
  <c r="I97" i="39" s="1"/>
  <c r="H57" i="39"/>
  <c r="I57" i="39" s="1"/>
  <c r="J57" i="39" s="1"/>
  <c r="H30" i="39"/>
  <c r="I30" i="39" s="1"/>
  <c r="J30" i="39" s="1"/>
  <c r="H286" i="39"/>
  <c r="I286" i="39" s="1"/>
  <c r="J286" i="39" s="1"/>
  <c r="H234" i="39"/>
  <c r="I234" i="39" s="1"/>
  <c r="J234" i="39" s="1"/>
  <c r="H203" i="39"/>
  <c r="I203" i="39" s="1"/>
  <c r="J203" i="39" s="1"/>
  <c r="H118" i="39"/>
  <c r="I118" i="39" s="1"/>
  <c r="H65" i="39"/>
  <c r="I65" i="39" s="1"/>
  <c r="J65" i="39" s="1"/>
  <c r="H38" i="39"/>
  <c r="I38" i="39" s="1"/>
  <c r="H313" i="39"/>
  <c r="I313" i="39" s="1"/>
  <c r="J313" i="39" s="1"/>
  <c r="H248" i="39"/>
  <c r="I248" i="39" s="1"/>
  <c r="J248" i="39" s="1"/>
  <c r="H216" i="39"/>
  <c r="I216" i="39" s="1"/>
  <c r="J216" i="39" s="1"/>
  <c r="H153" i="39"/>
  <c r="I153" i="39" s="1"/>
  <c r="J153" i="39" s="1"/>
  <c r="H137" i="39"/>
  <c r="I137" i="39" s="1"/>
  <c r="J137" i="39" s="1"/>
  <c r="H129" i="39"/>
  <c r="I129" i="39" s="1"/>
  <c r="J129" i="39" s="1"/>
  <c r="H293" i="39"/>
  <c r="I293" i="39" s="1"/>
  <c r="J293" i="39" s="1"/>
  <c r="H199" i="39"/>
  <c r="I199" i="39" s="1"/>
  <c r="J199" i="39" s="1"/>
  <c r="H183" i="39"/>
  <c r="I183" i="39" s="1"/>
  <c r="J183" i="39" s="1"/>
  <c r="H111" i="39"/>
  <c r="I111" i="39" s="1"/>
  <c r="H103" i="39"/>
  <c r="I103" i="39" s="1"/>
  <c r="H13" i="36"/>
  <c r="I13" i="36" s="1"/>
  <c r="J13" i="36" s="1"/>
  <c r="H262" i="39"/>
  <c r="I262" i="39" s="1"/>
  <c r="H309" i="39"/>
  <c r="I309" i="39" s="1"/>
  <c r="J309" i="39" s="1"/>
  <c r="H301" i="39"/>
  <c r="I301" i="39" s="1"/>
  <c r="J301" i="39" s="1"/>
  <c r="H238" i="39"/>
  <c r="I238" i="39" s="1"/>
  <c r="J238" i="39" s="1"/>
  <c r="H222" i="39"/>
  <c r="I222" i="39" s="1"/>
  <c r="J222" i="39" s="1"/>
  <c r="H167" i="39"/>
  <c r="I167" i="39" s="1"/>
  <c r="H159" i="39"/>
  <c r="I159" i="39" s="1"/>
  <c r="H119" i="39"/>
  <c r="I119" i="39" s="1"/>
  <c r="H95" i="39"/>
  <c r="I95" i="39" s="1"/>
  <c r="H79" i="39"/>
  <c r="I79" i="39" s="1"/>
  <c r="J79" i="39" s="1"/>
  <c r="H7" i="39"/>
  <c r="I7" i="39" s="1"/>
  <c r="J7" i="39" s="1"/>
  <c r="H138" i="38"/>
  <c r="I138" i="38" s="1"/>
  <c r="J138" i="38" s="1"/>
  <c r="H183" i="38"/>
  <c r="I183" i="38" s="1"/>
  <c r="J183" i="38" s="1"/>
  <c r="H304" i="38"/>
  <c r="I304" i="38" s="1"/>
  <c r="H296" i="38"/>
  <c r="I296" i="38" s="1"/>
  <c r="H79" i="38"/>
  <c r="I79" i="38" s="1"/>
  <c r="J79" i="38" s="1"/>
  <c r="H178" i="38"/>
  <c r="I178" i="38" s="1"/>
  <c r="J178" i="38" s="1"/>
  <c r="H312" i="38"/>
  <c r="I312" i="38" s="1"/>
  <c r="H177" i="39"/>
  <c r="I177" i="39" s="1"/>
  <c r="J177" i="39" s="1"/>
  <c r="H264" i="38"/>
  <c r="I264" i="38" s="1"/>
  <c r="J264" i="38" s="1"/>
  <c r="H114" i="38"/>
  <c r="I114" i="38" s="1"/>
  <c r="J114" i="38" s="1"/>
  <c r="H202" i="38"/>
  <c r="I202" i="38" s="1"/>
  <c r="J202" i="38" s="1"/>
  <c r="H240" i="39"/>
  <c r="I240" i="39" s="1"/>
  <c r="J240" i="39" s="1"/>
  <c r="H249" i="38"/>
  <c r="I249" i="38" s="1"/>
  <c r="H301" i="38"/>
  <c r="I301" i="38" s="1"/>
  <c r="J301" i="38" s="1"/>
  <c r="H114" i="39"/>
  <c r="I114" i="39" s="1"/>
  <c r="J114" i="39" s="1"/>
  <c r="H255" i="38"/>
  <c r="I255" i="38" s="1"/>
  <c r="J255" i="38" s="1"/>
  <c r="H309" i="38"/>
  <c r="I309" i="38" s="1"/>
  <c r="J309" i="38" s="1"/>
  <c r="H293" i="38"/>
  <c r="I293" i="38" s="1"/>
  <c r="J293" i="38" s="1"/>
  <c r="H214" i="38"/>
  <c r="I214" i="38" s="1"/>
  <c r="H207" i="38"/>
  <c r="I207" i="38" s="1"/>
  <c r="H191" i="38"/>
  <c r="I191" i="38" s="1"/>
  <c r="J191" i="38" s="1"/>
  <c r="H159" i="38"/>
  <c r="I159" i="38" s="1"/>
  <c r="H103" i="38"/>
  <c r="I103" i="38" s="1"/>
  <c r="H87" i="38"/>
  <c r="I87" i="38" s="1"/>
  <c r="J87" i="38" s="1"/>
  <c r="H71" i="38"/>
  <c r="I71" i="38" s="1"/>
  <c r="H163" i="38"/>
  <c r="I163" i="38" s="1"/>
  <c r="J163" i="38" s="1"/>
  <c r="H210" i="38"/>
  <c r="I210" i="38" s="1"/>
  <c r="H182" i="38"/>
  <c r="I182" i="38" s="1"/>
  <c r="J182" i="38" s="1"/>
  <c r="H67" i="38"/>
  <c r="I67" i="38" s="1"/>
  <c r="J67" i="38" s="1"/>
  <c r="H297" i="38"/>
  <c r="I297" i="38" s="1"/>
  <c r="J297" i="38" s="1"/>
  <c r="H109" i="36"/>
  <c r="I109" i="36" s="1"/>
  <c r="J109" i="36" s="1"/>
  <c r="H299" i="36"/>
  <c r="I299" i="36" s="1"/>
  <c r="J299" i="36" s="1"/>
  <c r="H99" i="38"/>
  <c r="I99" i="38" s="1"/>
  <c r="H195" i="38"/>
  <c r="I195" i="38" s="1"/>
  <c r="J195" i="38" s="1"/>
  <c r="H273" i="38"/>
  <c r="I273" i="38" s="1"/>
  <c r="H292" i="38"/>
  <c r="I292" i="38" s="1"/>
  <c r="H268" i="38"/>
  <c r="I268" i="38" s="1"/>
  <c r="J268" i="38" s="1"/>
  <c r="H261" i="38"/>
  <c r="I261" i="38" s="1"/>
  <c r="J261" i="38" s="1"/>
  <c r="H78" i="38"/>
  <c r="I78" i="38" s="1"/>
  <c r="J78" i="38" s="1"/>
  <c r="H134" i="38"/>
  <c r="I134" i="38" s="1"/>
  <c r="J134" i="38" s="1"/>
  <c r="H181" i="36"/>
  <c r="I181" i="36" s="1"/>
  <c r="J181" i="36" s="1"/>
  <c r="H27" i="38"/>
  <c r="I27" i="38" s="1"/>
  <c r="H70" i="38"/>
  <c r="I70" i="38" s="1"/>
  <c r="H313" i="38"/>
  <c r="I313" i="38" s="1"/>
  <c r="J313" i="38" s="1"/>
  <c r="H275" i="39"/>
  <c r="I275" i="39" s="1"/>
  <c r="J275" i="39" s="1"/>
  <c r="H197" i="36"/>
  <c r="I197" i="36" s="1"/>
  <c r="J197" i="36" s="1"/>
  <c r="H236" i="36"/>
  <c r="I236" i="36" s="1"/>
  <c r="J236" i="36" s="1"/>
  <c r="H315" i="36"/>
  <c r="I315" i="36" s="1"/>
  <c r="J315" i="36" s="1"/>
  <c r="H29" i="36"/>
  <c r="I29" i="36" s="1"/>
  <c r="H102" i="38"/>
  <c r="I102" i="38" s="1"/>
  <c r="H110" i="38"/>
  <c r="I110" i="38" s="1"/>
  <c r="J110" i="38" s="1"/>
  <c r="H187" i="38"/>
  <c r="I187" i="38" s="1"/>
  <c r="J187" i="38" s="1"/>
  <c r="H5" i="36"/>
  <c r="I5" i="36" s="1"/>
  <c r="J5" i="36" s="1"/>
  <c r="H141" i="36"/>
  <c r="I141" i="36" s="1"/>
  <c r="H228" i="36"/>
  <c r="I228" i="36" s="1"/>
  <c r="J228" i="36" s="1"/>
  <c r="H101" i="39"/>
  <c r="I101" i="39" s="1"/>
  <c r="H190" i="38"/>
  <c r="I190" i="38" s="1"/>
  <c r="J190" i="38" s="1"/>
  <c r="H26" i="39"/>
  <c r="I26" i="39" s="1"/>
  <c r="H107" i="38"/>
  <c r="I107" i="38" s="1"/>
  <c r="H237" i="38"/>
  <c r="I237" i="38" s="1"/>
  <c r="J237" i="38" s="1"/>
  <c r="H21" i="36"/>
  <c r="I21" i="36" s="1"/>
  <c r="J21" i="36" s="1"/>
  <c r="H157" i="36"/>
  <c r="I157" i="36" s="1"/>
  <c r="H94" i="38"/>
  <c r="I94" i="38" s="1"/>
  <c r="J94" i="38" s="1"/>
  <c r="H305" i="38"/>
  <c r="I305" i="38" s="1"/>
  <c r="J305" i="38" s="1"/>
  <c r="H252" i="39"/>
  <c r="I252" i="39" s="1"/>
  <c r="J252" i="39" s="1"/>
  <c r="H189" i="36"/>
  <c r="I189" i="36" s="1"/>
  <c r="J189" i="36" s="1"/>
  <c r="H205" i="36"/>
  <c r="I205" i="36" s="1"/>
  <c r="J205" i="36" s="1"/>
  <c r="H267" i="36"/>
  <c r="I267" i="36" s="1"/>
  <c r="H43" i="38"/>
  <c r="I43" i="38" s="1"/>
  <c r="H75" i="38"/>
  <c r="I75" i="38" s="1"/>
  <c r="J75" i="38" s="1"/>
  <c r="H86" i="38"/>
  <c r="I86" i="38" s="1"/>
  <c r="J86" i="38" s="1"/>
  <c r="H171" i="38"/>
  <c r="I171" i="38" s="1"/>
  <c r="J171" i="38" s="1"/>
  <c r="H281" i="38"/>
  <c r="I281" i="38" s="1"/>
  <c r="J281" i="38" s="1"/>
  <c r="H181" i="39"/>
  <c r="I181" i="39" s="1"/>
  <c r="J181" i="39" s="1"/>
  <c r="H291" i="36"/>
  <c r="I291" i="36" s="1"/>
  <c r="H73" i="38"/>
  <c r="I73" i="38" s="1"/>
  <c r="J73" i="38" s="1"/>
  <c r="H93" i="38"/>
  <c r="I93" i="38" s="1"/>
  <c r="J93" i="38" s="1"/>
  <c r="H129" i="38"/>
  <c r="I129" i="38" s="1"/>
  <c r="J129" i="38" s="1"/>
  <c r="H169" i="38"/>
  <c r="I169" i="38" s="1"/>
  <c r="J169" i="38" s="1"/>
  <c r="H215" i="38"/>
  <c r="I215" i="38" s="1"/>
  <c r="J215" i="38" s="1"/>
  <c r="H224" i="38"/>
  <c r="I224" i="38" s="1"/>
  <c r="J224" i="38" s="1"/>
  <c r="H232" i="38"/>
  <c r="I232" i="38" s="1"/>
  <c r="J232" i="38" s="1"/>
  <c r="H275" i="38"/>
  <c r="I275" i="38" s="1"/>
  <c r="J275" i="38" s="1"/>
  <c r="H247" i="38"/>
  <c r="I247" i="38" s="1"/>
  <c r="J247" i="38" s="1"/>
  <c r="H200" i="38"/>
  <c r="I200" i="38" s="1"/>
  <c r="J200" i="38" s="1"/>
  <c r="H160" i="38"/>
  <c r="I160" i="38" s="1"/>
  <c r="J160" i="38" s="1"/>
  <c r="H152" i="38"/>
  <c r="I152" i="38" s="1"/>
  <c r="J152" i="38" s="1"/>
  <c r="H144" i="38"/>
  <c r="I144" i="38" s="1"/>
  <c r="H136" i="38"/>
  <c r="I136" i="38" s="1"/>
  <c r="H112" i="38"/>
  <c r="I112" i="38" s="1"/>
  <c r="J112" i="38" s="1"/>
  <c r="H64" i="38"/>
  <c r="I64" i="38" s="1"/>
  <c r="J64" i="38" s="1"/>
  <c r="H56" i="38"/>
  <c r="I56" i="38" s="1"/>
  <c r="J56" i="38" s="1"/>
  <c r="H48" i="38"/>
  <c r="I48" i="38" s="1"/>
  <c r="J48" i="38" s="1"/>
  <c r="H40" i="38"/>
  <c r="I40" i="38" s="1"/>
  <c r="J40" i="38" s="1"/>
  <c r="H32" i="38"/>
  <c r="I32" i="38" s="1"/>
  <c r="J32" i="38" s="1"/>
  <c r="H8" i="38"/>
  <c r="I8" i="38" s="1"/>
  <c r="J8" i="38" s="1"/>
  <c r="H32" i="36"/>
  <c r="I32" i="36" s="1"/>
  <c r="H89" i="36"/>
  <c r="I89" i="36" s="1"/>
  <c r="J89" i="36" s="1"/>
  <c r="H104" i="36"/>
  <c r="I104" i="36" s="1"/>
  <c r="H85" i="38"/>
  <c r="I85" i="38" s="1"/>
  <c r="J85" i="38" s="1"/>
  <c r="H104" i="38"/>
  <c r="I104" i="38" s="1"/>
  <c r="J104" i="38" s="1"/>
  <c r="H189" i="38"/>
  <c r="I189" i="38" s="1"/>
  <c r="J189" i="38" s="1"/>
  <c r="H208" i="38"/>
  <c r="I208" i="38" s="1"/>
  <c r="J208" i="38" s="1"/>
  <c r="H216" i="38"/>
  <c r="I216" i="38" s="1"/>
  <c r="J216" i="38" s="1"/>
  <c r="H240" i="38"/>
  <c r="I240" i="38" s="1"/>
  <c r="J240" i="38" s="1"/>
  <c r="H185" i="36"/>
  <c r="I185" i="36" s="1"/>
  <c r="J185" i="36" s="1"/>
  <c r="H169" i="36"/>
  <c r="I169" i="36" s="1"/>
  <c r="J169" i="36" s="1"/>
  <c r="H145" i="36"/>
  <c r="I145" i="36" s="1"/>
  <c r="H65" i="36"/>
  <c r="I65" i="36" s="1"/>
  <c r="H33" i="36"/>
  <c r="I33" i="36" s="1"/>
  <c r="H9" i="36"/>
  <c r="I9" i="36" s="1"/>
  <c r="J9" i="36" s="1"/>
  <c r="H287" i="36"/>
  <c r="I287" i="36" s="1"/>
  <c r="J287" i="36" s="1"/>
  <c r="H240" i="36"/>
  <c r="I240" i="36" s="1"/>
  <c r="J240" i="36" s="1"/>
  <c r="H201" i="36"/>
  <c r="I201" i="36" s="1"/>
  <c r="J201" i="36" s="1"/>
  <c r="H177" i="36"/>
  <c r="I177" i="36" s="1"/>
  <c r="J177" i="36" s="1"/>
  <c r="H161" i="36"/>
  <c r="I161" i="36" s="1"/>
  <c r="H137" i="36"/>
  <c r="I137" i="36" s="1"/>
  <c r="H73" i="36"/>
  <c r="I73" i="36" s="1"/>
  <c r="J73" i="36" s="1"/>
  <c r="H25" i="36"/>
  <c r="I25" i="36" s="1"/>
  <c r="J25" i="36" s="1"/>
  <c r="H17" i="36"/>
  <c r="I17" i="36" s="1"/>
  <c r="J17" i="36" s="1"/>
  <c r="H64" i="36"/>
  <c r="I64" i="36" s="1"/>
  <c r="J64" i="36" s="1"/>
  <c r="H106" i="36"/>
  <c r="I106" i="36" s="1"/>
  <c r="J106" i="36" s="1"/>
  <c r="H120" i="36"/>
  <c r="I120" i="36" s="1"/>
  <c r="H216" i="36"/>
  <c r="I216" i="36" s="1"/>
  <c r="J216" i="36" s="1"/>
  <c r="H16" i="38"/>
  <c r="I16" i="38" s="1"/>
  <c r="J16" i="38" s="1"/>
  <c r="H24" i="38"/>
  <c r="I24" i="38" s="1"/>
  <c r="J24" i="38" s="1"/>
  <c r="H97" i="38"/>
  <c r="I97" i="38" s="1"/>
  <c r="J97" i="38" s="1"/>
  <c r="H214" i="39"/>
  <c r="I214" i="39" s="1"/>
  <c r="J214" i="39" s="1"/>
  <c r="H231" i="39"/>
  <c r="I231" i="39" s="1"/>
  <c r="H277" i="39"/>
  <c r="I277" i="39" s="1"/>
  <c r="J277" i="39" s="1"/>
  <c r="H130" i="36"/>
  <c r="I130" i="36" s="1"/>
  <c r="H193" i="36"/>
  <c r="I193" i="36" s="1"/>
  <c r="J193" i="36" s="1"/>
  <c r="H26" i="36"/>
  <c r="I26" i="36" s="1"/>
  <c r="J26" i="36" s="1"/>
  <c r="H82" i="36"/>
  <c r="I82" i="36" s="1"/>
  <c r="H117" i="38"/>
  <c r="I117" i="38" s="1"/>
  <c r="J117" i="38" s="1"/>
  <c r="H153" i="38"/>
  <c r="I153" i="38" s="1"/>
  <c r="J153" i="38" s="1"/>
  <c r="H220" i="38"/>
  <c r="I220" i="38" s="1"/>
  <c r="J220" i="38" s="1"/>
  <c r="H228" i="38"/>
  <c r="I228" i="38" s="1"/>
  <c r="J228" i="38" s="1"/>
  <c r="H236" i="38"/>
  <c r="I236" i="38" s="1"/>
  <c r="J236" i="38" s="1"/>
  <c r="H252" i="38"/>
  <c r="I252" i="38" s="1"/>
  <c r="H294" i="39"/>
  <c r="I294" i="39" s="1"/>
  <c r="H112" i="36"/>
  <c r="I112" i="36" s="1"/>
  <c r="H154" i="36"/>
  <c r="I154" i="36" s="1"/>
  <c r="J154" i="36" s="1"/>
  <c r="H168" i="36"/>
  <c r="I168" i="36" s="1"/>
  <c r="J168" i="36" s="1"/>
  <c r="H4" i="38"/>
  <c r="H121" i="38"/>
  <c r="I121" i="38" s="1"/>
  <c r="J121" i="38" s="1"/>
  <c r="H137" i="38"/>
  <c r="I137" i="38" s="1"/>
  <c r="J137" i="38" s="1"/>
  <c r="H223" i="38"/>
  <c r="I223" i="38" s="1"/>
  <c r="H134" i="36"/>
  <c r="I134" i="36" s="1"/>
  <c r="H174" i="36"/>
  <c r="I174" i="36" s="1"/>
  <c r="J174" i="36" s="1"/>
  <c r="H210" i="36"/>
  <c r="I210" i="36" s="1"/>
  <c r="J210" i="36" s="1"/>
  <c r="H118" i="36"/>
  <c r="I118" i="36" s="1"/>
  <c r="J118" i="36" s="1"/>
  <c r="H102" i="36"/>
  <c r="I102" i="36" s="1"/>
  <c r="H300" i="36"/>
  <c r="I300" i="36" s="1"/>
  <c r="J300" i="36" s="1"/>
  <c r="H296" i="39"/>
  <c r="I296" i="39" s="1"/>
  <c r="J296" i="39" s="1"/>
  <c r="H98" i="39"/>
  <c r="I98" i="39" s="1"/>
  <c r="J98" i="39" s="1"/>
  <c r="H34" i="39"/>
  <c r="I34" i="39" s="1"/>
  <c r="J34" i="39" s="1"/>
  <c r="H245" i="36"/>
  <c r="I245" i="36" s="1"/>
  <c r="J245" i="36" s="1"/>
  <c r="H22" i="36"/>
  <c r="I22" i="36" s="1"/>
  <c r="J22" i="36" s="1"/>
  <c r="H14" i="36"/>
  <c r="I14" i="36" s="1"/>
  <c r="J14" i="36" s="1"/>
  <c r="H94" i="36"/>
  <c r="I94" i="36" s="1"/>
  <c r="H229" i="36"/>
  <c r="I229" i="36" s="1"/>
  <c r="J229" i="36" s="1"/>
  <c r="H237" i="36"/>
  <c r="I237" i="36" s="1"/>
  <c r="J237" i="36" s="1"/>
  <c r="H86" i="36"/>
  <c r="I86" i="36" s="1"/>
  <c r="H182" i="36"/>
  <c r="I182" i="36" s="1"/>
  <c r="J182" i="36" s="1"/>
  <c r="H284" i="36"/>
  <c r="I284" i="36" s="1"/>
  <c r="H311" i="36"/>
  <c r="I311" i="36" s="1"/>
  <c r="J311" i="36" s="1"/>
  <c r="H302" i="36"/>
  <c r="I302" i="36" s="1"/>
  <c r="J302" i="36" s="1"/>
  <c r="H278" i="36"/>
  <c r="I278" i="36" s="1"/>
  <c r="J278" i="36" s="1"/>
  <c r="H294" i="36"/>
  <c r="I294" i="36" s="1"/>
  <c r="J294" i="36" s="1"/>
  <c r="H196" i="39"/>
  <c r="I196" i="39" s="1"/>
  <c r="J196" i="39" s="1"/>
  <c r="H310" i="36"/>
  <c r="I310" i="36" s="1"/>
  <c r="J310" i="36" s="1"/>
  <c r="H297" i="39"/>
  <c r="I297" i="39" s="1"/>
  <c r="J297" i="39" s="1"/>
  <c r="H289" i="39"/>
  <c r="I289" i="39" s="1"/>
  <c r="H281" i="39"/>
  <c r="I281" i="39" s="1"/>
  <c r="J281" i="39" s="1"/>
  <c r="H218" i="39"/>
  <c r="I218" i="39" s="1"/>
  <c r="J218" i="39" s="1"/>
  <c r="H210" i="39"/>
  <c r="I210" i="39" s="1"/>
  <c r="J210" i="39" s="1"/>
  <c r="H187" i="39"/>
  <c r="I187" i="39" s="1"/>
  <c r="J187" i="39" s="1"/>
  <c r="H139" i="39"/>
  <c r="I139" i="39" s="1"/>
  <c r="H131" i="39"/>
  <c r="I131" i="39" s="1"/>
  <c r="H83" i="39"/>
  <c r="I83" i="39" s="1"/>
  <c r="H19" i="39"/>
  <c r="I19" i="39" s="1"/>
  <c r="J19" i="39" s="1"/>
  <c r="H290" i="39"/>
  <c r="I290" i="39" s="1"/>
  <c r="H243" i="39"/>
  <c r="I243" i="39" s="1"/>
  <c r="J243" i="39" s="1"/>
  <c r="H180" i="39"/>
  <c r="I180" i="39" s="1"/>
  <c r="H164" i="39"/>
  <c r="I164" i="39" s="1"/>
  <c r="H148" i="39"/>
  <c r="I148" i="39" s="1"/>
  <c r="H60" i="39"/>
  <c r="I60" i="39" s="1"/>
  <c r="J60" i="39" s="1"/>
  <c r="H155" i="39"/>
  <c r="I155" i="39" s="1"/>
  <c r="J155" i="39" s="1"/>
  <c r="H163" i="39"/>
  <c r="I163" i="39" s="1"/>
  <c r="J163" i="39" s="1"/>
  <c r="H171" i="39"/>
  <c r="I171" i="39" s="1"/>
  <c r="H305" i="39"/>
  <c r="I305" i="39" s="1"/>
  <c r="J305" i="39" s="1"/>
  <c r="H312" i="39"/>
  <c r="I312" i="39" s="1"/>
  <c r="J312" i="39" s="1"/>
  <c r="H107" i="39"/>
  <c r="I107" i="39" s="1"/>
  <c r="H147" i="39"/>
  <c r="I147" i="39" s="1"/>
  <c r="J147" i="39" s="1"/>
  <c r="H123" i="39"/>
  <c r="I123" i="39" s="1"/>
  <c r="H204" i="39"/>
  <c r="I204" i="39" s="1"/>
  <c r="J204" i="39" s="1"/>
  <c r="H235" i="39"/>
  <c r="I235" i="39" s="1"/>
  <c r="H66" i="39"/>
  <c r="I66" i="39" s="1"/>
  <c r="J66" i="39" s="1"/>
  <c r="H50" i="39"/>
  <c r="I50" i="39" s="1"/>
  <c r="J50" i="39" s="1"/>
  <c r="H92" i="39"/>
  <c r="I92" i="39" s="1"/>
  <c r="H42" i="39"/>
  <c r="I42" i="39" s="1"/>
  <c r="J42" i="39" s="1"/>
  <c r="H172" i="39"/>
  <c r="I172" i="39" s="1"/>
  <c r="H280" i="39"/>
  <c r="I280" i="39" s="1"/>
  <c r="H251" i="38"/>
  <c r="I251" i="38" s="1"/>
  <c r="J251" i="38" s="1"/>
  <c r="H219" i="38"/>
  <c r="I219" i="38" s="1"/>
  <c r="J219" i="38" s="1"/>
  <c r="H36" i="38"/>
  <c r="I36" i="38" s="1"/>
  <c r="J36" i="38" s="1"/>
  <c r="H52" i="38"/>
  <c r="I52" i="38" s="1"/>
  <c r="J52" i="38" s="1"/>
  <c r="H28" i="38"/>
  <c r="I28" i="38" s="1"/>
  <c r="J28" i="38" s="1"/>
  <c r="H274" i="38"/>
  <c r="I274" i="38" s="1"/>
  <c r="J274" i="38" s="1"/>
  <c r="H75" i="36"/>
  <c r="I75" i="36" s="1"/>
  <c r="J75" i="36" s="1"/>
  <c r="H280" i="36"/>
  <c r="I280" i="36" s="1"/>
  <c r="H279" i="36"/>
  <c r="I279" i="36" s="1"/>
  <c r="H198" i="36"/>
  <c r="I198" i="36" s="1"/>
  <c r="J198" i="36" s="1"/>
  <c r="H303" i="36"/>
  <c r="I303" i="36" s="1"/>
  <c r="J303" i="36" s="1"/>
  <c r="H285" i="36"/>
  <c r="I285" i="36" s="1"/>
  <c r="H246" i="36"/>
  <c r="I246" i="36" s="1"/>
  <c r="J246" i="36" s="1"/>
  <c r="H151" i="36"/>
  <c r="I151" i="36" s="1"/>
  <c r="H111" i="36"/>
  <c r="I111" i="36" s="1"/>
  <c r="J111" i="36" s="1"/>
  <c r="H79" i="36"/>
  <c r="I79" i="36" s="1"/>
  <c r="J79" i="36" s="1"/>
  <c r="H71" i="36"/>
  <c r="I71" i="36" s="1"/>
  <c r="J71" i="36" s="1"/>
  <c r="H7" i="36"/>
  <c r="I7" i="36" s="1"/>
  <c r="J7" i="36" s="1"/>
  <c r="H221" i="36"/>
  <c r="I221" i="36" s="1"/>
  <c r="J221" i="36" s="1"/>
  <c r="H136" i="36"/>
  <c r="I136" i="36" s="1"/>
  <c r="J136" i="36" s="1"/>
  <c r="H314" i="36"/>
  <c r="I314" i="36" s="1"/>
  <c r="J314" i="36" s="1"/>
  <c r="H124" i="36"/>
  <c r="I124" i="36" s="1"/>
  <c r="H167" i="36"/>
  <c r="I167" i="36" s="1"/>
  <c r="H230" i="36"/>
  <c r="I230" i="36" s="1"/>
  <c r="J230" i="36" s="1"/>
  <c r="H47" i="36"/>
  <c r="I47" i="36" s="1"/>
  <c r="J47" i="36" s="1"/>
  <c r="H238" i="36"/>
  <c r="I238" i="36" s="1"/>
  <c r="J238" i="36" s="1"/>
  <c r="H262" i="36"/>
  <c r="I262" i="36" s="1"/>
  <c r="J262" i="36" s="1"/>
  <c r="H269" i="36"/>
  <c r="I269" i="36" s="1"/>
  <c r="J269" i="36" s="1"/>
  <c r="H159" i="36"/>
  <c r="I159" i="36" s="1"/>
  <c r="J159" i="36" s="1"/>
  <c r="H296" i="36"/>
  <c r="I296" i="36" s="1"/>
  <c r="H272" i="36"/>
  <c r="I272" i="36" s="1"/>
  <c r="H249" i="36"/>
  <c r="I249" i="36" s="1"/>
  <c r="J249" i="36" s="1"/>
  <c r="H241" i="36"/>
  <c r="I241" i="36" s="1"/>
  <c r="J241" i="36" s="1"/>
  <c r="H186" i="36"/>
  <c r="I186" i="36" s="1"/>
  <c r="J186" i="36" s="1"/>
  <c r="H138" i="36"/>
  <c r="I138" i="36" s="1"/>
  <c r="J138" i="36" s="1"/>
  <c r="H98" i="36"/>
  <c r="I98" i="36" s="1"/>
  <c r="H90" i="36"/>
  <c r="I90" i="36" s="1"/>
  <c r="J90" i="36" s="1"/>
  <c r="H42" i="36"/>
  <c r="I42" i="36" s="1"/>
  <c r="J42" i="36" s="1"/>
  <c r="H34" i="36"/>
  <c r="I34" i="36" s="1"/>
  <c r="J34" i="36" s="1"/>
  <c r="H18" i="36"/>
  <c r="I18" i="36" s="1"/>
  <c r="J18" i="36" s="1"/>
  <c r="H10" i="36"/>
  <c r="I10" i="36" s="1"/>
  <c r="J10" i="36" s="1"/>
  <c r="H103" i="36"/>
  <c r="I103" i="36" s="1"/>
  <c r="H222" i="36"/>
  <c r="I222" i="36" s="1"/>
  <c r="J222" i="36" s="1"/>
  <c r="H119" i="36"/>
  <c r="I119" i="36" s="1"/>
  <c r="H143" i="36"/>
  <c r="I143" i="36" s="1"/>
  <c r="H214" i="36"/>
  <c r="I214" i="36" s="1"/>
  <c r="J214" i="36" s="1"/>
  <c r="H55" i="36"/>
  <c r="I55" i="36" s="1"/>
  <c r="J55" i="36" s="1"/>
  <c r="H254" i="36"/>
  <c r="I254" i="36" s="1"/>
  <c r="J254" i="36" s="1"/>
  <c r="H263" i="36"/>
  <c r="I263" i="36" s="1"/>
  <c r="J263" i="36" s="1"/>
  <c r="H23" i="36"/>
  <c r="I23" i="36" s="1"/>
  <c r="J23" i="36" s="1"/>
  <c r="H158" i="36"/>
  <c r="I158" i="36" s="1"/>
  <c r="J158" i="36" s="1"/>
  <c r="H282" i="36"/>
  <c r="I282" i="36" s="1"/>
  <c r="J282" i="36" s="1"/>
  <c r="H28" i="36"/>
  <c r="I28" i="36" s="1"/>
  <c r="H265" i="36"/>
  <c r="I265" i="36" s="1"/>
  <c r="J265" i="36" s="1"/>
  <c r="H250" i="36"/>
  <c r="I250" i="36" s="1"/>
  <c r="J250" i="36" s="1"/>
  <c r="H226" i="36"/>
  <c r="I226" i="36" s="1"/>
  <c r="H203" i="36"/>
  <c r="I203" i="36" s="1"/>
  <c r="J203" i="36" s="1"/>
  <c r="H155" i="36"/>
  <c r="I155" i="36" s="1"/>
  <c r="J155" i="36" s="1"/>
  <c r="H147" i="36"/>
  <c r="I147" i="36" s="1"/>
  <c r="J147" i="36" s="1"/>
  <c r="H131" i="36"/>
  <c r="I131" i="36" s="1"/>
  <c r="H115" i="36"/>
  <c r="I115" i="36" s="1"/>
  <c r="J115" i="36" s="1"/>
  <c r="H99" i="36"/>
  <c r="I99" i="36" s="1"/>
  <c r="J99" i="36" s="1"/>
  <c r="H83" i="36"/>
  <c r="I83" i="36" s="1"/>
  <c r="J83" i="36" s="1"/>
  <c r="H67" i="36"/>
  <c r="I67" i="36" s="1"/>
  <c r="J67" i="36" s="1"/>
  <c r="H43" i="36"/>
  <c r="I43" i="36" s="1"/>
  <c r="J43" i="36" s="1"/>
  <c r="H35" i="36"/>
  <c r="I35" i="36" s="1"/>
  <c r="J35" i="36" s="1"/>
  <c r="H27" i="36"/>
  <c r="I27" i="36" s="1"/>
  <c r="J27" i="36" s="1"/>
  <c r="H11" i="36"/>
  <c r="I11" i="36" s="1"/>
  <c r="J11" i="36" s="1"/>
  <c r="H69" i="36"/>
  <c r="I69" i="36" s="1"/>
  <c r="J69" i="36" s="1"/>
  <c r="H194" i="36"/>
  <c r="I194" i="36" s="1"/>
  <c r="J194" i="36" s="1"/>
  <c r="H77" i="36"/>
  <c r="I77" i="36" s="1"/>
  <c r="J77" i="36" s="1"/>
  <c r="H232" i="36"/>
  <c r="I232" i="36" s="1"/>
  <c r="J232" i="36" s="1"/>
  <c r="H51" i="36"/>
  <c r="I51" i="36" s="1"/>
  <c r="J51" i="36" s="1"/>
  <c r="H148" i="36"/>
  <c r="I148" i="36" s="1"/>
  <c r="J148" i="36" s="1"/>
  <c r="H59" i="36"/>
  <c r="I59" i="36" s="1"/>
  <c r="J59" i="36" s="1"/>
  <c r="H234" i="36"/>
  <c r="I234" i="36" s="1"/>
  <c r="H298" i="36"/>
  <c r="I298" i="36" s="1"/>
  <c r="J298" i="36" s="1"/>
  <c r="H306" i="36"/>
  <c r="I306" i="36" s="1"/>
  <c r="J306" i="36" s="1"/>
  <c r="H259" i="36"/>
  <c r="I259" i="36" s="1"/>
  <c r="J259" i="36" s="1"/>
  <c r="H123" i="36"/>
  <c r="I123" i="36" s="1"/>
  <c r="H273" i="36"/>
  <c r="I273" i="36" s="1"/>
  <c r="I256" i="36"/>
  <c r="J256" i="36" s="1"/>
  <c r="H279" i="38"/>
  <c r="I279" i="38" s="1"/>
  <c r="J279" i="38" s="1"/>
  <c r="H241" i="38"/>
  <c r="I241" i="38" s="1"/>
  <c r="J241" i="38" s="1"/>
  <c r="H12" i="38"/>
  <c r="I12" i="38" s="1"/>
  <c r="J12" i="38" s="1"/>
  <c r="H116" i="38"/>
  <c r="I116" i="38" s="1"/>
  <c r="H140" i="38"/>
  <c r="I140" i="38" s="1"/>
  <c r="H259" i="38"/>
  <c r="I259" i="38" s="1"/>
  <c r="J259" i="38" s="1"/>
  <c r="H148" i="38"/>
  <c r="I148" i="38" s="1"/>
  <c r="J148" i="38" s="1"/>
  <c r="H227" i="38"/>
  <c r="I227" i="38" s="1"/>
  <c r="J227" i="38" s="1"/>
  <c r="H204" i="38"/>
  <c r="I204" i="38" s="1"/>
  <c r="J204" i="38" s="1"/>
  <c r="H194" i="38"/>
  <c r="I194" i="38" s="1"/>
  <c r="J194" i="38" s="1"/>
  <c r="H235" i="38"/>
  <c r="I235" i="38" s="1"/>
  <c r="J235" i="38" s="1"/>
  <c r="H266" i="38"/>
  <c r="I266" i="38" s="1"/>
  <c r="J266" i="38" s="1"/>
  <c r="H20" i="38"/>
  <c r="I20" i="38" s="1"/>
  <c r="J20" i="38" s="1"/>
  <c r="H44" i="38"/>
  <c r="I44" i="38" s="1"/>
  <c r="J44" i="38" s="1"/>
  <c r="H60" i="38"/>
  <c r="I60" i="38" s="1"/>
  <c r="J60" i="38" s="1"/>
  <c r="H74" i="38"/>
  <c r="I74" i="38" s="1"/>
  <c r="J74" i="38" s="1"/>
  <c r="H124" i="38"/>
  <c r="I124" i="38" s="1"/>
  <c r="H217" i="38"/>
  <c r="I217" i="38" s="1"/>
  <c r="J217" i="38" s="1"/>
  <c r="J11" i="39"/>
  <c r="J15" i="39"/>
  <c r="H4" i="39"/>
  <c r="H22" i="39"/>
  <c r="I22" i="39" s="1"/>
  <c r="H80" i="39"/>
  <c r="I80" i="39" s="1"/>
  <c r="H8" i="39"/>
  <c r="I8" i="39" s="1"/>
  <c r="H10" i="39"/>
  <c r="I10" i="39" s="1"/>
  <c r="H12" i="39"/>
  <c r="I12" i="39" s="1"/>
  <c r="H14" i="39"/>
  <c r="I14" i="39" s="1"/>
  <c r="H99" i="39"/>
  <c r="I99" i="39" s="1"/>
  <c r="H106" i="39"/>
  <c r="I106" i="39" s="1"/>
  <c r="H116" i="39"/>
  <c r="I116" i="39" s="1"/>
  <c r="H5" i="39"/>
  <c r="I5" i="39" s="1"/>
  <c r="H28" i="39"/>
  <c r="I28" i="39" s="1"/>
  <c r="H41" i="39"/>
  <c r="I41" i="39" s="1"/>
  <c r="H23" i="39"/>
  <c r="I23" i="39" s="1"/>
  <c r="H6" i="39"/>
  <c r="I6" i="39" s="1"/>
  <c r="H24" i="39"/>
  <c r="I24" i="39" s="1"/>
  <c r="H27" i="39"/>
  <c r="I27" i="39" s="1"/>
  <c r="H64" i="39"/>
  <c r="I64" i="39" s="1"/>
  <c r="H9" i="39"/>
  <c r="I9" i="39" s="1"/>
  <c r="H13" i="39"/>
  <c r="I13" i="39" s="1"/>
  <c r="H20" i="39"/>
  <c r="I20" i="39" s="1"/>
  <c r="H29" i="39"/>
  <c r="I29" i="39" s="1"/>
  <c r="H36" i="39"/>
  <c r="I36" i="39" s="1"/>
  <c r="H68" i="39"/>
  <c r="I68" i="39" s="1"/>
  <c r="H31" i="39"/>
  <c r="I31" i="39" s="1"/>
  <c r="H18" i="39"/>
  <c r="I18" i="39" s="1"/>
  <c r="H40" i="39"/>
  <c r="I40" i="39" s="1"/>
  <c r="J58" i="39"/>
  <c r="H72" i="39"/>
  <c r="I72" i="39" s="1"/>
  <c r="H104" i="39"/>
  <c r="I104" i="39" s="1"/>
  <c r="H113" i="39"/>
  <c r="I113" i="39" s="1"/>
  <c r="H76" i="39"/>
  <c r="I76" i="39" s="1"/>
  <c r="H37" i="39"/>
  <c r="I37" i="39" s="1"/>
  <c r="H44" i="39"/>
  <c r="I44" i="39" s="1"/>
  <c r="H52" i="39"/>
  <c r="I52" i="39" s="1"/>
  <c r="H74" i="39"/>
  <c r="I74" i="39" s="1"/>
  <c r="H108" i="39"/>
  <c r="I108" i="39" s="1"/>
  <c r="H135" i="39"/>
  <c r="I135" i="39" s="1"/>
  <c r="H35" i="39"/>
  <c r="I35" i="39" s="1"/>
  <c r="H39" i="39"/>
  <c r="I39" i="39" s="1"/>
  <c r="H43" i="39"/>
  <c r="I43" i="39" s="1"/>
  <c r="H47" i="39"/>
  <c r="I47" i="39" s="1"/>
  <c r="H51" i="39"/>
  <c r="I51" i="39" s="1"/>
  <c r="H55" i="39"/>
  <c r="I55" i="39" s="1"/>
  <c r="H59" i="39"/>
  <c r="I59" i="39" s="1"/>
  <c r="H63" i="39"/>
  <c r="I63" i="39" s="1"/>
  <c r="H67" i="39"/>
  <c r="I67" i="39" s="1"/>
  <c r="H71" i="39"/>
  <c r="I71" i="39" s="1"/>
  <c r="H75" i="39"/>
  <c r="I75" i="39" s="1"/>
  <c r="H84" i="39"/>
  <c r="I84" i="39" s="1"/>
  <c r="H100" i="39"/>
  <c r="I100" i="39" s="1"/>
  <c r="H86" i="39"/>
  <c r="I86" i="39" s="1"/>
  <c r="H93" i="39"/>
  <c r="I93" i="39" s="1"/>
  <c r="I109" i="39"/>
  <c r="J125" i="39"/>
  <c r="H87" i="39"/>
  <c r="I87" i="39" s="1"/>
  <c r="H82" i="39"/>
  <c r="I82" i="39" s="1"/>
  <c r="H90" i="39"/>
  <c r="I90" i="39" s="1"/>
  <c r="H91" i="39"/>
  <c r="I91" i="39" s="1"/>
  <c r="H115" i="39"/>
  <c r="I115" i="39" s="1"/>
  <c r="H130" i="39"/>
  <c r="I130" i="39" s="1"/>
  <c r="H132" i="39"/>
  <c r="I132" i="39" s="1"/>
  <c r="H124" i="39"/>
  <c r="I124" i="39" s="1"/>
  <c r="H144" i="39"/>
  <c r="I144" i="39" s="1"/>
  <c r="H179" i="39"/>
  <c r="I179" i="39" s="1"/>
  <c r="H112" i="39"/>
  <c r="I112" i="39" s="1"/>
  <c r="H136" i="39"/>
  <c r="I136" i="39" s="1"/>
  <c r="H143" i="39"/>
  <c r="I143" i="39" s="1"/>
  <c r="J173" i="39"/>
  <c r="H138" i="39"/>
  <c r="I138" i="39" s="1"/>
  <c r="H160" i="39"/>
  <c r="I160" i="39" s="1"/>
  <c r="H161" i="39"/>
  <c r="I161" i="39" s="1"/>
  <c r="H170" i="39"/>
  <c r="I170" i="39" s="1"/>
  <c r="H175" i="39"/>
  <c r="I175" i="39" s="1"/>
  <c r="H176" i="39"/>
  <c r="I176" i="39" s="1"/>
  <c r="J145" i="39"/>
  <c r="H169" i="39"/>
  <c r="I169" i="39" s="1"/>
  <c r="H191" i="39"/>
  <c r="I191" i="39" s="1"/>
  <c r="H140" i="39"/>
  <c r="I140" i="39" s="1"/>
  <c r="H150" i="39"/>
  <c r="I150" i="39" s="1"/>
  <c r="H151" i="39"/>
  <c r="I151" i="39" s="1"/>
  <c r="H152" i="39"/>
  <c r="I152" i="39" s="1"/>
  <c r="H184" i="39"/>
  <c r="I184" i="39" s="1"/>
  <c r="H213" i="39"/>
  <c r="I213" i="39" s="1"/>
  <c r="J233" i="39"/>
  <c r="H202" i="39"/>
  <c r="I202" i="39" s="1"/>
  <c r="H209" i="39"/>
  <c r="I209" i="39" s="1"/>
  <c r="H190" i="39"/>
  <c r="I190" i="39" s="1"/>
  <c r="H182" i="39"/>
  <c r="I182" i="39" s="1"/>
  <c r="H259" i="39"/>
  <c r="I259" i="39" s="1"/>
  <c r="H168" i="39"/>
  <c r="I168" i="39" s="1"/>
  <c r="H188" i="39"/>
  <c r="I188" i="39" s="1"/>
  <c r="H189" i="39"/>
  <c r="I189" i="39" s="1"/>
  <c r="H146" i="39"/>
  <c r="I146" i="39" s="1"/>
  <c r="H154" i="39"/>
  <c r="I154" i="39" s="1"/>
  <c r="I156" i="39"/>
  <c r="H162" i="39"/>
  <c r="I162" i="39" s="1"/>
  <c r="H174" i="39"/>
  <c r="I174" i="39" s="1"/>
  <c r="H219" i="39"/>
  <c r="I219" i="39" s="1"/>
  <c r="H220" i="39"/>
  <c r="I220" i="39" s="1"/>
  <c r="H224" i="39"/>
  <c r="I224" i="39" s="1"/>
  <c r="H254" i="39"/>
  <c r="I254" i="39" s="1"/>
  <c r="H192" i="39"/>
  <c r="I192" i="39" s="1"/>
  <c r="H206" i="39"/>
  <c r="I206" i="39" s="1"/>
  <c r="H217" i="39"/>
  <c r="I217" i="39" s="1"/>
  <c r="H237" i="39"/>
  <c r="I237" i="39" s="1"/>
  <c r="H271" i="39"/>
  <c r="I271" i="39" s="1"/>
  <c r="H285" i="39"/>
  <c r="I285" i="39" s="1"/>
  <c r="H178" i="39"/>
  <c r="I178" i="39" s="1"/>
  <c r="H185" i="39"/>
  <c r="I185" i="39" s="1"/>
  <c r="H193" i="39"/>
  <c r="I193" i="39" s="1"/>
  <c r="H200" i="39"/>
  <c r="I200" i="39" s="1"/>
  <c r="H221" i="39"/>
  <c r="I221" i="39" s="1"/>
  <c r="H283" i="39"/>
  <c r="I283" i="39" s="1"/>
  <c r="H186" i="39"/>
  <c r="I186" i="39" s="1"/>
  <c r="H194" i="39"/>
  <c r="I194" i="39" s="1"/>
  <c r="H198" i="39"/>
  <c r="I198" i="39" s="1"/>
  <c r="H211" i="39"/>
  <c r="I211" i="39" s="1"/>
  <c r="H212" i="39"/>
  <c r="I212" i="39" s="1"/>
  <c r="H225" i="39"/>
  <c r="I225" i="39" s="1"/>
  <c r="H298" i="39"/>
  <c r="I298" i="39" s="1"/>
  <c r="H242" i="39"/>
  <c r="I242" i="39" s="1"/>
  <c r="J256" i="39"/>
  <c r="H292" i="39"/>
  <c r="I292" i="39" s="1"/>
  <c r="H239" i="39"/>
  <c r="I239" i="39" s="1"/>
  <c r="H272" i="39"/>
  <c r="I272" i="39" s="1"/>
  <c r="H230" i="39"/>
  <c r="I230" i="39" s="1"/>
  <c r="H241" i="39"/>
  <c r="I241" i="39" s="1"/>
  <c r="H246" i="39"/>
  <c r="I246" i="39" s="1"/>
  <c r="H227" i="39"/>
  <c r="I227" i="39" s="1"/>
  <c r="H249" i="39"/>
  <c r="I249" i="39" s="1"/>
  <c r="H251" i="39"/>
  <c r="I251" i="39" s="1"/>
  <c r="H276" i="39"/>
  <c r="I276" i="39" s="1"/>
  <c r="H279" i="39"/>
  <c r="I279" i="39" s="1"/>
  <c r="H267" i="39"/>
  <c r="I267" i="39" s="1"/>
  <c r="H278" i="39"/>
  <c r="I278" i="39" s="1"/>
  <c r="H250" i="39"/>
  <c r="I250" i="39" s="1"/>
  <c r="H258" i="39"/>
  <c r="I258" i="39" s="1"/>
  <c r="H264" i="39"/>
  <c r="I264" i="39" s="1"/>
  <c r="H265" i="39"/>
  <c r="I265" i="39" s="1"/>
  <c r="H304" i="39"/>
  <c r="I304" i="39" s="1"/>
  <c r="H247" i="39"/>
  <c r="I247" i="39" s="1"/>
  <c r="H253" i="39"/>
  <c r="I253" i="39" s="1"/>
  <c r="H255" i="39"/>
  <c r="I255" i="39" s="1"/>
  <c r="H266" i="39"/>
  <c r="I266" i="39" s="1"/>
  <c r="H287" i="39"/>
  <c r="I287" i="39" s="1"/>
  <c r="H307" i="39"/>
  <c r="I307" i="39" s="1"/>
  <c r="H273" i="39"/>
  <c r="I273" i="39" s="1"/>
  <c r="H274" i="39"/>
  <c r="I274" i="39" s="1"/>
  <c r="H263" i="39"/>
  <c r="I263" i="39" s="1"/>
  <c r="H270" i="39"/>
  <c r="I270" i="39" s="1"/>
  <c r="H282" i="39"/>
  <c r="I282" i="39" s="1"/>
  <c r="H288" i="39"/>
  <c r="I288" i="39" s="1"/>
  <c r="H311" i="39"/>
  <c r="I311" i="39" s="1"/>
  <c r="H303" i="39"/>
  <c r="I303" i="39" s="1"/>
  <c r="H315" i="39"/>
  <c r="I315" i="39" s="1"/>
  <c r="H302" i="39"/>
  <c r="I302" i="39" s="1"/>
  <c r="H306" i="39"/>
  <c r="I306" i="39" s="1"/>
  <c r="H310" i="39"/>
  <c r="I310" i="39" s="1"/>
  <c r="H314" i="39"/>
  <c r="I314" i="39" s="1"/>
  <c r="H22" i="38"/>
  <c r="I22" i="38" s="1"/>
  <c r="H54" i="38"/>
  <c r="I54" i="38" s="1"/>
  <c r="H26" i="38"/>
  <c r="I26" i="38" s="1"/>
  <c r="H58" i="38"/>
  <c r="I58" i="38" s="1"/>
  <c r="H127" i="38"/>
  <c r="I127" i="38" s="1"/>
  <c r="H62" i="38"/>
  <c r="I62" i="38" s="1"/>
  <c r="H23" i="38"/>
  <c r="I23" i="38" s="1"/>
  <c r="H34" i="38"/>
  <c r="I34" i="38" s="1"/>
  <c r="H55" i="38"/>
  <c r="I55" i="38" s="1"/>
  <c r="H177" i="38"/>
  <c r="I177" i="38" s="1"/>
  <c r="H19" i="38"/>
  <c r="I19" i="38" s="1"/>
  <c r="H6" i="38"/>
  <c r="I6" i="38" s="1"/>
  <c r="H38" i="38"/>
  <c r="I38" i="38" s="1"/>
  <c r="H59" i="38"/>
  <c r="I59" i="38" s="1"/>
  <c r="H128" i="38"/>
  <c r="I128" i="38" s="1"/>
  <c r="H132" i="38"/>
  <c r="I132" i="38" s="1"/>
  <c r="H51" i="38"/>
  <c r="I51" i="38" s="1"/>
  <c r="H10" i="38"/>
  <c r="I10" i="38" s="1"/>
  <c r="H31" i="38"/>
  <c r="I31" i="38" s="1"/>
  <c r="H42" i="38"/>
  <c r="I42" i="38" s="1"/>
  <c r="H63" i="38"/>
  <c r="I63" i="38" s="1"/>
  <c r="H113" i="38"/>
  <c r="I113" i="38" s="1"/>
  <c r="H30" i="38"/>
  <c r="I30" i="38" s="1"/>
  <c r="I11" i="38"/>
  <c r="H14" i="38"/>
  <c r="I14" i="38" s="1"/>
  <c r="H35" i="38"/>
  <c r="I35" i="38" s="1"/>
  <c r="H46" i="38"/>
  <c r="I46" i="38" s="1"/>
  <c r="H66" i="38"/>
  <c r="I66" i="38" s="1"/>
  <c r="H118" i="38"/>
  <c r="I118" i="38" s="1"/>
  <c r="H7" i="38"/>
  <c r="I7" i="38" s="1"/>
  <c r="I15" i="38"/>
  <c r="H18" i="38"/>
  <c r="I18" i="38" s="1"/>
  <c r="H39" i="38"/>
  <c r="I39" i="38" s="1"/>
  <c r="H50" i="38"/>
  <c r="I50" i="38" s="1"/>
  <c r="H72" i="38"/>
  <c r="I72" i="38" s="1"/>
  <c r="H135" i="38"/>
  <c r="I135" i="38" s="1"/>
  <c r="H82" i="38"/>
  <c r="I82" i="38" s="1"/>
  <c r="H83" i="38"/>
  <c r="I83" i="38" s="1"/>
  <c r="H98" i="38"/>
  <c r="I98" i="38" s="1"/>
  <c r="H76" i="38"/>
  <c r="I76" i="38" s="1"/>
  <c r="H77" i="38"/>
  <c r="I77" i="38" s="1"/>
  <c r="H80" i="38"/>
  <c r="I80" i="38" s="1"/>
  <c r="H90" i="38"/>
  <c r="I90" i="38" s="1"/>
  <c r="H91" i="38"/>
  <c r="I91" i="38" s="1"/>
  <c r="H139" i="38"/>
  <c r="I139" i="38" s="1"/>
  <c r="H166" i="38"/>
  <c r="I166" i="38" s="1"/>
  <c r="H68" i="38"/>
  <c r="I68" i="38" s="1"/>
  <c r="H84" i="38"/>
  <c r="I84" i="38" s="1"/>
  <c r="H95" i="38"/>
  <c r="I95" i="38" s="1"/>
  <c r="H109" i="38"/>
  <c r="I109" i="38" s="1"/>
  <c r="H126" i="38"/>
  <c r="I126" i="38" s="1"/>
  <c r="H130" i="38"/>
  <c r="I130" i="38" s="1"/>
  <c r="H157" i="38"/>
  <c r="I157" i="38" s="1"/>
  <c r="H88" i="38"/>
  <c r="I88" i="38" s="1"/>
  <c r="H100" i="38"/>
  <c r="I100" i="38" s="1"/>
  <c r="H120" i="38"/>
  <c r="I120" i="38" s="1"/>
  <c r="J125" i="38"/>
  <c r="H5" i="38"/>
  <c r="H9" i="38"/>
  <c r="I9" i="38" s="1"/>
  <c r="H13" i="38"/>
  <c r="I13" i="38" s="1"/>
  <c r="H17" i="38"/>
  <c r="I17" i="38" s="1"/>
  <c r="H21" i="38"/>
  <c r="I21" i="38" s="1"/>
  <c r="H25" i="38"/>
  <c r="I25" i="38" s="1"/>
  <c r="H29" i="38"/>
  <c r="I29" i="38" s="1"/>
  <c r="H33" i="38"/>
  <c r="I33" i="38" s="1"/>
  <c r="H37" i="38"/>
  <c r="I37" i="38" s="1"/>
  <c r="H41" i="38"/>
  <c r="I41" i="38" s="1"/>
  <c r="H45" i="38"/>
  <c r="I45" i="38" s="1"/>
  <c r="H49" i="38"/>
  <c r="I49" i="38" s="1"/>
  <c r="H53" i="38"/>
  <c r="I53" i="38" s="1"/>
  <c r="H57" i="38"/>
  <c r="I57" i="38" s="1"/>
  <c r="H61" i="38"/>
  <c r="I61" i="38" s="1"/>
  <c r="H65" i="38"/>
  <c r="I65" i="38" s="1"/>
  <c r="H92" i="38"/>
  <c r="I92" i="38" s="1"/>
  <c r="H96" i="38"/>
  <c r="I96" i="38" s="1"/>
  <c r="H111" i="38"/>
  <c r="I111" i="38" s="1"/>
  <c r="H119" i="38"/>
  <c r="I119" i="38" s="1"/>
  <c r="H151" i="38"/>
  <c r="I151" i="38" s="1"/>
  <c r="H146" i="38"/>
  <c r="I146" i="38" s="1"/>
  <c r="H142" i="38"/>
  <c r="I142" i="38" s="1"/>
  <c r="H147" i="38"/>
  <c r="I147" i="38" s="1"/>
  <c r="H181" i="38"/>
  <c r="I181" i="38" s="1"/>
  <c r="H143" i="38"/>
  <c r="I143" i="38" s="1"/>
  <c r="H149" i="38"/>
  <c r="I149" i="38" s="1"/>
  <c r="H174" i="38"/>
  <c r="I174" i="38" s="1"/>
  <c r="H211" i="38"/>
  <c r="I211" i="38" s="1"/>
  <c r="H131" i="38"/>
  <c r="I131" i="38" s="1"/>
  <c r="H180" i="38"/>
  <c r="I180" i="38" s="1"/>
  <c r="H201" i="38"/>
  <c r="I201" i="38" s="1"/>
  <c r="H115" i="38"/>
  <c r="I115" i="38" s="1"/>
  <c r="H123" i="38"/>
  <c r="I123" i="38" s="1"/>
  <c r="H155" i="38"/>
  <c r="I155" i="38" s="1"/>
  <c r="J173" i="38"/>
  <c r="H188" i="38"/>
  <c r="I188" i="38" s="1"/>
  <c r="H179" i="38"/>
  <c r="I179" i="38" s="1"/>
  <c r="H184" i="38"/>
  <c r="I184" i="38" s="1"/>
  <c r="H162" i="38"/>
  <c r="I162" i="38" s="1"/>
  <c r="H246" i="38"/>
  <c r="I246" i="38" s="1"/>
  <c r="H265" i="38"/>
  <c r="I265" i="38" s="1"/>
  <c r="H158" i="38"/>
  <c r="I158" i="38" s="1"/>
  <c r="H164" i="38"/>
  <c r="I164" i="38" s="1"/>
  <c r="H176" i="38"/>
  <c r="I176" i="38" s="1"/>
  <c r="H197" i="38"/>
  <c r="I197" i="38" s="1"/>
  <c r="H154" i="38"/>
  <c r="I154" i="38" s="1"/>
  <c r="H172" i="38"/>
  <c r="I172" i="38" s="1"/>
  <c r="H175" i="38"/>
  <c r="I175" i="38" s="1"/>
  <c r="H186" i="38"/>
  <c r="I186" i="38" s="1"/>
  <c r="H150" i="38"/>
  <c r="I150" i="38" s="1"/>
  <c r="H167" i="38"/>
  <c r="I167" i="38" s="1"/>
  <c r="H203" i="38"/>
  <c r="I203" i="38" s="1"/>
  <c r="H243" i="38"/>
  <c r="I243" i="38" s="1"/>
  <c r="H168" i="38"/>
  <c r="I168" i="38" s="1"/>
  <c r="H193" i="38"/>
  <c r="I193" i="38" s="1"/>
  <c r="H199" i="38"/>
  <c r="I199" i="38" s="1"/>
  <c r="H229" i="38"/>
  <c r="I229" i="38" s="1"/>
  <c r="J239" i="38"/>
  <c r="H196" i="38"/>
  <c r="I196" i="38" s="1"/>
  <c r="H231" i="38"/>
  <c r="I231" i="38" s="1"/>
  <c r="H185" i="38"/>
  <c r="I185" i="38" s="1"/>
  <c r="H295" i="38"/>
  <c r="I295" i="38" s="1"/>
  <c r="H192" i="38"/>
  <c r="I192" i="38" s="1"/>
  <c r="H198" i="38"/>
  <c r="I198" i="38" s="1"/>
  <c r="H226" i="38"/>
  <c r="I226" i="38" s="1"/>
  <c r="H238" i="38"/>
  <c r="I238" i="38" s="1"/>
  <c r="H248" i="38"/>
  <c r="I248" i="38" s="1"/>
  <c r="H310" i="38"/>
  <c r="I310" i="38" s="1"/>
  <c r="H253" i="38"/>
  <c r="I253" i="38" s="1"/>
  <c r="H212" i="38"/>
  <c r="I212" i="38" s="1"/>
  <c r="H222" i="38"/>
  <c r="I222" i="38" s="1"/>
  <c r="H277" i="38"/>
  <c r="I277" i="38" s="1"/>
  <c r="H218" i="38"/>
  <c r="I218" i="38" s="1"/>
  <c r="H234" i="38"/>
  <c r="I234" i="38" s="1"/>
  <c r="H250" i="38"/>
  <c r="I250" i="38" s="1"/>
  <c r="H213" i="38"/>
  <c r="I213" i="38" s="1"/>
  <c r="H270" i="38"/>
  <c r="I270" i="38" s="1"/>
  <c r="H206" i="38"/>
  <c r="I206" i="38" s="1"/>
  <c r="H221" i="38"/>
  <c r="I221" i="38" s="1"/>
  <c r="H230" i="38"/>
  <c r="I230" i="38" s="1"/>
  <c r="H242" i="38"/>
  <c r="I242" i="38" s="1"/>
  <c r="H262" i="38"/>
  <c r="I262" i="38" s="1"/>
  <c r="H258" i="38"/>
  <c r="I258" i="38" s="1"/>
  <c r="H263" i="38"/>
  <c r="I263" i="38" s="1"/>
  <c r="H225" i="38"/>
  <c r="I225" i="38" s="1"/>
  <c r="I256" i="38"/>
  <c r="H260" i="38"/>
  <c r="I260" i="38" s="1"/>
  <c r="H272" i="38"/>
  <c r="I272" i="38" s="1"/>
  <c r="H254" i="38"/>
  <c r="I254" i="38" s="1"/>
  <c r="H269" i="38"/>
  <c r="I269" i="38" s="1"/>
  <c r="H284" i="38"/>
  <c r="I284" i="38" s="1"/>
  <c r="H285" i="38"/>
  <c r="I285" i="38" s="1"/>
  <c r="H286" i="38"/>
  <c r="I286" i="38" s="1"/>
  <c r="H289" i="38"/>
  <c r="I289" i="38" s="1"/>
  <c r="H300" i="38"/>
  <c r="I300" i="38" s="1"/>
  <c r="H290" i="38"/>
  <c r="I290" i="38" s="1"/>
  <c r="H306" i="38"/>
  <c r="I306" i="38" s="1"/>
  <c r="H280" i="38"/>
  <c r="I280" i="38" s="1"/>
  <c r="H288" i="38"/>
  <c r="I288" i="38" s="1"/>
  <c r="H308" i="38"/>
  <c r="I308" i="38" s="1"/>
  <c r="H314" i="38"/>
  <c r="I314" i="38" s="1"/>
  <c r="H276" i="38"/>
  <c r="I276" i="38" s="1"/>
  <c r="H294" i="38"/>
  <c r="I294" i="38" s="1"/>
  <c r="H303" i="38"/>
  <c r="I303" i="38" s="1"/>
  <c r="H278" i="38"/>
  <c r="I278" i="38" s="1"/>
  <c r="H302" i="38"/>
  <c r="I302" i="38" s="1"/>
  <c r="H316" i="38"/>
  <c r="I316" i="38" s="1"/>
  <c r="H282" i="38"/>
  <c r="I282" i="38" s="1"/>
  <c r="H287" i="38"/>
  <c r="I287" i="38" s="1"/>
  <c r="H298" i="38"/>
  <c r="I298" i="38" s="1"/>
  <c r="H311" i="38"/>
  <c r="I311" i="38" s="1"/>
  <c r="H299" i="38"/>
  <c r="I299" i="38" s="1"/>
  <c r="H307" i="38"/>
  <c r="I307" i="38" s="1"/>
  <c r="H315" i="38"/>
  <c r="I315" i="38" s="1"/>
  <c r="H4" i="36"/>
  <c r="H74" i="36"/>
  <c r="I74" i="36" s="1"/>
  <c r="H8" i="36"/>
  <c r="I8" i="36" s="1"/>
  <c r="J15" i="36"/>
  <c r="H37" i="36"/>
  <c r="I37" i="36" s="1"/>
  <c r="H39" i="36"/>
  <c r="I39" i="36" s="1"/>
  <c r="H19" i="36"/>
  <c r="I19" i="36" s="1"/>
  <c r="H30" i="36"/>
  <c r="I30" i="36" s="1"/>
  <c r="H36" i="36"/>
  <c r="I36" i="36" s="1"/>
  <c r="H58" i="36"/>
  <c r="I58" i="36" s="1"/>
  <c r="H54" i="36"/>
  <c r="I54" i="36" s="1"/>
  <c r="H12" i="36"/>
  <c r="I12" i="36" s="1"/>
  <c r="H16" i="36"/>
  <c r="I16" i="36" s="1"/>
  <c r="H20" i="36"/>
  <c r="I20" i="36" s="1"/>
  <c r="H24" i="36"/>
  <c r="I24" i="36" s="1"/>
  <c r="H38" i="36"/>
  <c r="I38" i="36" s="1"/>
  <c r="H41" i="36"/>
  <c r="I41" i="36" s="1"/>
  <c r="H50" i="36"/>
  <c r="I50" i="36" s="1"/>
  <c r="H70" i="36"/>
  <c r="I70" i="36" s="1"/>
  <c r="H31" i="36"/>
  <c r="I31" i="36" s="1"/>
  <c r="H95" i="36"/>
  <c r="I95" i="36" s="1"/>
  <c r="H88" i="36"/>
  <c r="I88" i="36" s="1"/>
  <c r="H46" i="36"/>
  <c r="I46" i="36" s="1"/>
  <c r="H61" i="36"/>
  <c r="I61" i="36" s="1"/>
  <c r="H63" i="36"/>
  <c r="I63" i="36" s="1"/>
  <c r="H81" i="36"/>
  <c r="I81" i="36" s="1"/>
  <c r="H160" i="36"/>
  <c r="I160" i="36" s="1"/>
  <c r="H76" i="36"/>
  <c r="I76" i="36" s="1"/>
  <c r="H80" i="36"/>
  <c r="I80" i="36" s="1"/>
  <c r="H87" i="36"/>
  <c r="I87" i="36" s="1"/>
  <c r="H105" i="36"/>
  <c r="I105" i="36" s="1"/>
  <c r="H107" i="36"/>
  <c r="I107" i="36" s="1"/>
  <c r="H121" i="36"/>
  <c r="I121" i="36" s="1"/>
  <c r="H45" i="36"/>
  <c r="I45" i="36" s="1"/>
  <c r="H49" i="36"/>
  <c r="I49" i="36" s="1"/>
  <c r="H53" i="36"/>
  <c r="I53" i="36" s="1"/>
  <c r="H57" i="36"/>
  <c r="I57" i="36" s="1"/>
  <c r="H68" i="36"/>
  <c r="I68" i="36" s="1"/>
  <c r="H85" i="36"/>
  <c r="I85" i="36" s="1"/>
  <c r="H66" i="36"/>
  <c r="I66" i="36" s="1"/>
  <c r="H91" i="36"/>
  <c r="I91" i="36" s="1"/>
  <c r="H93" i="36"/>
  <c r="I93" i="36" s="1"/>
  <c r="H97" i="36"/>
  <c r="I97" i="36" s="1"/>
  <c r="H101" i="36"/>
  <c r="I101" i="36" s="1"/>
  <c r="H113" i="36"/>
  <c r="I113" i="36" s="1"/>
  <c r="H116" i="36"/>
  <c r="I116" i="36" s="1"/>
  <c r="H129" i="36"/>
  <c r="I129" i="36" s="1"/>
  <c r="H40" i="36"/>
  <c r="I40" i="36" s="1"/>
  <c r="H44" i="36"/>
  <c r="I44" i="36" s="1"/>
  <c r="H48" i="36"/>
  <c r="I48" i="36" s="1"/>
  <c r="H52" i="36"/>
  <c r="I52" i="36" s="1"/>
  <c r="H56" i="36"/>
  <c r="I56" i="36" s="1"/>
  <c r="H60" i="36"/>
  <c r="I60" i="36" s="1"/>
  <c r="H72" i="36"/>
  <c r="I72" i="36" s="1"/>
  <c r="H114" i="36"/>
  <c r="I114" i="36" s="1"/>
  <c r="H128" i="36"/>
  <c r="I128" i="36" s="1"/>
  <c r="H132" i="36"/>
  <c r="I132" i="36" s="1"/>
  <c r="H62" i="36"/>
  <c r="I62" i="36" s="1"/>
  <c r="H78" i="36"/>
  <c r="I78" i="36" s="1"/>
  <c r="H84" i="36"/>
  <c r="I84" i="36" s="1"/>
  <c r="H150" i="36"/>
  <c r="I150" i="36" s="1"/>
  <c r="H92" i="36"/>
  <c r="I92" i="36" s="1"/>
  <c r="H96" i="36"/>
  <c r="I96" i="36" s="1"/>
  <c r="H100" i="36"/>
  <c r="I100" i="36" s="1"/>
  <c r="H110" i="36"/>
  <c r="I110" i="36" s="1"/>
  <c r="H117" i="36"/>
  <c r="I117" i="36" s="1"/>
  <c r="H122" i="36"/>
  <c r="I122" i="36" s="1"/>
  <c r="H139" i="36"/>
  <c r="I139" i="36" s="1"/>
  <c r="H140" i="36"/>
  <c r="I140" i="36" s="1"/>
  <c r="H108" i="36"/>
  <c r="I108" i="36" s="1"/>
  <c r="H125" i="36"/>
  <c r="I125" i="36" s="1"/>
  <c r="H126" i="36"/>
  <c r="I126" i="36" s="1"/>
  <c r="H133" i="36"/>
  <c r="I133" i="36" s="1"/>
  <c r="H135" i="36"/>
  <c r="I135" i="36" s="1"/>
  <c r="H153" i="36"/>
  <c r="I153" i="36" s="1"/>
  <c r="H142" i="36"/>
  <c r="I142" i="36" s="1"/>
  <c r="H144" i="36"/>
  <c r="I144" i="36" s="1"/>
  <c r="H146" i="36"/>
  <c r="I146" i="36" s="1"/>
  <c r="H165" i="36"/>
  <c r="I165" i="36" s="1"/>
  <c r="H172" i="36"/>
  <c r="I172" i="36" s="1"/>
  <c r="H190" i="36"/>
  <c r="I190" i="36" s="1"/>
  <c r="H196" i="36"/>
  <c r="I196" i="36" s="1"/>
  <c r="H217" i="36"/>
  <c r="I217" i="36" s="1"/>
  <c r="H152" i="36"/>
  <c r="I152" i="36" s="1"/>
  <c r="H163" i="36"/>
  <c r="I163" i="36" s="1"/>
  <c r="H149" i="36"/>
  <c r="I149" i="36" s="1"/>
  <c r="H180" i="36"/>
  <c r="I180" i="36" s="1"/>
  <c r="H187" i="36"/>
  <c r="I187" i="36" s="1"/>
  <c r="H224" i="36"/>
  <c r="I224" i="36" s="1"/>
  <c r="H212" i="36"/>
  <c r="I212" i="36" s="1"/>
  <c r="H164" i="36"/>
  <c r="I164" i="36" s="1"/>
  <c r="H173" i="36"/>
  <c r="I173" i="36" s="1"/>
  <c r="H192" i="36"/>
  <c r="I192" i="36" s="1"/>
  <c r="H199" i="36"/>
  <c r="I199" i="36" s="1"/>
  <c r="H208" i="36"/>
  <c r="I208" i="36" s="1"/>
  <c r="I156" i="36"/>
  <c r="H162" i="36"/>
  <c r="I162" i="36" s="1"/>
  <c r="H166" i="36"/>
  <c r="I166" i="36" s="1"/>
  <c r="H171" i="36"/>
  <c r="I171" i="36" s="1"/>
  <c r="H211" i="36"/>
  <c r="I211" i="36" s="1"/>
  <c r="H202" i="36"/>
  <c r="I202" i="36" s="1"/>
  <c r="H204" i="36"/>
  <c r="I204" i="36" s="1"/>
  <c r="H225" i="36"/>
  <c r="I225" i="36" s="1"/>
  <c r="H176" i="36"/>
  <c r="I176" i="36" s="1"/>
  <c r="H184" i="36"/>
  <c r="I184" i="36" s="1"/>
  <c r="H191" i="36"/>
  <c r="I191" i="36" s="1"/>
  <c r="H223" i="36"/>
  <c r="I223" i="36" s="1"/>
  <c r="H206" i="36"/>
  <c r="I206" i="36" s="1"/>
  <c r="H178" i="36"/>
  <c r="I178" i="36" s="1"/>
  <c r="H188" i="36"/>
  <c r="I188" i="36" s="1"/>
  <c r="H195" i="36"/>
  <c r="I195" i="36" s="1"/>
  <c r="H218" i="36"/>
  <c r="I218" i="36" s="1"/>
  <c r="H200" i="36"/>
  <c r="I200" i="36" s="1"/>
  <c r="H207" i="36"/>
  <c r="I207" i="36" s="1"/>
  <c r="H231" i="36"/>
  <c r="I231" i="36" s="1"/>
  <c r="H252" i="36"/>
  <c r="I252" i="36" s="1"/>
  <c r="H219" i="36"/>
  <c r="I219" i="36" s="1"/>
  <c r="J258" i="36"/>
  <c r="H261" i="36"/>
  <c r="I261" i="36" s="1"/>
  <c r="H227" i="36"/>
  <c r="I227" i="36" s="1"/>
  <c r="H243" i="36"/>
  <c r="I243" i="36" s="1"/>
  <c r="H175" i="36"/>
  <c r="I175" i="36" s="1"/>
  <c r="H179" i="36"/>
  <c r="I179" i="36" s="1"/>
  <c r="H183" i="36"/>
  <c r="I183" i="36" s="1"/>
  <c r="H213" i="36"/>
  <c r="I213" i="36" s="1"/>
  <c r="H244" i="36"/>
  <c r="I244" i="36" s="1"/>
  <c r="H215" i="36"/>
  <c r="I215" i="36" s="1"/>
  <c r="H220" i="36"/>
  <c r="I220" i="36" s="1"/>
  <c r="H235" i="36"/>
  <c r="I235" i="36" s="1"/>
  <c r="H248" i="36"/>
  <c r="I248" i="36" s="1"/>
  <c r="H242" i="36"/>
  <c r="I242" i="36" s="1"/>
  <c r="H239" i="36"/>
  <c r="I239" i="36" s="1"/>
  <c r="H289" i="36"/>
  <c r="I289" i="36" s="1"/>
  <c r="H247" i="36"/>
  <c r="I247" i="36" s="1"/>
  <c r="H251" i="36"/>
  <c r="I251" i="36" s="1"/>
  <c r="H257" i="36"/>
  <c r="I257" i="36" s="1"/>
  <c r="H277" i="36"/>
  <c r="I277" i="36" s="1"/>
  <c r="H253" i="36"/>
  <c r="I253" i="36" s="1"/>
  <c r="H266" i="36"/>
  <c r="I266" i="36" s="1"/>
  <c r="H255" i="36"/>
  <c r="I255" i="36" s="1"/>
  <c r="H270" i="36"/>
  <c r="I270" i="36" s="1"/>
  <c r="H275" i="36"/>
  <c r="I275" i="36" s="1"/>
  <c r="H276" i="36"/>
  <c r="I276" i="36" s="1"/>
  <c r="H264" i="36"/>
  <c r="I264" i="36" s="1"/>
  <c r="H271" i="36"/>
  <c r="I271" i="36" s="1"/>
  <c r="H268" i="36"/>
  <c r="I268" i="36" s="1"/>
  <c r="H290" i="36"/>
  <c r="I290" i="36" s="1"/>
  <c r="H288" i="36"/>
  <c r="I288" i="36" s="1"/>
  <c r="H283" i="36"/>
  <c r="I283" i="36" s="1"/>
  <c r="H292" i="36"/>
  <c r="I292" i="36" s="1"/>
  <c r="H293" i="36"/>
  <c r="I293" i="36" s="1"/>
  <c r="H274" i="36"/>
  <c r="I274" i="36" s="1"/>
  <c r="H281" i="36"/>
  <c r="I281" i="36" s="1"/>
  <c r="H297" i="36"/>
  <c r="I297" i="36" s="1"/>
  <c r="H301" i="36"/>
  <c r="I301" i="36" s="1"/>
  <c r="H286" i="36"/>
  <c r="I286" i="36" s="1"/>
  <c r="H307" i="36"/>
  <c r="I307" i="36" s="1"/>
  <c r="H305" i="36"/>
  <c r="I305" i="36" s="1"/>
  <c r="H309" i="36"/>
  <c r="I309" i="36" s="1"/>
  <c r="H313" i="36"/>
  <c r="I313" i="36" s="1"/>
  <c r="H304" i="36"/>
  <c r="I304" i="36" s="1"/>
  <c r="H308" i="36"/>
  <c r="I308" i="36" s="1"/>
  <c r="H312" i="36"/>
  <c r="I312" i="36" s="1"/>
  <c r="H316" i="36"/>
  <c r="I316" i="36" s="1"/>
  <c r="F1" i="38" l="1"/>
  <c r="G1" i="38"/>
  <c r="H3" i="38" a="1"/>
  <c r="H3" i="38" s="1"/>
  <c r="H3" i="39" a="1"/>
  <c r="H3" i="39" s="1"/>
  <c r="H3" i="37" a="1"/>
  <c r="H3" i="37" s="1"/>
  <c r="H3" i="36" a="1"/>
  <c r="H3" i="36" s="1"/>
  <c r="I4" i="38"/>
  <c r="I4" i="37"/>
  <c r="I251" i="37"/>
  <c r="J251" i="37" s="1"/>
  <c r="I307" i="37"/>
  <c r="J307" i="37" s="1"/>
  <c r="I213" i="37"/>
  <c r="J213" i="37" s="1"/>
  <c r="I87" i="37"/>
  <c r="J87" i="37" s="1"/>
  <c r="I73" i="37"/>
  <c r="J73" i="37" s="1"/>
  <c r="I42" i="37"/>
  <c r="J42" i="37" s="1"/>
  <c r="I231" i="37"/>
  <c r="J231" i="37" s="1"/>
  <c r="I20" i="37"/>
  <c r="J20" i="37" s="1"/>
  <c r="I92" i="37"/>
  <c r="J92" i="37" s="1"/>
  <c r="I172" i="37"/>
  <c r="J172" i="37" s="1"/>
  <c r="I85" i="37"/>
  <c r="J85" i="37" s="1"/>
  <c r="I228" i="37"/>
  <c r="J228" i="37" s="1"/>
  <c r="I229" i="37"/>
  <c r="J229" i="37" s="1"/>
  <c r="I214" i="37"/>
  <c r="J214" i="37" s="1"/>
  <c r="I203" i="37"/>
  <c r="J203" i="37" s="1"/>
  <c r="I136" i="37"/>
  <c r="J136" i="37" s="1"/>
  <c r="I100" i="37"/>
  <c r="J100" i="37" s="1"/>
  <c r="I117" i="37"/>
  <c r="J117" i="37" s="1"/>
  <c r="I236" i="37"/>
  <c r="J236" i="37" s="1"/>
  <c r="I22" i="37"/>
  <c r="J22" i="37" s="1"/>
  <c r="I134" i="37"/>
  <c r="J134" i="37" s="1"/>
  <c r="I237" i="37"/>
  <c r="J237" i="37" s="1"/>
  <c r="I103" i="37"/>
  <c r="J103" i="37" s="1"/>
  <c r="I238" i="37"/>
  <c r="J238" i="37" s="1"/>
  <c r="I131" i="37"/>
  <c r="J131" i="37" s="1"/>
  <c r="I84" i="37"/>
  <c r="J84" i="37" s="1"/>
  <c r="I220" i="37"/>
  <c r="J220" i="37" s="1"/>
  <c r="I308" i="37"/>
  <c r="J308" i="37" s="1"/>
  <c r="I293" i="37"/>
  <c r="J293" i="37" s="1"/>
  <c r="I240" i="37"/>
  <c r="J240" i="37" s="1"/>
  <c r="I202" i="37"/>
  <c r="J202" i="37" s="1"/>
  <c r="I288" i="37"/>
  <c r="J288" i="37" s="1"/>
  <c r="I281" i="37"/>
  <c r="J281" i="37" s="1"/>
  <c r="I164" i="37"/>
  <c r="J164" i="37" s="1"/>
  <c r="I77" i="37"/>
  <c r="J77" i="37" s="1"/>
  <c r="I102" i="37"/>
  <c r="J102" i="37" s="1"/>
  <c r="I199" i="37"/>
  <c r="J199" i="37" s="1"/>
  <c r="I153" i="37"/>
  <c r="J153" i="37" s="1"/>
  <c r="I122" i="37"/>
  <c r="J122" i="37" s="1"/>
  <c r="I48" i="37"/>
  <c r="J48" i="37" s="1"/>
  <c r="I298" i="37"/>
  <c r="J298" i="37" s="1"/>
  <c r="I154" i="37"/>
  <c r="J154" i="37" s="1"/>
  <c r="I233" i="37"/>
  <c r="J233" i="37" s="1"/>
  <c r="I188" i="37"/>
  <c r="J188" i="37" s="1"/>
  <c r="I142" i="37"/>
  <c r="J142" i="37" s="1"/>
  <c r="I253" i="37"/>
  <c r="J253" i="37" s="1"/>
  <c r="I35" i="37"/>
  <c r="J35" i="37" s="1"/>
  <c r="I82" i="37"/>
  <c r="J82" i="37" s="1"/>
  <c r="I52" i="37"/>
  <c r="J52" i="37" s="1"/>
  <c r="I132" i="37"/>
  <c r="J132" i="37" s="1"/>
  <c r="I29" i="37"/>
  <c r="J29" i="37" s="1"/>
  <c r="I189" i="37"/>
  <c r="J189" i="37" s="1"/>
  <c r="I267" i="37"/>
  <c r="J267" i="37" s="1"/>
  <c r="I166" i="37"/>
  <c r="J166" i="37" s="1"/>
  <c r="I268" i="37"/>
  <c r="J268" i="37" s="1"/>
  <c r="I47" i="37"/>
  <c r="J47" i="37" s="1"/>
  <c r="I167" i="37"/>
  <c r="J167" i="37" s="1"/>
  <c r="I269" i="37"/>
  <c r="J269" i="37" s="1"/>
  <c r="I49" i="37"/>
  <c r="J49" i="37" s="1"/>
  <c r="I121" i="37"/>
  <c r="J121" i="37" s="1"/>
  <c r="I201" i="37"/>
  <c r="J201" i="37" s="1"/>
  <c r="I10" i="37"/>
  <c r="J10" i="37" s="1"/>
  <c r="I98" i="37"/>
  <c r="J98" i="37" s="1"/>
  <c r="I170" i="37"/>
  <c r="J170" i="37" s="1"/>
  <c r="I264" i="37"/>
  <c r="J264" i="37" s="1"/>
  <c r="I67" i="37"/>
  <c r="J67" i="37" s="1"/>
  <c r="I155" i="37"/>
  <c r="J155" i="37" s="1"/>
  <c r="I234" i="37"/>
  <c r="J234" i="37" s="1"/>
  <c r="I195" i="37"/>
  <c r="J195" i="37" s="1"/>
  <c r="I311" i="37"/>
  <c r="J311" i="37" s="1"/>
  <c r="I105" i="37"/>
  <c r="J105" i="37" s="1"/>
  <c r="I119" i="37"/>
  <c r="J119" i="37" s="1"/>
  <c r="I133" i="37"/>
  <c r="J133" i="37" s="1"/>
  <c r="I140" i="37"/>
  <c r="J140" i="37" s="1"/>
  <c r="I219" i="37"/>
  <c r="J219" i="37" s="1"/>
  <c r="I53" i="37"/>
  <c r="J53" i="37" s="1"/>
  <c r="I283" i="37"/>
  <c r="J283" i="37" s="1"/>
  <c r="I182" i="37"/>
  <c r="J182" i="37" s="1"/>
  <c r="I276" i="37"/>
  <c r="J276" i="37" s="1"/>
  <c r="I55" i="37"/>
  <c r="J55" i="37" s="1"/>
  <c r="I277" i="37"/>
  <c r="J277" i="37" s="1"/>
  <c r="I57" i="37"/>
  <c r="J57" i="37" s="1"/>
  <c r="I272" i="37"/>
  <c r="J272" i="37" s="1"/>
  <c r="I107" i="37"/>
  <c r="J107" i="37" s="1"/>
  <c r="I76" i="37"/>
  <c r="J76" i="37" s="1"/>
  <c r="I148" i="37"/>
  <c r="J148" i="37" s="1"/>
  <c r="I227" i="37"/>
  <c r="J227" i="37" s="1"/>
  <c r="I61" i="37"/>
  <c r="J61" i="37" s="1"/>
  <c r="I212" i="37"/>
  <c r="J212" i="37" s="1"/>
  <c r="I291" i="37"/>
  <c r="J291" i="37" s="1"/>
  <c r="I206" i="37"/>
  <c r="J206" i="37" s="1"/>
  <c r="I191" i="37"/>
  <c r="J191" i="37" s="1"/>
  <c r="I99" i="37"/>
  <c r="J99" i="37" s="1"/>
  <c r="J7" i="37"/>
  <c r="J5" i="37"/>
  <c r="J192" i="39"/>
  <c r="J104" i="39"/>
  <c r="J302" i="39"/>
  <c r="J239" i="39"/>
  <c r="J162" i="39"/>
  <c r="J213" i="39"/>
  <c r="J112" i="39"/>
  <c r="J124" i="39"/>
  <c r="J87" i="39"/>
  <c r="J22" i="39"/>
  <c r="J264" i="39"/>
  <c r="J292" i="39"/>
  <c r="J298" i="39"/>
  <c r="J154" i="39"/>
  <c r="J184" i="39"/>
  <c r="J55" i="39"/>
  <c r="J135" i="39"/>
  <c r="J285" i="39"/>
  <c r="J151" i="39"/>
  <c r="J41" i="39"/>
  <c r="J266" i="39"/>
  <c r="J271" i="39"/>
  <c r="J209" i="39"/>
  <c r="J140" i="39"/>
  <c r="J91" i="39"/>
  <c r="J59" i="39"/>
  <c r="J303" i="39"/>
  <c r="J279" i="39"/>
  <c r="J246" i="39"/>
  <c r="J200" i="39"/>
  <c r="J143" i="39"/>
  <c r="J179" i="39"/>
  <c r="J272" i="39"/>
  <c r="J35" i="39"/>
  <c r="J258" i="39"/>
  <c r="J193" i="39"/>
  <c r="J217" i="39"/>
  <c r="J191" i="39"/>
  <c r="J170" i="39"/>
  <c r="J27" i="39"/>
  <c r="J116" i="39"/>
  <c r="J10" i="39"/>
  <c r="J306" i="39"/>
  <c r="J227" i="39"/>
  <c r="J67" i="39"/>
  <c r="J6" i="39"/>
  <c r="J250" i="39"/>
  <c r="J185" i="39"/>
  <c r="J206" i="39"/>
  <c r="J169" i="39"/>
  <c r="J144" i="39"/>
  <c r="J75" i="39"/>
  <c r="J43" i="39"/>
  <c r="J20" i="39"/>
  <c r="J106" i="39"/>
  <c r="J310" i="39"/>
  <c r="J304" i="39"/>
  <c r="J178" i="39"/>
  <c r="J136" i="39"/>
  <c r="J39" i="39"/>
  <c r="J13" i="39"/>
  <c r="J80" i="39"/>
  <c r="J315" i="39"/>
  <c r="J299" i="39"/>
  <c r="J269" i="39"/>
  <c r="J307" i="39"/>
  <c r="J265" i="39"/>
  <c r="J276" i="39"/>
  <c r="J235" i="39"/>
  <c r="J211" i="39"/>
  <c r="J237" i="39"/>
  <c r="J194" i="39"/>
  <c r="J205" i="39"/>
  <c r="J148" i="39"/>
  <c r="J259" i="39"/>
  <c r="J189" i="39"/>
  <c r="J190" i="39"/>
  <c r="J176" i="39"/>
  <c r="J188" i="39"/>
  <c r="J128" i="39"/>
  <c r="J82" i="39"/>
  <c r="J92" i="39"/>
  <c r="J108" i="39"/>
  <c r="J44" i="39"/>
  <c r="J117" i="39"/>
  <c r="J47" i="39"/>
  <c r="J9" i="39"/>
  <c r="J17" i="39"/>
  <c r="J5" i="39"/>
  <c r="J295" i="39"/>
  <c r="J175" i="39"/>
  <c r="J115" i="39"/>
  <c r="J103" i="39"/>
  <c r="J86" i="39"/>
  <c r="J84" i="39"/>
  <c r="J37" i="39"/>
  <c r="J113" i="39"/>
  <c r="J31" i="39"/>
  <c r="J51" i="39"/>
  <c r="J311" i="39"/>
  <c r="J198" i="39"/>
  <c r="J202" i="39"/>
  <c r="J171" i="39"/>
  <c r="J132" i="39"/>
  <c r="J102" i="39"/>
  <c r="J72" i="39"/>
  <c r="J314" i="39"/>
  <c r="J288" i="39"/>
  <c r="J289" i="39"/>
  <c r="J249" i="39"/>
  <c r="J231" i="39"/>
  <c r="J242" i="39"/>
  <c r="J186" i="39"/>
  <c r="J224" i="39"/>
  <c r="J166" i="39"/>
  <c r="J174" i="39"/>
  <c r="J197" i="39"/>
  <c r="J130" i="39"/>
  <c r="J161" i="39"/>
  <c r="J100" i="39"/>
  <c r="J26" i="39"/>
  <c r="J63" i="39"/>
  <c r="J24" i="39"/>
  <c r="J294" i="39"/>
  <c r="J241" i="39"/>
  <c r="J172" i="39"/>
  <c r="J182" i="39"/>
  <c r="J159" i="39"/>
  <c r="J95" i="39"/>
  <c r="J291" i="39"/>
  <c r="J274" i="39"/>
  <c r="J280" i="39"/>
  <c r="J278" i="39"/>
  <c r="J267" i="39"/>
  <c r="J230" i="39"/>
  <c r="J228" i="39"/>
  <c r="J201" i="39"/>
  <c r="J164" i="39"/>
  <c r="J180" i="39"/>
  <c r="J107" i="39"/>
  <c r="J120" i="39"/>
  <c r="J97" i="39"/>
  <c r="J119" i="39"/>
  <c r="J68" i="39"/>
  <c r="J46" i="39"/>
  <c r="J12" i="39"/>
  <c r="J287" i="39"/>
  <c r="J168" i="39"/>
  <c r="J123" i="39"/>
  <c r="J273" i="39"/>
  <c r="J255" i="39"/>
  <c r="J254" i="39"/>
  <c r="J131" i="39"/>
  <c r="J101" i="39"/>
  <c r="J118" i="39"/>
  <c r="J74" i="39"/>
  <c r="J40" i="39"/>
  <c r="J38" i="39"/>
  <c r="I4" i="39"/>
  <c r="I3" i="39" s="1" a="1"/>
  <c r="I3" i="39" s="1"/>
  <c r="J251" i="39"/>
  <c r="J152" i="39"/>
  <c r="J127" i="39"/>
  <c r="J33" i="39"/>
  <c r="J18" i="39"/>
  <c r="J28" i="39"/>
  <c r="J14" i="39"/>
  <c r="J282" i="39"/>
  <c r="J263" i="39"/>
  <c r="J253" i="39"/>
  <c r="J225" i="39"/>
  <c r="J283" i="39"/>
  <c r="J221" i="39"/>
  <c r="J220" i="39"/>
  <c r="J156" i="39"/>
  <c r="J167" i="39"/>
  <c r="J146" i="39"/>
  <c r="J139" i="39"/>
  <c r="J150" i="39"/>
  <c r="J160" i="39"/>
  <c r="J111" i="39"/>
  <c r="J109" i="39"/>
  <c r="J110" i="39"/>
  <c r="J71" i="39"/>
  <c r="J76" i="39"/>
  <c r="J36" i="39"/>
  <c r="J64" i="39"/>
  <c r="J29" i="39"/>
  <c r="J290" i="39"/>
  <c r="J138" i="39"/>
  <c r="J23" i="39"/>
  <c r="J99" i="39"/>
  <c r="J270" i="39"/>
  <c r="J262" i="39"/>
  <c r="J247" i="39"/>
  <c r="J212" i="39"/>
  <c r="J219" i="39"/>
  <c r="J158" i="39"/>
  <c r="J149" i="39"/>
  <c r="J90" i="39"/>
  <c r="J88" i="39"/>
  <c r="J93" i="39"/>
  <c r="J52" i="39"/>
  <c r="J83" i="39"/>
  <c r="J8" i="39"/>
  <c r="J55" i="38"/>
  <c r="J29" i="38"/>
  <c r="J316" i="38"/>
  <c r="J250" i="38"/>
  <c r="J186" i="38"/>
  <c r="J120" i="38"/>
  <c r="J310" i="38"/>
  <c r="J13" i="38"/>
  <c r="J288" i="38"/>
  <c r="J312" i="38"/>
  <c r="J285" i="38"/>
  <c r="J226" i="38"/>
  <c r="J175" i="38"/>
  <c r="J92" i="38"/>
  <c r="J9" i="38"/>
  <c r="J90" i="38"/>
  <c r="J21" i="38"/>
  <c r="J19" i="38"/>
  <c r="J176" i="38"/>
  <c r="J206" i="38"/>
  <c r="J119" i="38"/>
  <c r="J298" i="38"/>
  <c r="J243" i="38"/>
  <c r="J111" i="38"/>
  <c r="J23" i="38"/>
  <c r="J302" i="38"/>
  <c r="J280" i="38"/>
  <c r="J284" i="38"/>
  <c r="J201" i="38"/>
  <c r="J174" i="38"/>
  <c r="J68" i="38"/>
  <c r="J37" i="38"/>
  <c r="I5" i="38"/>
  <c r="J88" i="38"/>
  <c r="J39" i="38"/>
  <c r="J14" i="38"/>
  <c r="J45" i="38"/>
  <c r="J286" i="38"/>
  <c r="J123" i="38"/>
  <c r="J83" i="38"/>
  <c r="J307" i="38"/>
  <c r="J278" i="38"/>
  <c r="J314" i="38"/>
  <c r="J300" i="38"/>
  <c r="J218" i="38"/>
  <c r="J185" i="38"/>
  <c r="J155" i="38"/>
  <c r="J96" i="38"/>
  <c r="J157" i="38"/>
  <c r="J80" i="38"/>
  <c r="J72" i="38"/>
  <c r="J66" i="38"/>
  <c r="J51" i="38"/>
  <c r="J258" i="38"/>
  <c r="J246" i="38"/>
  <c r="J270" i="38"/>
  <c r="J164" i="38"/>
  <c r="J103" i="38"/>
  <c r="J299" i="38"/>
  <c r="J306" i="38"/>
  <c r="J269" i="38"/>
  <c r="J263" i="38"/>
  <c r="J230" i="38"/>
  <c r="J277" i="38"/>
  <c r="J238" i="38"/>
  <c r="J149" i="38"/>
  <c r="J146" i="38"/>
  <c r="J61" i="38"/>
  <c r="J84" i="38"/>
  <c r="J166" i="38"/>
  <c r="J18" i="38"/>
  <c r="J63" i="38"/>
  <c r="J177" i="38"/>
  <c r="J127" i="38"/>
  <c r="J311" i="38"/>
  <c r="J49" i="38"/>
  <c r="J7" i="38"/>
  <c r="J304" i="38"/>
  <c r="J225" i="38"/>
  <c r="J188" i="38"/>
  <c r="J100" i="38"/>
  <c r="J50" i="38"/>
  <c r="J303" i="38"/>
  <c r="J254" i="38"/>
  <c r="J213" i="38"/>
  <c r="J198" i="38"/>
  <c r="J199" i="38"/>
  <c r="J25" i="38"/>
  <c r="J42" i="38"/>
  <c r="J58" i="38"/>
  <c r="J26" i="38"/>
  <c r="J262" i="38"/>
  <c r="J192" i="38"/>
  <c r="J193" i="38"/>
  <c r="J197" i="38"/>
  <c r="J115" i="38"/>
  <c r="J180" i="38"/>
  <c r="J131" i="38"/>
  <c r="J211" i="38"/>
  <c r="J143" i="38"/>
  <c r="J147" i="38"/>
  <c r="J107" i="38"/>
  <c r="J53" i="38"/>
  <c r="J109" i="38"/>
  <c r="J57" i="38"/>
  <c r="J31" i="38"/>
  <c r="J128" i="38"/>
  <c r="J6" i="38"/>
  <c r="J22" i="38"/>
  <c r="J30" i="38"/>
  <c r="J113" i="38"/>
  <c r="J10" i="38"/>
  <c r="J70" i="38"/>
  <c r="J62" i="38"/>
  <c r="J77" i="38"/>
  <c r="J54" i="38"/>
  <c r="J249" i="38"/>
  <c r="J214" i="38"/>
  <c r="J253" i="38"/>
  <c r="J229" i="38"/>
  <c r="J168" i="38"/>
  <c r="J124" i="38"/>
  <c r="J142" i="38"/>
  <c r="J136" i="38"/>
  <c r="J98" i="38"/>
  <c r="J15" i="38"/>
  <c r="J27" i="38"/>
  <c r="J290" i="38"/>
  <c r="J252" i="38"/>
  <c r="J172" i="38"/>
  <c r="J116" i="38"/>
  <c r="J140" i="38"/>
  <c r="J102" i="38"/>
  <c r="J82" i="38"/>
  <c r="J47" i="38"/>
  <c r="J65" i="38"/>
  <c r="J59" i="38"/>
  <c r="J41" i="38"/>
  <c r="J33" i="38"/>
  <c r="J292" i="38"/>
  <c r="J223" i="38"/>
  <c r="J291" i="38"/>
  <c r="J296" i="38"/>
  <c r="J272" i="38"/>
  <c r="J221" i="38"/>
  <c r="J273" i="38"/>
  <c r="J162" i="38"/>
  <c r="J158" i="38"/>
  <c r="J159" i="38"/>
  <c r="J130" i="38"/>
  <c r="J315" i="38"/>
  <c r="J294" i="38"/>
  <c r="J308" i="38"/>
  <c r="J289" i="38"/>
  <c r="J260" i="38"/>
  <c r="J242" i="38"/>
  <c r="J222" i="38"/>
  <c r="J295" i="38"/>
  <c r="J231" i="38"/>
  <c r="J207" i="38"/>
  <c r="J203" i="38"/>
  <c r="J154" i="38"/>
  <c r="J99" i="38"/>
  <c r="J151" i="38"/>
  <c r="J139" i="38"/>
  <c r="J76" i="38"/>
  <c r="J135" i="38"/>
  <c r="J11" i="38"/>
  <c r="J132" i="38"/>
  <c r="J38" i="38"/>
  <c r="J287" i="38"/>
  <c r="J276" i="38"/>
  <c r="J256" i="38"/>
  <c r="J210" i="38"/>
  <c r="J234" i="38"/>
  <c r="J212" i="38"/>
  <c r="J248" i="38"/>
  <c r="J196" i="38"/>
  <c r="J167" i="38"/>
  <c r="J265" i="38"/>
  <c r="J184" i="38"/>
  <c r="J144" i="38"/>
  <c r="J181" i="38"/>
  <c r="J95" i="38"/>
  <c r="J126" i="38"/>
  <c r="J118" i="38"/>
  <c r="J46" i="38"/>
  <c r="J17" i="38"/>
  <c r="J35" i="38"/>
  <c r="J34" i="38"/>
  <c r="J71" i="38"/>
  <c r="J282" i="38"/>
  <c r="J209" i="38"/>
  <c r="J150" i="38"/>
  <c r="J179" i="38"/>
  <c r="J170" i="38"/>
  <c r="J91" i="38"/>
  <c r="J43" i="38"/>
  <c r="J306" i="37"/>
  <c r="J274" i="37"/>
  <c r="J196" i="37"/>
  <c r="J314" i="37"/>
  <c r="J303" i="37"/>
  <c r="J310" i="37"/>
  <c r="J316" i="37"/>
  <c r="J275" i="37"/>
  <c r="J27" i="37"/>
  <c r="J312" i="37"/>
  <c r="J296" i="37"/>
  <c r="J116" i="37"/>
  <c r="J299" i="37"/>
  <c r="J174" i="37"/>
  <c r="J171" i="37"/>
  <c r="J289" i="37"/>
  <c r="J241" i="37"/>
  <c r="J211" i="37"/>
  <c r="J163" i="37"/>
  <c r="J83" i="37"/>
  <c r="J260" i="37"/>
  <c r="J235" i="37"/>
  <c r="J218" i="37"/>
  <c r="J217" i="37"/>
  <c r="J149" i="37"/>
  <c r="J123" i="37"/>
  <c r="J145" i="37"/>
  <c r="J111" i="37"/>
  <c r="J118" i="37"/>
  <c r="J194" i="37"/>
  <c r="J34" i="37"/>
  <c r="J43" i="37"/>
  <c r="J14" i="37"/>
  <c r="J31" i="37"/>
  <c r="J180" i="37"/>
  <c r="J239" i="37"/>
  <c r="J143" i="37"/>
  <c r="J302" i="37"/>
  <c r="J250" i="37"/>
  <c r="J270" i="37"/>
  <c r="J222" i="37"/>
  <c r="J216" i="37"/>
  <c r="J187" i="37"/>
  <c r="J113" i="37"/>
  <c r="J106" i="37"/>
  <c r="J120" i="37"/>
  <c r="J72" i="37"/>
  <c r="J41" i="37"/>
  <c r="J287" i="37"/>
  <c r="J285" i="37"/>
  <c r="J245" i="37"/>
  <c r="J247" i="37"/>
  <c r="J190" i="37"/>
  <c r="J184" i="37"/>
  <c r="J223" i="37"/>
  <c r="J97" i="37"/>
  <c r="J137" i="37"/>
  <c r="J40" i="37"/>
  <c r="J38" i="37"/>
  <c r="J304" i="37"/>
  <c r="J294" i="37"/>
  <c r="J130" i="37"/>
  <c r="J127" i="37"/>
  <c r="J18" i="37"/>
  <c r="J295" i="37"/>
  <c r="J205" i="37"/>
  <c r="J175" i="37"/>
  <c r="J209" i="37"/>
  <c r="J178" i="37"/>
  <c r="J95" i="37"/>
  <c r="J65" i="37"/>
  <c r="J315" i="37"/>
  <c r="J292" i="37"/>
  <c r="J282" i="37"/>
  <c r="J271" i="37"/>
  <c r="J232" i="37"/>
  <c r="J198" i="37"/>
  <c r="J141" i="37"/>
  <c r="J94" i="37"/>
  <c r="I6" i="37"/>
  <c r="J39" i="37"/>
  <c r="J44" i="37"/>
  <c r="J243" i="37"/>
  <c r="J266" i="37"/>
  <c r="J230" i="37"/>
  <c r="J146" i="37"/>
  <c r="J109" i="37"/>
  <c r="J33" i="37"/>
  <c r="J93" i="37"/>
  <c r="J278" i="37"/>
  <c r="J186" i="37"/>
  <c r="J221" i="37"/>
  <c r="J183" i="37"/>
  <c r="J139" i="37"/>
  <c r="J207" i="37"/>
  <c r="J138" i="37"/>
  <c r="J125" i="37"/>
  <c r="J58" i="37"/>
  <c r="J46" i="37"/>
  <c r="J51" i="37"/>
  <c r="J192" i="37"/>
  <c r="J176" i="37"/>
  <c r="J115" i="37"/>
  <c r="J114" i="37"/>
  <c r="J129" i="37"/>
  <c r="J88" i="37"/>
  <c r="J90" i="37"/>
  <c r="J54" i="37"/>
  <c r="J69" i="37"/>
  <c r="J17" i="37"/>
  <c r="J226" i="37"/>
  <c r="J158" i="37"/>
  <c r="J101" i="37"/>
  <c r="J110" i="37"/>
  <c r="J81" i="37"/>
  <c r="J36" i="37"/>
  <c r="J26" i="37"/>
  <c r="J21" i="37"/>
  <c r="J159" i="37"/>
  <c r="J225" i="37"/>
  <c r="J200" i="37"/>
  <c r="J162" i="37"/>
  <c r="J185" i="37"/>
  <c r="J124" i="37"/>
  <c r="J45" i="37"/>
  <c r="J96" i="37"/>
  <c r="J30" i="37"/>
  <c r="J78" i="37"/>
  <c r="J231" i="36"/>
  <c r="J163" i="36"/>
  <c r="J96" i="36"/>
  <c r="J97" i="36"/>
  <c r="J45" i="36"/>
  <c r="J54" i="36"/>
  <c r="J74" i="36"/>
  <c r="J316" i="36"/>
  <c r="J183" i="36"/>
  <c r="J225" i="36"/>
  <c r="J164" i="36"/>
  <c r="J146" i="36"/>
  <c r="J126" i="36"/>
  <c r="J92" i="36"/>
  <c r="J114" i="36"/>
  <c r="J31" i="36"/>
  <c r="J41" i="36"/>
  <c r="J312" i="36"/>
  <c r="J264" i="36"/>
  <c r="J179" i="36"/>
  <c r="J208" i="36"/>
  <c r="J144" i="36"/>
  <c r="J125" i="36"/>
  <c r="J129" i="36"/>
  <c r="J76" i="36"/>
  <c r="J308" i="36"/>
  <c r="J293" i="36"/>
  <c r="J220" i="36"/>
  <c r="J149" i="36"/>
  <c r="J165" i="36"/>
  <c r="J78" i="36"/>
  <c r="J85" i="36"/>
  <c r="J160" i="36"/>
  <c r="J61" i="36"/>
  <c r="J286" i="36"/>
  <c r="J247" i="36"/>
  <c r="J243" i="36"/>
  <c r="J191" i="36"/>
  <c r="J171" i="36"/>
  <c r="J192" i="36"/>
  <c r="J142" i="36"/>
  <c r="J60" i="36"/>
  <c r="J66" i="36"/>
  <c r="J68" i="36"/>
  <c r="J107" i="36"/>
  <c r="J20" i="36"/>
  <c r="J257" i="36"/>
  <c r="J281" i="36"/>
  <c r="J117" i="36"/>
  <c r="J56" i="36"/>
  <c r="J16" i="36"/>
  <c r="J37" i="36"/>
  <c r="J313" i="36"/>
  <c r="J301" i="36"/>
  <c r="J248" i="36"/>
  <c r="J162" i="36"/>
  <c r="J173" i="36"/>
  <c r="J196" i="36"/>
  <c r="J153" i="36"/>
  <c r="J52" i="36"/>
  <c r="J101" i="36"/>
  <c r="J12" i="36"/>
  <c r="J213" i="36"/>
  <c r="J274" i="36"/>
  <c r="J290" i="36"/>
  <c r="J275" i="36"/>
  <c r="J277" i="36"/>
  <c r="J239" i="36"/>
  <c r="J244" i="36"/>
  <c r="J227" i="36"/>
  <c r="J180" i="36"/>
  <c r="J135" i="36"/>
  <c r="J128" i="36"/>
  <c r="J48" i="36"/>
  <c r="J49" i="36"/>
  <c r="J288" i="36"/>
  <c r="J267" i="36"/>
  <c r="J251" i="36"/>
  <c r="J108" i="36"/>
  <c r="J112" i="36"/>
  <c r="J65" i="36"/>
  <c r="J307" i="36"/>
  <c r="J202" i="36"/>
  <c r="J152" i="36"/>
  <c r="J140" i="36"/>
  <c r="J87" i="36"/>
  <c r="J46" i="36"/>
  <c r="J33" i="36"/>
  <c r="J19" i="36"/>
  <c r="I4" i="36"/>
  <c r="I3" i="36" s="1" a="1"/>
  <c r="I3" i="36" s="1"/>
  <c r="J178" i="36"/>
  <c r="J161" i="36"/>
  <c r="J122" i="36"/>
  <c r="J28" i="36"/>
  <c r="J8" i="36"/>
  <c r="J40" i="36"/>
  <c r="J304" i="36"/>
  <c r="J283" i="36"/>
  <c r="J273" i="36"/>
  <c r="J266" i="36"/>
  <c r="J234" i="36"/>
  <c r="J215" i="36"/>
  <c r="J200" i="36"/>
  <c r="J206" i="36"/>
  <c r="J204" i="36"/>
  <c r="J211" i="36"/>
  <c r="J156" i="36"/>
  <c r="J157" i="36"/>
  <c r="J139" i="36"/>
  <c r="J98" i="36"/>
  <c r="J53" i="36"/>
  <c r="J24" i="36"/>
  <c r="J285" i="36"/>
  <c r="J253" i="36"/>
  <c r="J235" i="36"/>
  <c r="J167" i="36"/>
  <c r="J175" i="36"/>
  <c r="J187" i="36"/>
  <c r="J137" i="36"/>
  <c r="J151" i="36"/>
  <c r="J130" i="36"/>
  <c r="J150" i="36"/>
  <c r="J132" i="36"/>
  <c r="J100" i="36"/>
  <c r="J88" i="36"/>
  <c r="J32" i="36"/>
  <c r="J50" i="36"/>
  <c r="J36" i="36"/>
  <c r="J39" i="36"/>
  <c r="J305" i="36"/>
  <c r="J280" i="36"/>
  <c r="J276" i="36"/>
  <c r="J242" i="36"/>
  <c r="J207" i="36"/>
  <c r="J212" i="36"/>
  <c r="J104" i="36"/>
  <c r="J268" i="36"/>
  <c r="J121" i="36"/>
  <c r="J80" i="36"/>
  <c r="J57" i="36"/>
  <c r="J291" i="36"/>
  <c r="J226" i="36"/>
  <c r="J219" i="36"/>
  <c r="J218" i="36"/>
  <c r="J145" i="36"/>
  <c r="J190" i="36"/>
  <c r="J124" i="36"/>
  <c r="J127" i="36"/>
  <c r="J94" i="36"/>
  <c r="J82" i="36"/>
  <c r="J133" i="36"/>
  <c r="J86" i="36"/>
  <c r="J38" i="36"/>
  <c r="J279" i="36"/>
  <c r="J289" i="36"/>
  <c r="J217" i="36"/>
  <c r="J62" i="36"/>
  <c r="J270" i="36"/>
  <c r="J195" i="36"/>
  <c r="J184" i="36"/>
  <c r="J199" i="36"/>
  <c r="J224" i="36"/>
  <c r="J120" i="36"/>
  <c r="J123" i="36"/>
  <c r="J131" i="36"/>
  <c r="J72" i="36"/>
  <c r="J93" i="36"/>
  <c r="J296" i="36"/>
  <c r="J292" i="36"/>
  <c r="J113" i="36"/>
  <c r="J102" i="36"/>
  <c r="J105" i="36"/>
  <c r="J63" i="36"/>
  <c r="J110" i="36"/>
  <c r="J58" i="36"/>
  <c r="J30" i="36"/>
  <c r="J272" i="36"/>
  <c r="J309" i="36"/>
  <c r="J284" i="36"/>
  <c r="J261" i="36"/>
  <c r="J223" i="36"/>
  <c r="J166" i="36"/>
  <c r="J297" i="36"/>
  <c r="J271" i="36"/>
  <c r="J255" i="36"/>
  <c r="J252" i="36"/>
  <c r="J188" i="36"/>
  <c r="J176" i="36"/>
  <c r="J141" i="36"/>
  <c r="J172" i="36"/>
  <c r="J143" i="36"/>
  <c r="J134" i="36"/>
  <c r="J84" i="36"/>
  <c r="J116" i="36"/>
  <c r="J91" i="36"/>
  <c r="J119" i="36"/>
  <c r="J103" i="36"/>
  <c r="J81" i="36"/>
  <c r="J29" i="36"/>
  <c r="J95" i="36"/>
  <c r="J70" i="36"/>
  <c r="J44" i="36"/>
  <c r="J4" i="37" l="1"/>
  <c r="I3" i="37" a="1"/>
  <c r="I3" i="37" s="1"/>
  <c r="J4" i="38"/>
  <c r="I3" i="38" a="1"/>
  <c r="I3" i="38" s="1"/>
  <c r="J4" i="39"/>
  <c r="J3" i="39" s="1" a="1"/>
  <c r="J3" i="39" s="1"/>
  <c r="J5" i="38"/>
  <c r="J6" i="37"/>
  <c r="J4" i="36"/>
  <c r="J3" i="36" s="1" a="1"/>
  <c r="J3" i="36" s="1"/>
  <c r="K317" i="36" l="1"/>
  <c r="L317" i="36" s="1"/>
  <c r="M317" i="36" s="1"/>
  <c r="N317" i="36" s="1"/>
  <c r="K318" i="36"/>
  <c r="L318" i="36" s="1"/>
  <c r="M318" i="36" s="1"/>
  <c r="N318" i="36" s="1"/>
  <c r="K317" i="39"/>
  <c r="L317" i="39" s="1"/>
  <c r="M317" i="39" s="1"/>
  <c r="N317" i="39" s="1"/>
  <c r="K318" i="39"/>
  <c r="L318" i="39" s="1"/>
  <c r="M318" i="39" s="1"/>
  <c r="N318" i="39" s="1"/>
  <c r="J3" i="38" a="1"/>
  <c r="J3" i="38" s="1"/>
  <c r="K271" i="38" s="1"/>
  <c r="L271" i="38" s="1"/>
  <c r="M271" i="38" s="1"/>
  <c r="J3" i="37" a="1"/>
  <c r="J3" i="37" s="1"/>
  <c r="K7" i="38" l="1"/>
  <c r="L7" i="38" s="1"/>
  <c r="M7" i="38" s="1"/>
  <c r="N7" i="38" s="1"/>
  <c r="K205" i="38"/>
  <c r="L205" i="38" s="1"/>
  <c r="M205" i="38" s="1"/>
  <c r="N205" i="38" s="1"/>
  <c r="K50" i="38"/>
  <c r="L50" i="38" s="1"/>
  <c r="M50" i="38" s="1"/>
  <c r="N50" i="38" s="1"/>
  <c r="K46" i="38"/>
  <c r="L46" i="38" s="1"/>
  <c r="M46" i="38" s="1"/>
  <c r="N46" i="38" s="1"/>
  <c r="K187" i="38"/>
  <c r="L187" i="38" s="1"/>
  <c r="M187" i="38" s="1"/>
  <c r="N187" i="38" s="1"/>
  <c r="K11" i="38"/>
  <c r="L11" i="38" s="1"/>
  <c r="M11" i="38" s="1"/>
  <c r="N11" i="38" s="1"/>
  <c r="K188" i="38"/>
  <c r="L188" i="38" s="1"/>
  <c r="M188" i="38" s="1"/>
  <c r="N188" i="38" s="1"/>
  <c r="K303" i="38"/>
  <c r="L303" i="38" s="1"/>
  <c r="M303" i="38" s="1"/>
  <c r="N303" i="38" s="1"/>
  <c r="K277" i="38"/>
  <c r="L277" i="38" s="1"/>
  <c r="M277" i="38" s="1"/>
  <c r="N277" i="38" s="1"/>
  <c r="K229" i="38"/>
  <c r="L229" i="38" s="1"/>
  <c r="M229" i="38" s="1"/>
  <c r="N229" i="38" s="1"/>
  <c r="K286" i="38"/>
  <c r="L286" i="38" s="1"/>
  <c r="M286" i="38" s="1"/>
  <c r="N286" i="38" s="1"/>
  <c r="K256" i="38"/>
  <c r="L256" i="38" s="1"/>
  <c r="M256" i="38" s="1"/>
  <c r="N256" i="38" s="1"/>
  <c r="K22" i="38"/>
  <c r="L22" i="38" s="1"/>
  <c r="M22" i="38" s="1"/>
  <c r="N22" i="38" s="1"/>
  <c r="K294" i="38"/>
  <c r="L294" i="38" s="1"/>
  <c r="M294" i="38" s="1"/>
  <c r="N294" i="38" s="1"/>
  <c r="K9" i="38"/>
  <c r="L9" i="38" s="1"/>
  <c r="M9" i="38" s="1"/>
  <c r="N9" i="38" s="1"/>
  <c r="K165" i="38"/>
  <c r="L165" i="38" s="1"/>
  <c r="M165" i="38" s="1"/>
  <c r="N165" i="38" s="1"/>
  <c r="K16" i="38"/>
  <c r="L16" i="38" s="1"/>
  <c r="M16" i="38" s="1"/>
  <c r="N16" i="38" s="1"/>
  <c r="K108" i="38"/>
  <c r="L108" i="38" s="1"/>
  <c r="M108" i="38" s="1"/>
  <c r="N108" i="38" s="1"/>
  <c r="K32" i="38"/>
  <c r="L32" i="38" s="1"/>
  <c r="M32" i="38" s="1"/>
  <c r="N32" i="38" s="1"/>
  <c r="K283" i="38"/>
  <c r="L283" i="38" s="1"/>
  <c r="M283" i="38" s="1"/>
  <c r="N283" i="38" s="1"/>
  <c r="K274" i="38"/>
  <c r="L274" i="38" s="1"/>
  <c r="M274" i="38" s="1"/>
  <c r="N274" i="38" s="1"/>
  <c r="K178" i="38"/>
  <c r="L178" i="38" s="1"/>
  <c r="M178" i="38" s="1"/>
  <c r="N178" i="38" s="1"/>
  <c r="K194" i="38"/>
  <c r="L194" i="38" s="1"/>
  <c r="M194" i="38" s="1"/>
  <c r="N194" i="38" s="1"/>
  <c r="K297" i="38"/>
  <c r="L297" i="38" s="1"/>
  <c r="M297" i="38" s="1"/>
  <c r="N297" i="38" s="1"/>
  <c r="K156" i="38"/>
  <c r="L156" i="38" s="1"/>
  <c r="M156" i="38" s="1"/>
  <c r="N156" i="38" s="1"/>
  <c r="K298" i="38"/>
  <c r="L298" i="38" s="1"/>
  <c r="M298" i="38" s="1"/>
  <c r="N298" i="38" s="1"/>
  <c r="K203" i="38"/>
  <c r="L203" i="38" s="1"/>
  <c r="M203" i="38" s="1"/>
  <c r="N203" i="38" s="1"/>
  <c r="K170" i="38"/>
  <c r="L170" i="38" s="1"/>
  <c r="M170" i="38" s="1"/>
  <c r="N170" i="38" s="1"/>
  <c r="K17" i="38"/>
  <c r="L17" i="38" s="1"/>
  <c r="M17" i="38" s="1"/>
  <c r="N17" i="38" s="1"/>
  <c r="K36" i="38"/>
  <c r="L36" i="38" s="1"/>
  <c r="M36" i="38" s="1"/>
  <c r="N36" i="38" s="1"/>
  <c r="K197" i="38"/>
  <c r="L197" i="38" s="1"/>
  <c r="M197" i="38" s="1"/>
  <c r="N197" i="38" s="1"/>
  <c r="K83" i="38"/>
  <c r="L83" i="38" s="1"/>
  <c r="M83" i="38" s="1"/>
  <c r="N83" i="38" s="1"/>
  <c r="K164" i="38"/>
  <c r="L164" i="38" s="1"/>
  <c r="M164" i="38" s="1"/>
  <c r="N164" i="38" s="1"/>
  <c r="K248" i="38"/>
  <c r="L248" i="38" s="1"/>
  <c r="M248" i="38" s="1"/>
  <c r="N248" i="38" s="1"/>
  <c r="K167" i="38"/>
  <c r="L167" i="38" s="1"/>
  <c r="M167" i="38" s="1"/>
  <c r="N167" i="38" s="1"/>
  <c r="K253" i="38"/>
  <c r="L253" i="38" s="1"/>
  <c r="M253" i="38" s="1"/>
  <c r="N253" i="38" s="1"/>
  <c r="K213" i="38"/>
  <c r="L213" i="38" s="1"/>
  <c r="M213" i="38" s="1"/>
  <c r="N213" i="38" s="1"/>
  <c r="K149" i="38"/>
  <c r="L149" i="38" s="1"/>
  <c r="M149" i="38" s="1"/>
  <c r="N149" i="38" s="1"/>
  <c r="K257" i="38"/>
  <c r="L257" i="38" s="1"/>
  <c r="M257" i="38" s="1"/>
  <c r="N257" i="38" s="1"/>
  <c r="K313" i="38"/>
  <c r="L313" i="38" s="1"/>
  <c r="M313" i="38" s="1"/>
  <c r="N313" i="38" s="1"/>
  <c r="K281" i="38"/>
  <c r="L281" i="38" s="1"/>
  <c r="M281" i="38" s="1"/>
  <c r="N281" i="38" s="1"/>
  <c r="K289" i="38"/>
  <c r="L289" i="38" s="1"/>
  <c r="M289" i="38" s="1"/>
  <c r="N289" i="38" s="1"/>
  <c r="K88" i="38"/>
  <c r="L88" i="38" s="1"/>
  <c r="M88" i="38" s="1"/>
  <c r="N88" i="38" s="1"/>
  <c r="K310" i="38"/>
  <c r="L310" i="38" s="1"/>
  <c r="M310" i="38" s="1"/>
  <c r="N310" i="38" s="1"/>
  <c r="K142" i="38"/>
  <c r="L142" i="38" s="1"/>
  <c r="M142" i="38" s="1"/>
  <c r="N142" i="38" s="1"/>
  <c r="K103" i="38"/>
  <c r="L103" i="38" s="1"/>
  <c r="M103" i="38" s="1"/>
  <c r="N103" i="38" s="1"/>
  <c r="K154" i="38"/>
  <c r="L154" i="38" s="1"/>
  <c r="M154" i="38" s="1"/>
  <c r="N154" i="38" s="1"/>
  <c r="K51" i="38"/>
  <c r="L51" i="38" s="1"/>
  <c r="M51" i="38" s="1"/>
  <c r="N51" i="38" s="1"/>
  <c r="K146" i="38"/>
  <c r="L146" i="38" s="1"/>
  <c r="M146" i="38" s="1"/>
  <c r="N146" i="38" s="1"/>
  <c r="K53" i="38"/>
  <c r="L53" i="38" s="1"/>
  <c r="M53" i="38" s="1"/>
  <c r="N53" i="38" s="1"/>
  <c r="K63" i="38"/>
  <c r="L63" i="38" s="1"/>
  <c r="M63" i="38" s="1"/>
  <c r="N63" i="38" s="1"/>
  <c r="K128" i="38"/>
  <c r="L128" i="38" s="1"/>
  <c r="M128" i="38" s="1"/>
  <c r="N128" i="38" s="1"/>
  <c r="K30" i="38"/>
  <c r="L30" i="38" s="1"/>
  <c r="M30" i="38" s="1"/>
  <c r="N30" i="38" s="1"/>
  <c r="K107" i="38"/>
  <c r="L107" i="38" s="1"/>
  <c r="M107" i="38" s="1"/>
  <c r="N107" i="38" s="1"/>
  <c r="K115" i="38"/>
  <c r="L115" i="38" s="1"/>
  <c r="M115" i="38" s="1"/>
  <c r="N115" i="38" s="1"/>
  <c r="K198" i="38"/>
  <c r="L198" i="38" s="1"/>
  <c r="M198" i="38" s="1"/>
  <c r="N198" i="38" s="1"/>
  <c r="K312" i="38"/>
  <c r="L312" i="38" s="1"/>
  <c r="M312" i="38" s="1"/>
  <c r="N312" i="38" s="1"/>
  <c r="K308" i="38"/>
  <c r="L308" i="38" s="1"/>
  <c r="M308" i="38" s="1"/>
  <c r="N308" i="38" s="1"/>
  <c r="K29" i="38"/>
  <c r="L29" i="38" s="1"/>
  <c r="M29" i="38" s="1"/>
  <c r="N29" i="38" s="1"/>
  <c r="K180" i="38"/>
  <c r="L180" i="38" s="1"/>
  <c r="M180" i="38" s="1"/>
  <c r="N180" i="38" s="1"/>
  <c r="K169" i="38"/>
  <c r="L169" i="38" s="1"/>
  <c r="M169" i="38" s="1"/>
  <c r="N169" i="38" s="1"/>
  <c r="K190" i="38"/>
  <c r="L190" i="38" s="1"/>
  <c r="M190" i="38" s="1"/>
  <c r="N190" i="38" s="1"/>
  <c r="K56" i="38"/>
  <c r="L56" i="38" s="1"/>
  <c r="M56" i="38" s="1"/>
  <c r="N56" i="38" s="1"/>
  <c r="K79" i="38"/>
  <c r="L79" i="38" s="1"/>
  <c r="M79" i="38" s="1"/>
  <c r="N79" i="38" s="1"/>
  <c r="K73" i="38"/>
  <c r="L73" i="38" s="1"/>
  <c r="M73" i="38" s="1"/>
  <c r="N73" i="38" s="1"/>
  <c r="K183" i="38"/>
  <c r="L183" i="38" s="1"/>
  <c r="M183" i="38" s="1"/>
  <c r="N183" i="38" s="1"/>
  <c r="K85" i="38"/>
  <c r="L85" i="38" s="1"/>
  <c r="M85" i="38" s="1"/>
  <c r="N85" i="38" s="1"/>
  <c r="K237" i="38"/>
  <c r="L237" i="38" s="1"/>
  <c r="M237" i="38" s="1"/>
  <c r="N237" i="38" s="1"/>
  <c r="K245" i="38"/>
  <c r="L245" i="38" s="1"/>
  <c r="M245" i="38" s="1"/>
  <c r="N245" i="38" s="1"/>
  <c r="K132" i="38"/>
  <c r="L132" i="38" s="1"/>
  <c r="M132" i="38" s="1"/>
  <c r="N132" i="38" s="1"/>
  <c r="K109" i="38"/>
  <c r="L109" i="38" s="1"/>
  <c r="M109" i="38" s="1"/>
  <c r="N109" i="38" s="1"/>
  <c r="K251" i="38"/>
  <c r="L251" i="38" s="1"/>
  <c r="M251" i="38" s="1"/>
  <c r="N251" i="38" s="1"/>
  <c r="K299" i="38"/>
  <c r="L299" i="38" s="1"/>
  <c r="M299" i="38" s="1"/>
  <c r="N299" i="38" s="1"/>
  <c r="K166" i="38"/>
  <c r="L166" i="38" s="1"/>
  <c r="M166" i="38" s="1"/>
  <c r="N166" i="38" s="1"/>
  <c r="K124" i="38"/>
  <c r="L124" i="38" s="1"/>
  <c r="M124" i="38" s="1"/>
  <c r="N124" i="38" s="1"/>
  <c r="K68" i="38"/>
  <c r="L68" i="38" s="1"/>
  <c r="M68" i="38" s="1"/>
  <c r="N68" i="38" s="1"/>
  <c r="K258" i="38"/>
  <c r="L258" i="38" s="1"/>
  <c r="M258" i="38" s="1"/>
  <c r="N258" i="38" s="1"/>
  <c r="K241" i="38"/>
  <c r="L241" i="38" s="1"/>
  <c r="M241" i="38" s="1"/>
  <c r="N241" i="38" s="1"/>
  <c r="K145" i="38"/>
  <c r="L145" i="38" s="1"/>
  <c r="M145" i="38" s="1"/>
  <c r="N145" i="38" s="1"/>
  <c r="K226" i="38"/>
  <c r="L226" i="38" s="1"/>
  <c r="M226" i="38" s="1"/>
  <c r="N226" i="38" s="1"/>
  <c r="K72" i="38"/>
  <c r="L72" i="38" s="1"/>
  <c r="M72" i="38" s="1"/>
  <c r="N72" i="38" s="1"/>
  <c r="K223" i="38"/>
  <c r="L223" i="38" s="1"/>
  <c r="M223" i="38" s="1"/>
  <c r="N223" i="38" s="1"/>
  <c r="K47" i="38"/>
  <c r="L47" i="38" s="1"/>
  <c r="M47" i="38" s="1"/>
  <c r="N47" i="38" s="1"/>
  <c r="K269" i="38"/>
  <c r="L269" i="38" s="1"/>
  <c r="M269" i="38" s="1"/>
  <c r="N269" i="38" s="1"/>
  <c r="K295" i="38"/>
  <c r="L295" i="38" s="1"/>
  <c r="M295" i="38" s="1"/>
  <c r="N295" i="38" s="1"/>
  <c r="K175" i="38"/>
  <c r="L175" i="38" s="1"/>
  <c r="M175" i="38" s="1"/>
  <c r="N175" i="38" s="1"/>
  <c r="K82" i="38"/>
  <c r="L82" i="38" s="1"/>
  <c r="M82" i="38" s="1"/>
  <c r="N82" i="38" s="1"/>
  <c r="K144" i="38"/>
  <c r="L144" i="38" s="1"/>
  <c r="M144" i="38" s="1"/>
  <c r="N144" i="38" s="1"/>
  <c r="K242" i="38"/>
  <c r="L242" i="38" s="1"/>
  <c r="M242" i="38" s="1"/>
  <c r="N242" i="38" s="1"/>
  <c r="K139" i="38"/>
  <c r="L139" i="38" s="1"/>
  <c r="M139" i="38" s="1"/>
  <c r="N139" i="38" s="1"/>
  <c r="K111" i="38"/>
  <c r="L111" i="38" s="1"/>
  <c r="M111" i="38" s="1"/>
  <c r="N111" i="38" s="1"/>
  <c r="K31" i="38"/>
  <c r="L31" i="38" s="1"/>
  <c r="M31" i="38" s="1"/>
  <c r="N31" i="38" s="1"/>
  <c r="K263" i="38"/>
  <c r="L263" i="38" s="1"/>
  <c r="M263" i="38" s="1"/>
  <c r="N263" i="38" s="1"/>
  <c r="K249" i="38"/>
  <c r="L249" i="38" s="1"/>
  <c r="M249" i="38" s="1"/>
  <c r="N249" i="38" s="1"/>
  <c r="K285" i="38"/>
  <c r="L285" i="38" s="1"/>
  <c r="M285" i="38" s="1"/>
  <c r="N285" i="38" s="1"/>
  <c r="K89" i="38"/>
  <c r="L89" i="38" s="1"/>
  <c r="M89" i="38" s="1"/>
  <c r="N89" i="38" s="1"/>
  <c r="K163" i="38"/>
  <c r="L163" i="38" s="1"/>
  <c r="M163" i="38" s="1"/>
  <c r="N163" i="38" s="1"/>
  <c r="K227" i="38"/>
  <c r="L227" i="38" s="1"/>
  <c r="M227" i="38" s="1"/>
  <c r="N227" i="38" s="1"/>
  <c r="K239" i="38"/>
  <c r="L239" i="38" s="1"/>
  <c r="M239" i="38" s="1"/>
  <c r="N239" i="38" s="1"/>
  <c r="K240" i="38"/>
  <c r="L240" i="38" s="1"/>
  <c r="M240" i="38" s="1"/>
  <c r="N240" i="38" s="1"/>
  <c r="K200" i="38"/>
  <c r="L200" i="38" s="1"/>
  <c r="M200" i="38" s="1"/>
  <c r="N200" i="38" s="1"/>
  <c r="K104" i="38"/>
  <c r="L104" i="38" s="1"/>
  <c r="M104" i="38" s="1"/>
  <c r="N104" i="38" s="1"/>
  <c r="K305" i="38"/>
  <c r="L305" i="38" s="1"/>
  <c r="M305" i="38" s="1"/>
  <c r="N305" i="38" s="1"/>
  <c r="K202" i="38"/>
  <c r="L202" i="38" s="1"/>
  <c r="M202" i="38" s="1"/>
  <c r="N202" i="38" s="1"/>
  <c r="K208" i="38"/>
  <c r="L208" i="38" s="1"/>
  <c r="M208" i="38" s="1"/>
  <c r="N208" i="38" s="1"/>
  <c r="K92" i="38"/>
  <c r="L92" i="38" s="1"/>
  <c r="M92" i="38" s="1"/>
  <c r="N92" i="38" s="1"/>
  <c r="K162" i="38"/>
  <c r="L162" i="38" s="1"/>
  <c r="M162" i="38" s="1"/>
  <c r="N162" i="38" s="1"/>
  <c r="K171" i="38"/>
  <c r="L171" i="38" s="1"/>
  <c r="M171" i="38" s="1"/>
  <c r="N171" i="38" s="1"/>
  <c r="K292" i="38"/>
  <c r="L292" i="38" s="1"/>
  <c r="M292" i="38" s="1"/>
  <c r="N292" i="38" s="1"/>
  <c r="K10" i="38"/>
  <c r="L10" i="38" s="1"/>
  <c r="M10" i="38" s="1"/>
  <c r="N10" i="38" s="1"/>
  <c r="K55" i="38"/>
  <c r="L55" i="38" s="1"/>
  <c r="M55" i="38" s="1"/>
  <c r="N55" i="38" s="1"/>
  <c r="K62" i="38"/>
  <c r="L62" i="38" s="1"/>
  <c r="M62" i="38" s="1"/>
  <c r="N62" i="38" s="1"/>
  <c r="K96" i="38"/>
  <c r="L96" i="38" s="1"/>
  <c r="M96" i="38" s="1"/>
  <c r="N96" i="38" s="1"/>
  <c r="K250" i="38"/>
  <c r="L250" i="38" s="1"/>
  <c r="M250" i="38" s="1"/>
  <c r="N250" i="38" s="1"/>
  <c r="K44" i="38"/>
  <c r="L44" i="38" s="1"/>
  <c r="M44" i="38" s="1"/>
  <c r="N44" i="38" s="1"/>
  <c r="K279" i="38"/>
  <c r="L279" i="38" s="1"/>
  <c r="M279" i="38" s="1"/>
  <c r="N279" i="38" s="1"/>
  <c r="K261" i="38"/>
  <c r="L261" i="38" s="1"/>
  <c r="M261" i="38" s="1"/>
  <c r="N261" i="38" s="1"/>
  <c r="K6" i="38"/>
  <c r="L6" i="38" s="1"/>
  <c r="M6" i="38" s="1"/>
  <c r="N6" i="38" s="1"/>
  <c r="K127" i="38"/>
  <c r="L127" i="38" s="1"/>
  <c r="M127" i="38" s="1"/>
  <c r="N127" i="38" s="1"/>
  <c r="K57" i="38"/>
  <c r="L57" i="38" s="1"/>
  <c r="M57" i="38" s="1"/>
  <c r="N57" i="38" s="1"/>
  <c r="K5" i="38"/>
  <c r="L5" i="38" s="1"/>
  <c r="M5" i="38" s="1"/>
  <c r="N5" i="38" s="1"/>
  <c r="K21" i="38"/>
  <c r="L21" i="38" s="1"/>
  <c r="M21" i="38" s="1"/>
  <c r="N21" i="38" s="1"/>
  <c r="K276" i="38"/>
  <c r="L276" i="38" s="1"/>
  <c r="M276" i="38" s="1"/>
  <c r="N276" i="38" s="1"/>
  <c r="K84" i="38"/>
  <c r="L84" i="38" s="1"/>
  <c r="M84" i="38" s="1"/>
  <c r="N84" i="38" s="1"/>
  <c r="K135" i="38"/>
  <c r="L135" i="38" s="1"/>
  <c r="M135" i="38" s="1"/>
  <c r="N135" i="38" s="1"/>
  <c r="K311" i="38"/>
  <c r="L311" i="38" s="1"/>
  <c r="M311" i="38" s="1"/>
  <c r="N311" i="38" s="1"/>
  <c r="K262" i="38"/>
  <c r="L262" i="38" s="1"/>
  <c r="M262" i="38" s="1"/>
  <c r="N262" i="38" s="1"/>
  <c r="K218" i="38"/>
  <c r="L218" i="38" s="1"/>
  <c r="M218" i="38" s="1"/>
  <c r="N218" i="38" s="1"/>
  <c r="K54" i="38"/>
  <c r="L54" i="38" s="1"/>
  <c r="M54" i="38" s="1"/>
  <c r="N54" i="38" s="1"/>
  <c r="K151" i="38"/>
  <c r="L151" i="38" s="1"/>
  <c r="M151" i="38" s="1"/>
  <c r="N151" i="38" s="1"/>
  <c r="K34" i="38"/>
  <c r="L34" i="38" s="1"/>
  <c r="M34" i="38" s="1"/>
  <c r="N34" i="38" s="1"/>
  <c r="K65" i="38"/>
  <c r="L65" i="38" s="1"/>
  <c r="M65" i="38" s="1"/>
  <c r="N65" i="38" s="1"/>
  <c r="K225" i="38"/>
  <c r="L225" i="38" s="1"/>
  <c r="M225" i="38" s="1"/>
  <c r="N225" i="38" s="1"/>
  <c r="K316" i="38"/>
  <c r="L316" i="38" s="1"/>
  <c r="M316" i="38" s="1"/>
  <c r="N316" i="38" s="1"/>
  <c r="K158" i="38"/>
  <c r="L158" i="38" s="1"/>
  <c r="M158" i="38" s="1"/>
  <c r="N158" i="38" s="1"/>
  <c r="K80" i="38"/>
  <c r="L80" i="38" s="1"/>
  <c r="M80" i="38" s="1"/>
  <c r="N80" i="38" s="1"/>
  <c r="K304" i="38"/>
  <c r="L304" i="38" s="1"/>
  <c r="M304" i="38" s="1"/>
  <c r="N304" i="38" s="1"/>
  <c r="K301" i="38"/>
  <c r="L301" i="38" s="1"/>
  <c r="M301" i="38" s="1"/>
  <c r="N301" i="38" s="1"/>
  <c r="K148" i="38"/>
  <c r="L148" i="38" s="1"/>
  <c r="M148" i="38" s="1"/>
  <c r="N148" i="38" s="1"/>
  <c r="K134" i="38"/>
  <c r="L134" i="38" s="1"/>
  <c r="M134" i="38" s="1"/>
  <c r="N134" i="38" s="1"/>
  <c r="K220" i="38"/>
  <c r="L220" i="38" s="1"/>
  <c r="M220" i="38" s="1"/>
  <c r="N220" i="38" s="1"/>
  <c r="K266" i="38"/>
  <c r="L266" i="38" s="1"/>
  <c r="M266" i="38" s="1"/>
  <c r="N266" i="38" s="1"/>
  <c r="K93" i="38"/>
  <c r="L93" i="38" s="1"/>
  <c r="M93" i="38" s="1"/>
  <c r="N93" i="38" s="1"/>
  <c r="K28" i="38"/>
  <c r="L28" i="38" s="1"/>
  <c r="M28" i="38" s="1"/>
  <c r="N28" i="38" s="1"/>
  <c r="K255" i="38"/>
  <c r="L255" i="38" s="1"/>
  <c r="M255" i="38" s="1"/>
  <c r="N255" i="38" s="1"/>
  <c r="K160" i="38"/>
  <c r="L160" i="38" s="1"/>
  <c r="M160" i="38" s="1"/>
  <c r="N160" i="38" s="1"/>
  <c r="K233" i="38"/>
  <c r="L233" i="38" s="1"/>
  <c r="M233" i="38" s="1"/>
  <c r="N233" i="38" s="1"/>
  <c r="K234" i="38"/>
  <c r="L234" i="38" s="1"/>
  <c r="M234" i="38" s="1"/>
  <c r="N234" i="38" s="1"/>
  <c r="K293" i="38"/>
  <c r="L293" i="38" s="1"/>
  <c r="M293" i="38" s="1"/>
  <c r="N293" i="38" s="1"/>
  <c r="K192" i="38"/>
  <c r="L192" i="38" s="1"/>
  <c r="M192" i="38" s="1"/>
  <c r="N192" i="38" s="1"/>
  <c r="K185" i="38"/>
  <c r="L185" i="38" s="1"/>
  <c r="M185" i="38" s="1"/>
  <c r="N185" i="38" s="1"/>
  <c r="K177" i="38"/>
  <c r="L177" i="38" s="1"/>
  <c r="M177" i="38" s="1"/>
  <c r="N177" i="38" s="1"/>
  <c r="K153" i="38"/>
  <c r="L153" i="38" s="1"/>
  <c r="M153" i="38" s="1"/>
  <c r="N153" i="38" s="1"/>
  <c r="K120" i="38"/>
  <c r="L120" i="38" s="1"/>
  <c r="M120" i="38" s="1"/>
  <c r="N120" i="38" s="1"/>
  <c r="K314" i="38"/>
  <c r="L314" i="38" s="1"/>
  <c r="M314" i="38" s="1"/>
  <c r="N314" i="38" s="1"/>
  <c r="K4" i="38"/>
  <c r="L4" i="38" s="1"/>
  <c r="K302" i="38"/>
  <c r="L302" i="38" s="1"/>
  <c r="M302" i="38" s="1"/>
  <c r="N302" i="38" s="1"/>
  <c r="K119" i="38"/>
  <c r="L119" i="38" s="1"/>
  <c r="M119" i="38" s="1"/>
  <c r="N119" i="38" s="1"/>
  <c r="K209" i="38"/>
  <c r="L209" i="38" s="1"/>
  <c r="M209" i="38" s="1"/>
  <c r="N209" i="38" s="1"/>
  <c r="K61" i="38"/>
  <c r="L61" i="38" s="1"/>
  <c r="M61" i="38" s="1"/>
  <c r="N61" i="38" s="1"/>
  <c r="K26" i="38"/>
  <c r="L26" i="38" s="1"/>
  <c r="M26" i="38" s="1"/>
  <c r="N26" i="38" s="1"/>
  <c r="K179" i="38"/>
  <c r="L179" i="38" s="1"/>
  <c r="M179" i="38" s="1"/>
  <c r="N179" i="38" s="1"/>
  <c r="K18" i="38"/>
  <c r="L18" i="38" s="1"/>
  <c r="M18" i="38" s="1"/>
  <c r="N18" i="38" s="1"/>
  <c r="K172" i="38"/>
  <c r="L172" i="38" s="1"/>
  <c r="M172" i="38" s="1"/>
  <c r="N172" i="38" s="1"/>
  <c r="K186" i="38"/>
  <c r="L186" i="38" s="1"/>
  <c r="M186" i="38" s="1"/>
  <c r="N186" i="38" s="1"/>
  <c r="K15" i="38"/>
  <c r="L15" i="38" s="1"/>
  <c r="M15" i="38" s="1"/>
  <c r="N15" i="38" s="1"/>
  <c r="K27" i="38"/>
  <c r="L27" i="38" s="1"/>
  <c r="M27" i="38" s="1"/>
  <c r="N27" i="38" s="1"/>
  <c r="K130" i="38"/>
  <c r="L130" i="38" s="1"/>
  <c r="M130" i="38" s="1"/>
  <c r="N130" i="38" s="1"/>
  <c r="K238" i="38"/>
  <c r="L238" i="38" s="1"/>
  <c r="M238" i="38" s="1"/>
  <c r="N238" i="38" s="1"/>
  <c r="K136" i="38"/>
  <c r="L136" i="38" s="1"/>
  <c r="M136" i="38" s="1"/>
  <c r="N136" i="38" s="1"/>
  <c r="K191" i="38"/>
  <c r="L191" i="38" s="1"/>
  <c r="M191" i="38" s="1"/>
  <c r="N191" i="38" s="1"/>
  <c r="K204" i="38"/>
  <c r="L204" i="38" s="1"/>
  <c r="M204" i="38" s="1"/>
  <c r="N204" i="38" s="1"/>
  <c r="K48" i="38"/>
  <c r="L48" i="38" s="1"/>
  <c r="M48" i="38" s="1"/>
  <c r="N48" i="38" s="1"/>
  <c r="K259" i="38"/>
  <c r="L259" i="38" s="1"/>
  <c r="M259" i="38" s="1"/>
  <c r="N259" i="38" s="1"/>
  <c r="K267" i="38"/>
  <c r="L267" i="38" s="1"/>
  <c r="M267" i="38" s="1"/>
  <c r="N267" i="38" s="1"/>
  <c r="K215" i="38"/>
  <c r="L215" i="38" s="1"/>
  <c r="M215" i="38" s="1"/>
  <c r="N215" i="38" s="1"/>
  <c r="K86" i="38"/>
  <c r="L86" i="38" s="1"/>
  <c r="M86" i="38" s="1"/>
  <c r="N86" i="38" s="1"/>
  <c r="K64" i="38"/>
  <c r="L64" i="38" s="1"/>
  <c r="M64" i="38" s="1"/>
  <c r="N64" i="38" s="1"/>
  <c r="K152" i="38"/>
  <c r="L152" i="38" s="1"/>
  <c r="M152" i="38" s="1"/>
  <c r="N152" i="38" s="1"/>
  <c r="K318" i="37"/>
  <c r="L318" i="37" s="1"/>
  <c r="M318" i="37" s="1"/>
  <c r="N318" i="37" s="1"/>
  <c r="K317" i="37"/>
  <c r="L317" i="37" s="1"/>
  <c r="M317" i="37" s="1"/>
  <c r="N317" i="37" s="1"/>
  <c r="K318" i="38"/>
  <c r="L318" i="38" s="1"/>
  <c r="M318" i="38" s="1"/>
  <c r="N318" i="38" s="1"/>
  <c r="K317" i="38"/>
  <c r="L317" i="38" s="1"/>
  <c r="M317" i="38" s="1"/>
  <c r="N317" i="38" s="1"/>
  <c r="K254" i="38"/>
  <c r="L254" i="38" s="1"/>
  <c r="M254" i="38" s="1"/>
  <c r="N254" i="38" s="1"/>
  <c r="K33" i="38"/>
  <c r="L33" i="38" s="1"/>
  <c r="M33" i="38" s="1"/>
  <c r="N33" i="38" s="1"/>
  <c r="K264" i="38"/>
  <c r="L264" i="38" s="1"/>
  <c r="M264" i="38" s="1"/>
  <c r="N264" i="38" s="1"/>
  <c r="K201" i="38"/>
  <c r="L201" i="38" s="1"/>
  <c r="M201" i="38" s="1"/>
  <c r="N201" i="38" s="1"/>
  <c r="K76" i="38"/>
  <c r="L76" i="38" s="1"/>
  <c r="M76" i="38" s="1"/>
  <c r="N76" i="38" s="1"/>
  <c r="K161" i="38"/>
  <c r="L161" i="38" s="1"/>
  <c r="M161" i="38" s="1"/>
  <c r="N161" i="38" s="1"/>
  <c r="K117" i="38"/>
  <c r="L117" i="38" s="1"/>
  <c r="M117" i="38" s="1"/>
  <c r="N117" i="38" s="1"/>
  <c r="K131" i="38"/>
  <c r="L131" i="38" s="1"/>
  <c r="M131" i="38" s="1"/>
  <c r="N131" i="38" s="1"/>
  <c r="K273" i="38"/>
  <c r="L273" i="38" s="1"/>
  <c r="M273" i="38" s="1"/>
  <c r="N273" i="38" s="1"/>
  <c r="K99" i="38"/>
  <c r="L99" i="38" s="1"/>
  <c r="M99" i="38" s="1"/>
  <c r="N99" i="38" s="1"/>
  <c r="K214" i="38"/>
  <c r="L214" i="38" s="1"/>
  <c r="M214" i="38" s="1"/>
  <c r="N214" i="38" s="1"/>
  <c r="K176" i="38"/>
  <c r="L176" i="38" s="1"/>
  <c r="M176" i="38" s="1"/>
  <c r="N176" i="38" s="1"/>
  <c r="K212" i="38"/>
  <c r="L212" i="38" s="1"/>
  <c r="M212" i="38" s="1"/>
  <c r="N212" i="38" s="1"/>
  <c r="K123" i="38"/>
  <c r="L123" i="38" s="1"/>
  <c r="M123" i="38" s="1"/>
  <c r="N123" i="38" s="1"/>
  <c r="K49" i="38"/>
  <c r="L49" i="38" s="1"/>
  <c r="M49" i="38" s="1"/>
  <c r="N49" i="38" s="1"/>
  <c r="K35" i="38"/>
  <c r="L35" i="38" s="1"/>
  <c r="M35" i="38" s="1"/>
  <c r="N35" i="38" s="1"/>
  <c r="K42" i="38"/>
  <c r="L42" i="38" s="1"/>
  <c r="M42" i="38" s="1"/>
  <c r="N42" i="38" s="1"/>
  <c r="K290" i="38"/>
  <c r="L290" i="38" s="1"/>
  <c r="M290" i="38" s="1"/>
  <c r="N290" i="38" s="1"/>
  <c r="K155" i="38"/>
  <c r="L155" i="38" s="1"/>
  <c r="M155" i="38" s="1"/>
  <c r="N155" i="38" s="1"/>
  <c r="K13" i="38"/>
  <c r="L13" i="38" s="1"/>
  <c r="M13" i="38" s="1"/>
  <c r="N13" i="38" s="1"/>
  <c r="K300" i="38"/>
  <c r="L300" i="38" s="1"/>
  <c r="M300" i="38" s="1"/>
  <c r="N300" i="38" s="1"/>
  <c r="K272" i="38"/>
  <c r="L272" i="38" s="1"/>
  <c r="M272" i="38" s="1"/>
  <c r="N272" i="38" s="1"/>
  <c r="K232" i="38"/>
  <c r="L232" i="38" s="1"/>
  <c r="M232" i="38" s="1"/>
  <c r="N232" i="38" s="1"/>
  <c r="K60" i="38"/>
  <c r="L60" i="38" s="1"/>
  <c r="M60" i="38" s="1"/>
  <c r="N60" i="38" s="1"/>
  <c r="K12" i="38"/>
  <c r="L12" i="38" s="1"/>
  <c r="M12" i="38" s="1"/>
  <c r="N12" i="38" s="1"/>
  <c r="K275" i="38"/>
  <c r="L275" i="38" s="1"/>
  <c r="M275" i="38" s="1"/>
  <c r="N275" i="38" s="1"/>
  <c r="K217" i="38"/>
  <c r="L217" i="38" s="1"/>
  <c r="M217" i="38" s="1"/>
  <c r="N217" i="38" s="1"/>
  <c r="K247" i="38"/>
  <c r="L247" i="38" s="1"/>
  <c r="M247" i="38" s="1"/>
  <c r="N247" i="38" s="1"/>
  <c r="K74" i="38"/>
  <c r="L74" i="38" s="1"/>
  <c r="M74" i="38" s="1"/>
  <c r="N74" i="38" s="1"/>
  <c r="K8" i="38"/>
  <c r="L8" i="38" s="1"/>
  <c r="M8" i="38" s="1"/>
  <c r="N8" i="38" s="1"/>
  <c r="K101" i="38"/>
  <c r="L101" i="38" s="1"/>
  <c r="M101" i="38" s="1"/>
  <c r="N101" i="38" s="1"/>
  <c r="K66" i="38"/>
  <c r="L66" i="38" s="1"/>
  <c r="M66" i="38" s="1"/>
  <c r="N66" i="38" s="1"/>
  <c r="K20" i="38"/>
  <c r="L20" i="38" s="1"/>
  <c r="M20" i="38" s="1"/>
  <c r="N20" i="38" s="1"/>
  <c r="K38" i="38"/>
  <c r="L38" i="38" s="1"/>
  <c r="M38" i="38" s="1"/>
  <c r="N38" i="38" s="1"/>
  <c r="K222" i="38"/>
  <c r="L222" i="38" s="1"/>
  <c r="M222" i="38" s="1"/>
  <c r="N222" i="38" s="1"/>
  <c r="K173" i="38"/>
  <c r="L173" i="38" s="1"/>
  <c r="M173" i="38" s="1"/>
  <c r="N173" i="38" s="1"/>
  <c r="K110" i="38"/>
  <c r="L110" i="38" s="1"/>
  <c r="M110" i="38" s="1"/>
  <c r="N110" i="38" s="1"/>
  <c r="K196" i="38"/>
  <c r="L196" i="38" s="1"/>
  <c r="M196" i="38" s="1"/>
  <c r="N196" i="38" s="1"/>
  <c r="K193" i="38"/>
  <c r="L193" i="38" s="1"/>
  <c r="M193" i="38" s="1"/>
  <c r="N193" i="38" s="1"/>
  <c r="K37" i="38"/>
  <c r="L37" i="38" s="1"/>
  <c r="M37" i="38" s="1"/>
  <c r="N37" i="38" s="1"/>
  <c r="K159" i="38"/>
  <c r="L159" i="38" s="1"/>
  <c r="M159" i="38" s="1"/>
  <c r="N159" i="38" s="1"/>
  <c r="K210" i="38"/>
  <c r="L210" i="38" s="1"/>
  <c r="M210" i="38" s="1"/>
  <c r="N210" i="38" s="1"/>
  <c r="K252" i="38"/>
  <c r="L252" i="38" s="1"/>
  <c r="M252" i="38" s="1"/>
  <c r="N252" i="38" s="1"/>
  <c r="K206" i="38"/>
  <c r="L206" i="38" s="1"/>
  <c r="M206" i="38" s="1"/>
  <c r="N206" i="38" s="1"/>
  <c r="K14" i="38"/>
  <c r="L14" i="38" s="1"/>
  <c r="M14" i="38" s="1"/>
  <c r="N14" i="38" s="1"/>
  <c r="K315" i="38"/>
  <c r="L315" i="38" s="1"/>
  <c r="M315" i="38" s="1"/>
  <c r="N315" i="38" s="1"/>
  <c r="K219" i="38"/>
  <c r="L219" i="38" s="1"/>
  <c r="M219" i="38" s="1"/>
  <c r="N219" i="38" s="1"/>
  <c r="K114" i="38"/>
  <c r="L114" i="38" s="1"/>
  <c r="M114" i="38" s="1"/>
  <c r="N114" i="38" s="1"/>
  <c r="K69" i="38"/>
  <c r="L69" i="38" s="1"/>
  <c r="M69" i="38" s="1"/>
  <c r="N69" i="38" s="1"/>
  <c r="K141" i="38"/>
  <c r="L141" i="38" s="1"/>
  <c r="M141" i="38" s="1"/>
  <c r="N141" i="38" s="1"/>
  <c r="K105" i="38"/>
  <c r="L105" i="38" s="1"/>
  <c r="M105" i="38" s="1"/>
  <c r="N105" i="38" s="1"/>
  <c r="K133" i="38"/>
  <c r="L133" i="38" s="1"/>
  <c r="M133" i="38" s="1"/>
  <c r="N133" i="38" s="1"/>
  <c r="K244" i="38"/>
  <c r="L244" i="38" s="1"/>
  <c r="M244" i="38" s="1"/>
  <c r="N244" i="38" s="1"/>
  <c r="K216" i="38"/>
  <c r="L216" i="38" s="1"/>
  <c r="M216" i="38" s="1"/>
  <c r="N216" i="38" s="1"/>
  <c r="K122" i="38"/>
  <c r="L122" i="38" s="1"/>
  <c r="M122" i="38" s="1"/>
  <c r="N122" i="38" s="1"/>
  <c r="K246" i="38"/>
  <c r="L246" i="38" s="1"/>
  <c r="M246" i="38" s="1"/>
  <c r="N246" i="38" s="1"/>
  <c r="K19" i="38"/>
  <c r="L19" i="38" s="1"/>
  <c r="M19" i="38" s="1"/>
  <c r="N19" i="38" s="1"/>
  <c r="K106" i="38"/>
  <c r="L106" i="38" s="1"/>
  <c r="M106" i="38" s="1"/>
  <c r="N106" i="38" s="1"/>
  <c r="K77" i="38"/>
  <c r="L77" i="38" s="1"/>
  <c r="M77" i="38" s="1"/>
  <c r="N77" i="38" s="1"/>
  <c r="K230" i="38"/>
  <c r="L230" i="38" s="1"/>
  <c r="M230" i="38" s="1"/>
  <c r="N230" i="38" s="1"/>
  <c r="K67" i="38"/>
  <c r="L67" i="38" s="1"/>
  <c r="M67" i="38" s="1"/>
  <c r="N67" i="38" s="1"/>
  <c r="K87" i="38"/>
  <c r="L87" i="38" s="1"/>
  <c r="M87" i="38" s="1"/>
  <c r="N87" i="38" s="1"/>
  <c r="K81" i="38"/>
  <c r="L81" i="38" s="1"/>
  <c r="M81" i="38" s="1"/>
  <c r="N81" i="38" s="1"/>
  <c r="K291" i="38"/>
  <c r="L291" i="38" s="1"/>
  <c r="M291" i="38" s="1"/>
  <c r="N291" i="38" s="1"/>
  <c r="K280" i="38"/>
  <c r="L280" i="38" s="1"/>
  <c r="M280" i="38" s="1"/>
  <c r="N280" i="38" s="1"/>
  <c r="K113" i="38"/>
  <c r="L113" i="38" s="1"/>
  <c r="M113" i="38" s="1"/>
  <c r="N113" i="38" s="1"/>
  <c r="K184" i="38"/>
  <c r="L184" i="38" s="1"/>
  <c r="M184" i="38" s="1"/>
  <c r="N184" i="38" s="1"/>
  <c r="K39" i="38"/>
  <c r="L39" i="38" s="1"/>
  <c r="M39" i="38" s="1"/>
  <c r="N39" i="38" s="1"/>
  <c r="K23" i="38"/>
  <c r="L23" i="38" s="1"/>
  <c r="M23" i="38" s="1"/>
  <c r="N23" i="38" s="1"/>
  <c r="K306" i="38"/>
  <c r="L306" i="38" s="1"/>
  <c r="M306" i="38" s="1"/>
  <c r="N306" i="38" s="1"/>
  <c r="K91" i="38"/>
  <c r="L91" i="38" s="1"/>
  <c r="M91" i="38" s="1"/>
  <c r="N91" i="38" s="1"/>
  <c r="K157" i="38"/>
  <c r="L157" i="38" s="1"/>
  <c r="M157" i="38" s="1"/>
  <c r="N157" i="38" s="1"/>
  <c r="K231" i="38"/>
  <c r="L231" i="38" s="1"/>
  <c r="M231" i="38" s="1"/>
  <c r="N231" i="38" s="1"/>
  <c r="K71" i="38"/>
  <c r="L71" i="38" s="1"/>
  <c r="M71" i="38" s="1"/>
  <c r="N71" i="38" s="1"/>
  <c r="K221" i="38"/>
  <c r="L221" i="38" s="1"/>
  <c r="M221" i="38" s="1"/>
  <c r="N221" i="38" s="1"/>
  <c r="K147" i="38"/>
  <c r="L147" i="38" s="1"/>
  <c r="M147" i="38" s="1"/>
  <c r="N147" i="38" s="1"/>
  <c r="K43" i="38"/>
  <c r="L43" i="38" s="1"/>
  <c r="M43" i="38" s="1"/>
  <c r="N43" i="38" s="1"/>
  <c r="K199" i="38"/>
  <c r="L199" i="38" s="1"/>
  <c r="M199" i="38" s="1"/>
  <c r="N199" i="38" s="1"/>
  <c r="K98" i="38"/>
  <c r="L98" i="38" s="1"/>
  <c r="M98" i="38" s="1"/>
  <c r="N98" i="38" s="1"/>
  <c r="K58" i="38"/>
  <c r="L58" i="38" s="1"/>
  <c r="M58" i="38" s="1"/>
  <c r="N58" i="38" s="1"/>
  <c r="K143" i="38"/>
  <c r="L143" i="38" s="1"/>
  <c r="M143" i="38" s="1"/>
  <c r="N143" i="38" s="1"/>
  <c r="K100" i="38"/>
  <c r="L100" i="38" s="1"/>
  <c r="M100" i="38" s="1"/>
  <c r="N100" i="38" s="1"/>
  <c r="K45" i="38"/>
  <c r="L45" i="38" s="1"/>
  <c r="M45" i="38" s="1"/>
  <c r="N45" i="38" s="1"/>
  <c r="K265" i="38"/>
  <c r="L265" i="38" s="1"/>
  <c r="M265" i="38" s="1"/>
  <c r="N265" i="38" s="1"/>
  <c r="K52" i="38"/>
  <c r="L52" i="38" s="1"/>
  <c r="M52" i="38" s="1"/>
  <c r="N52" i="38" s="1"/>
  <c r="K94" i="38"/>
  <c r="L94" i="38" s="1"/>
  <c r="M94" i="38" s="1"/>
  <c r="N94" i="38" s="1"/>
  <c r="K75" i="38"/>
  <c r="L75" i="38" s="1"/>
  <c r="M75" i="38" s="1"/>
  <c r="N75" i="38" s="1"/>
  <c r="K137" i="38"/>
  <c r="L137" i="38" s="1"/>
  <c r="M137" i="38" s="1"/>
  <c r="N137" i="38" s="1"/>
  <c r="K24" i="38"/>
  <c r="L24" i="38" s="1"/>
  <c r="M24" i="38" s="1"/>
  <c r="N24" i="38" s="1"/>
  <c r="K121" i="38"/>
  <c r="L121" i="38" s="1"/>
  <c r="M121" i="38" s="1"/>
  <c r="N121" i="38" s="1"/>
  <c r="K189" i="38"/>
  <c r="L189" i="38" s="1"/>
  <c r="M189" i="38" s="1"/>
  <c r="N189" i="38" s="1"/>
  <c r="K309" i="38"/>
  <c r="L309" i="38" s="1"/>
  <c r="M309" i="38" s="1"/>
  <c r="N309" i="38" s="1"/>
  <c r="K78" i="38"/>
  <c r="L78" i="38" s="1"/>
  <c r="M78" i="38" s="1"/>
  <c r="N78" i="38" s="1"/>
  <c r="K270" i="38"/>
  <c r="L270" i="38" s="1"/>
  <c r="M270" i="38" s="1"/>
  <c r="N270" i="38" s="1"/>
  <c r="K207" i="38"/>
  <c r="L207" i="38" s="1"/>
  <c r="M207" i="38" s="1"/>
  <c r="N207" i="38" s="1"/>
  <c r="K235" i="38"/>
  <c r="L235" i="38" s="1"/>
  <c r="M235" i="38" s="1"/>
  <c r="N235" i="38" s="1"/>
  <c r="K307" i="38"/>
  <c r="L307" i="38" s="1"/>
  <c r="M307" i="38" s="1"/>
  <c r="N307" i="38" s="1"/>
  <c r="K150" i="38"/>
  <c r="L150" i="38" s="1"/>
  <c r="M150" i="38" s="1"/>
  <c r="N150" i="38" s="1"/>
  <c r="K118" i="38"/>
  <c r="L118" i="38" s="1"/>
  <c r="M118" i="38" s="1"/>
  <c r="N118" i="38" s="1"/>
  <c r="K97" i="38"/>
  <c r="L97" i="38" s="1"/>
  <c r="M97" i="38" s="1"/>
  <c r="N97" i="38" s="1"/>
  <c r="K236" i="38"/>
  <c r="L236" i="38" s="1"/>
  <c r="M236" i="38" s="1"/>
  <c r="N236" i="38" s="1"/>
  <c r="K211" i="38"/>
  <c r="L211" i="38" s="1"/>
  <c r="M211" i="38" s="1"/>
  <c r="N211" i="38" s="1"/>
  <c r="K296" i="38"/>
  <c r="L296" i="38" s="1"/>
  <c r="M296" i="38" s="1"/>
  <c r="N296" i="38" s="1"/>
  <c r="K102" i="38"/>
  <c r="L102" i="38" s="1"/>
  <c r="M102" i="38" s="1"/>
  <c r="N102" i="38" s="1"/>
  <c r="K41" i="38"/>
  <c r="L41" i="38" s="1"/>
  <c r="M41" i="38" s="1"/>
  <c r="N41" i="38" s="1"/>
  <c r="K90" i="38"/>
  <c r="L90" i="38" s="1"/>
  <c r="M90" i="38" s="1"/>
  <c r="N90" i="38" s="1"/>
  <c r="K181" i="38"/>
  <c r="L181" i="38" s="1"/>
  <c r="M181" i="38" s="1"/>
  <c r="N181" i="38" s="1"/>
  <c r="K284" i="38"/>
  <c r="L284" i="38" s="1"/>
  <c r="M284" i="38" s="1"/>
  <c r="N284" i="38" s="1"/>
  <c r="K70" i="38"/>
  <c r="L70" i="38" s="1"/>
  <c r="M70" i="38" s="1"/>
  <c r="N70" i="38" s="1"/>
  <c r="K243" i="38"/>
  <c r="L243" i="38" s="1"/>
  <c r="M243" i="38" s="1"/>
  <c r="N243" i="38" s="1"/>
  <c r="K168" i="38"/>
  <c r="L168" i="38" s="1"/>
  <c r="M168" i="38" s="1"/>
  <c r="N168" i="38" s="1"/>
  <c r="K278" i="38"/>
  <c r="L278" i="38" s="1"/>
  <c r="M278" i="38" s="1"/>
  <c r="N278" i="38" s="1"/>
  <c r="K140" i="38"/>
  <c r="L140" i="38" s="1"/>
  <c r="M140" i="38" s="1"/>
  <c r="N140" i="38" s="1"/>
  <c r="K59" i="38"/>
  <c r="L59" i="38" s="1"/>
  <c r="M59" i="38" s="1"/>
  <c r="N59" i="38" s="1"/>
  <c r="K174" i="38"/>
  <c r="L174" i="38" s="1"/>
  <c r="M174" i="38" s="1"/>
  <c r="N174" i="38" s="1"/>
  <c r="K260" i="38"/>
  <c r="L260" i="38" s="1"/>
  <c r="M260" i="38" s="1"/>
  <c r="N260" i="38" s="1"/>
  <c r="K25" i="38"/>
  <c r="L25" i="38" s="1"/>
  <c r="M25" i="38" s="1"/>
  <c r="N25" i="38" s="1"/>
  <c r="K288" i="38"/>
  <c r="L288" i="38" s="1"/>
  <c r="M288" i="38" s="1"/>
  <c r="N288" i="38" s="1"/>
  <c r="K287" i="38"/>
  <c r="L287" i="38" s="1"/>
  <c r="M287" i="38" s="1"/>
  <c r="N287" i="38" s="1"/>
  <c r="K282" i="38"/>
  <c r="L282" i="38" s="1"/>
  <c r="M282" i="38" s="1"/>
  <c r="N282" i="38" s="1"/>
  <c r="K95" i="38"/>
  <c r="L95" i="38" s="1"/>
  <c r="M95" i="38" s="1"/>
  <c r="N95" i="38" s="1"/>
  <c r="K126" i="38"/>
  <c r="L126" i="38" s="1"/>
  <c r="M126" i="38" s="1"/>
  <c r="N126" i="38" s="1"/>
  <c r="K116" i="38"/>
  <c r="L116" i="38" s="1"/>
  <c r="M116" i="38" s="1"/>
  <c r="N116" i="38" s="1"/>
  <c r="K129" i="38"/>
  <c r="L129" i="38" s="1"/>
  <c r="M129" i="38" s="1"/>
  <c r="N129" i="38" s="1"/>
  <c r="K195" i="38"/>
  <c r="L195" i="38" s="1"/>
  <c r="M195" i="38" s="1"/>
  <c r="N195" i="38" s="1"/>
  <c r="K40" i="38"/>
  <c r="L40" i="38" s="1"/>
  <c r="M40" i="38" s="1"/>
  <c r="N40" i="38" s="1"/>
  <c r="K125" i="38"/>
  <c r="L125" i="38" s="1"/>
  <c r="M125" i="38" s="1"/>
  <c r="N125" i="38" s="1"/>
  <c r="K268" i="38"/>
  <c r="L268" i="38" s="1"/>
  <c r="M268" i="38" s="1"/>
  <c r="N268" i="38" s="1"/>
  <c r="K224" i="38"/>
  <c r="L224" i="38" s="1"/>
  <c r="M224" i="38" s="1"/>
  <c r="N224" i="38" s="1"/>
  <c r="K228" i="38"/>
  <c r="L228" i="38" s="1"/>
  <c r="M228" i="38" s="1"/>
  <c r="N228" i="38" s="1"/>
  <c r="K112" i="38"/>
  <c r="L112" i="38" s="1"/>
  <c r="M112" i="38" s="1"/>
  <c r="N112" i="38" s="1"/>
  <c r="K182" i="38"/>
  <c r="L182" i="38" s="1"/>
  <c r="M182" i="38" s="1"/>
  <c r="N182" i="38" s="1"/>
  <c r="K138" i="38"/>
  <c r="L138" i="38" s="1"/>
  <c r="M138" i="38" s="1"/>
  <c r="N138" i="38" s="1"/>
  <c r="K4" i="36"/>
  <c r="K4" i="39"/>
  <c r="K309" i="39"/>
  <c r="L309" i="39" s="1"/>
  <c r="M309" i="39" s="1"/>
  <c r="K98" i="39"/>
  <c r="L98" i="39" s="1"/>
  <c r="M98" i="39" s="1"/>
  <c r="K25" i="39"/>
  <c r="L25" i="39" s="1"/>
  <c r="M25" i="39" s="1"/>
  <c r="K229" i="39"/>
  <c r="L229" i="39" s="1"/>
  <c r="M229" i="39" s="1"/>
  <c r="K300" i="39"/>
  <c r="L300" i="39" s="1"/>
  <c r="M300" i="39" s="1"/>
  <c r="K183" i="39"/>
  <c r="L183" i="39" s="1"/>
  <c r="M183" i="39" s="1"/>
  <c r="K165" i="39"/>
  <c r="L165" i="39" s="1"/>
  <c r="M165" i="39" s="1"/>
  <c r="K133" i="39"/>
  <c r="L133" i="39" s="1"/>
  <c r="M133" i="39" s="1"/>
  <c r="K96" i="39"/>
  <c r="L96" i="39" s="1"/>
  <c r="M96" i="39" s="1"/>
  <c r="K245" i="39"/>
  <c r="L245" i="39" s="1"/>
  <c r="M245" i="39" s="1"/>
  <c r="K223" i="39"/>
  <c r="L223" i="39" s="1"/>
  <c r="M223" i="39" s="1"/>
  <c r="K244" i="39"/>
  <c r="L244" i="39" s="1"/>
  <c r="M244" i="39" s="1"/>
  <c r="K19" i="39"/>
  <c r="L19" i="39" s="1"/>
  <c r="M19" i="39" s="1"/>
  <c r="K196" i="39"/>
  <c r="L196" i="39" s="1"/>
  <c r="M196" i="39" s="1"/>
  <c r="K50" i="39"/>
  <c r="L50" i="39" s="1"/>
  <c r="M50" i="39" s="1"/>
  <c r="K163" i="39"/>
  <c r="L163" i="39" s="1"/>
  <c r="M163" i="39" s="1"/>
  <c r="K105" i="39"/>
  <c r="L105" i="39" s="1"/>
  <c r="M105" i="39" s="1"/>
  <c r="K157" i="39"/>
  <c r="L157" i="39" s="1"/>
  <c r="M157" i="39" s="1"/>
  <c r="K297" i="39"/>
  <c r="L297" i="39" s="1"/>
  <c r="M297" i="39" s="1"/>
  <c r="K296" i="39"/>
  <c r="L296" i="39" s="1"/>
  <c r="M296" i="39" s="1"/>
  <c r="K232" i="39"/>
  <c r="L232" i="39" s="1"/>
  <c r="M232" i="39" s="1"/>
  <c r="K301" i="39"/>
  <c r="L301" i="39" s="1"/>
  <c r="M301" i="39" s="1"/>
  <c r="K153" i="39"/>
  <c r="L153" i="39" s="1"/>
  <c r="M153" i="39" s="1"/>
  <c r="K15" i="39"/>
  <c r="L15" i="39" s="1"/>
  <c r="M15" i="39" s="1"/>
  <c r="K79" i="39"/>
  <c r="L79" i="39" s="1"/>
  <c r="M79" i="39" s="1"/>
  <c r="K122" i="39"/>
  <c r="L122" i="39" s="1"/>
  <c r="M122" i="39" s="1"/>
  <c r="K129" i="39"/>
  <c r="L129" i="39" s="1"/>
  <c r="M129" i="39" s="1"/>
  <c r="K261" i="39"/>
  <c r="L261" i="39" s="1"/>
  <c r="M261" i="39" s="1"/>
  <c r="K155" i="39"/>
  <c r="L155" i="39" s="1"/>
  <c r="M155" i="39" s="1"/>
  <c r="K284" i="39"/>
  <c r="L284" i="39" s="1"/>
  <c r="M284" i="39" s="1"/>
  <c r="K177" i="39"/>
  <c r="L177" i="39" s="1"/>
  <c r="M177" i="39" s="1"/>
  <c r="K69" i="39"/>
  <c r="L69" i="39" s="1"/>
  <c r="M69" i="39" s="1"/>
  <c r="K89" i="39"/>
  <c r="L89" i="39" s="1"/>
  <c r="M89" i="39" s="1"/>
  <c r="K11" i="39"/>
  <c r="L11" i="39" s="1"/>
  <c r="M11" i="39" s="1"/>
  <c r="K30" i="39"/>
  <c r="L30" i="39" s="1"/>
  <c r="M30" i="39" s="1"/>
  <c r="K268" i="39"/>
  <c r="L268" i="39" s="1"/>
  <c r="M268" i="39" s="1"/>
  <c r="K142" i="39"/>
  <c r="L142" i="39" s="1"/>
  <c r="M142" i="39" s="1"/>
  <c r="K248" i="39"/>
  <c r="L248" i="39" s="1"/>
  <c r="M248" i="39" s="1"/>
  <c r="K199" i="39"/>
  <c r="L199" i="39" s="1"/>
  <c r="M199" i="39" s="1"/>
  <c r="K240" i="39"/>
  <c r="L240" i="39" s="1"/>
  <c r="M240" i="39" s="1"/>
  <c r="K61" i="39"/>
  <c r="L61" i="39" s="1"/>
  <c r="M61" i="39" s="1"/>
  <c r="K187" i="39"/>
  <c r="L187" i="39" s="1"/>
  <c r="M187" i="39" s="1"/>
  <c r="K260" i="39"/>
  <c r="L260" i="39" s="1"/>
  <c r="M260" i="39" s="1"/>
  <c r="K126" i="39"/>
  <c r="L126" i="39" s="1"/>
  <c r="M126" i="39" s="1"/>
  <c r="K308" i="39"/>
  <c r="L308" i="39" s="1"/>
  <c r="M308" i="39" s="1"/>
  <c r="K56" i="39"/>
  <c r="L56" i="39" s="1"/>
  <c r="M56" i="39" s="1"/>
  <c r="K313" i="39"/>
  <c r="L313" i="39" s="1"/>
  <c r="M313" i="39" s="1"/>
  <c r="K234" i="39"/>
  <c r="L234" i="39" s="1"/>
  <c r="M234" i="39" s="1"/>
  <c r="K293" i="39"/>
  <c r="L293" i="39" s="1"/>
  <c r="M293" i="39" s="1"/>
  <c r="K70" i="39"/>
  <c r="L70" i="39" s="1"/>
  <c r="M70" i="39" s="1"/>
  <c r="K226" i="39"/>
  <c r="L226" i="39" s="1"/>
  <c r="M226" i="39" s="1"/>
  <c r="K218" i="39"/>
  <c r="L218" i="39" s="1"/>
  <c r="M218" i="39" s="1"/>
  <c r="K252" i="39"/>
  <c r="L252" i="39" s="1"/>
  <c r="M252" i="39" s="1"/>
  <c r="K81" i="39"/>
  <c r="L81" i="39" s="1"/>
  <c r="M81" i="39" s="1"/>
  <c r="K257" i="39"/>
  <c r="L257" i="39" s="1"/>
  <c r="M257" i="39" s="1"/>
  <c r="K16" i="39"/>
  <c r="L16" i="39" s="1"/>
  <c r="M16" i="39" s="1"/>
  <c r="K316" i="39"/>
  <c r="L316" i="39" s="1"/>
  <c r="M316" i="39" s="1"/>
  <c r="K207" i="39"/>
  <c r="L207" i="39" s="1"/>
  <c r="M207" i="39" s="1"/>
  <c r="K286" i="39"/>
  <c r="L286" i="39" s="1"/>
  <c r="M286" i="39" s="1"/>
  <c r="K121" i="39"/>
  <c r="L121" i="39" s="1"/>
  <c r="M121" i="39" s="1"/>
  <c r="K137" i="39"/>
  <c r="L137" i="39" s="1"/>
  <c r="M137" i="39" s="1"/>
  <c r="K147" i="39"/>
  <c r="L147" i="39" s="1"/>
  <c r="M147" i="39" s="1"/>
  <c r="K66" i="39"/>
  <c r="L66" i="39" s="1"/>
  <c r="M66" i="39" s="1"/>
  <c r="K42" i="39"/>
  <c r="L42" i="39" s="1"/>
  <c r="M42" i="39" s="1"/>
  <c r="K233" i="39"/>
  <c r="L233" i="39" s="1"/>
  <c r="M233" i="39" s="1"/>
  <c r="K204" i="39"/>
  <c r="L204" i="39" s="1"/>
  <c r="M204" i="39" s="1"/>
  <c r="K49" i="39"/>
  <c r="L49" i="39" s="1"/>
  <c r="M49" i="39" s="1"/>
  <c r="K65" i="39"/>
  <c r="L65" i="39" s="1"/>
  <c r="M65" i="39" s="1"/>
  <c r="K312" i="39"/>
  <c r="L312" i="39" s="1"/>
  <c r="M312" i="39" s="1"/>
  <c r="K58" i="39"/>
  <c r="L58" i="39" s="1"/>
  <c r="M58" i="39" s="1"/>
  <c r="K60" i="39"/>
  <c r="L60" i="39" s="1"/>
  <c r="M60" i="39" s="1"/>
  <c r="K277" i="39"/>
  <c r="L277" i="39" s="1"/>
  <c r="M277" i="39" s="1"/>
  <c r="K77" i="39"/>
  <c r="L77" i="39" s="1"/>
  <c r="M77" i="39" s="1"/>
  <c r="K281" i="39"/>
  <c r="L281" i="39" s="1"/>
  <c r="M281" i="39" s="1"/>
  <c r="K208" i="39"/>
  <c r="L208" i="39" s="1"/>
  <c r="M208" i="39" s="1"/>
  <c r="K141" i="39"/>
  <c r="L141" i="39" s="1"/>
  <c r="M141" i="39" s="1"/>
  <c r="K305" i="39"/>
  <c r="L305" i="39" s="1"/>
  <c r="M305" i="39" s="1"/>
  <c r="K210" i="39"/>
  <c r="L210" i="39" s="1"/>
  <c r="M210" i="39" s="1"/>
  <c r="K57" i="39"/>
  <c r="L57" i="39" s="1"/>
  <c r="M57" i="39" s="1"/>
  <c r="K236" i="39"/>
  <c r="L236" i="39" s="1"/>
  <c r="M236" i="39" s="1"/>
  <c r="K125" i="39"/>
  <c r="L125" i="39" s="1"/>
  <c r="M125" i="39" s="1"/>
  <c r="K214" i="39"/>
  <c r="L214" i="39" s="1"/>
  <c r="M214" i="39" s="1"/>
  <c r="K203" i="39"/>
  <c r="L203" i="39" s="1"/>
  <c r="M203" i="39" s="1"/>
  <c r="K62" i="39"/>
  <c r="L62" i="39" s="1"/>
  <c r="M62" i="39" s="1"/>
  <c r="K173" i="39"/>
  <c r="L173" i="39" s="1"/>
  <c r="M173" i="39" s="1"/>
  <c r="K45" i="39"/>
  <c r="L45" i="39" s="1"/>
  <c r="M45" i="39" s="1"/>
  <c r="K215" i="39"/>
  <c r="L215" i="39" s="1"/>
  <c r="M215" i="39" s="1"/>
  <c r="K275" i="39"/>
  <c r="L275" i="39" s="1"/>
  <c r="M275" i="39" s="1"/>
  <c r="K34" i="39"/>
  <c r="L34" i="39" s="1"/>
  <c r="M34" i="39" s="1"/>
  <c r="K48" i="39"/>
  <c r="L48" i="39" s="1"/>
  <c r="M48" i="39" s="1"/>
  <c r="K73" i="39"/>
  <c r="L73" i="39" s="1"/>
  <c r="M73" i="39" s="1"/>
  <c r="K53" i="39"/>
  <c r="L53" i="39" s="1"/>
  <c r="M53" i="39" s="1"/>
  <c r="K222" i="39"/>
  <c r="L222" i="39" s="1"/>
  <c r="M222" i="39" s="1"/>
  <c r="K195" i="39"/>
  <c r="L195" i="39" s="1"/>
  <c r="M195" i="39" s="1"/>
  <c r="K114" i="39"/>
  <c r="L114" i="39" s="1"/>
  <c r="M114" i="39" s="1"/>
  <c r="K243" i="39"/>
  <c r="L243" i="39" s="1"/>
  <c r="M243" i="39" s="1"/>
  <c r="K85" i="39"/>
  <c r="L85" i="39" s="1"/>
  <c r="M85" i="39" s="1"/>
  <c r="K78" i="39"/>
  <c r="L78" i="39" s="1"/>
  <c r="M78" i="39" s="1"/>
  <c r="K216" i="39"/>
  <c r="L216" i="39" s="1"/>
  <c r="M216" i="39" s="1"/>
  <c r="K238" i="39"/>
  <c r="L238" i="39" s="1"/>
  <c r="M238" i="39" s="1"/>
  <c r="K32" i="39"/>
  <c r="L32" i="39" s="1"/>
  <c r="M32" i="39" s="1"/>
  <c r="K54" i="39"/>
  <c r="L54" i="39" s="1"/>
  <c r="M54" i="39" s="1"/>
  <c r="K94" i="39"/>
  <c r="L94" i="39" s="1"/>
  <c r="M94" i="39" s="1"/>
  <c r="K145" i="39"/>
  <c r="L145" i="39" s="1"/>
  <c r="M145" i="39" s="1"/>
  <c r="K21" i="39"/>
  <c r="L21" i="39" s="1"/>
  <c r="M21" i="39" s="1"/>
  <c r="K181" i="39"/>
  <c r="L181" i="39" s="1"/>
  <c r="M181" i="39" s="1"/>
  <c r="K256" i="39"/>
  <c r="L256" i="39" s="1"/>
  <c r="M256" i="39" s="1"/>
  <c r="K134" i="39"/>
  <c r="L134" i="39" s="1"/>
  <c r="M134" i="39" s="1"/>
  <c r="K7" i="39"/>
  <c r="L7" i="39" s="1"/>
  <c r="M7" i="39" s="1"/>
  <c r="K88" i="39"/>
  <c r="L88" i="39" s="1"/>
  <c r="M88" i="39" s="1"/>
  <c r="K68" i="39"/>
  <c r="L68" i="39" s="1"/>
  <c r="M68" i="39" s="1"/>
  <c r="K111" i="39"/>
  <c r="L111" i="39" s="1"/>
  <c r="M111" i="39" s="1"/>
  <c r="K43" i="39"/>
  <c r="L43" i="39" s="1"/>
  <c r="M43" i="39" s="1"/>
  <c r="K99" i="39"/>
  <c r="L99" i="39" s="1"/>
  <c r="M99" i="39" s="1"/>
  <c r="K136" i="39"/>
  <c r="L136" i="39" s="1"/>
  <c r="M136" i="39" s="1"/>
  <c r="K282" i="39"/>
  <c r="L282" i="39" s="1"/>
  <c r="M282" i="39" s="1"/>
  <c r="K310" i="39"/>
  <c r="L310" i="39" s="1"/>
  <c r="M310" i="39" s="1"/>
  <c r="K118" i="39"/>
  <c r="L118" i="39" s="1"/>
  <c r="M118" i="39" s="1"/>
  <c r="K38" i="39"/>
  <c r="L38" i="39" s="1"/>
  <c r="M38" i="39" s="1"/>
  <c r="K287" i="39"/>
  <c r="L287" i="39" s="1"/>
  <c r="M287" i="39" s="1"/>
  <c r="K140" i="39"/>
  <c r="L140" i="39" s="1"/>
  <c r="M140" i="39" s="1"/>
  <c r="K255" i="39"/>
  <c r="L255" i="39" s="1"/>
  <c r="M255" i="39" s="1"/>
  <c r="K188" i="39"/>
  <c r="L188" i="39" s="1"/>
  <c r="M188" i="39" s="1"/>
  <c r="K22" i="39"/>
  <c r="L22" i="39" s="1"/>
  <c r="M22" i="39" s="1"/>
  <c r="K172" i="39"/>
  <c r="L172" i="39" s="1"/>
  <c r="M172" i="39" s="1"/>
  <c r="K144" i="39"/>
  <c r="L144" i="39" s="1"/>
  <c r="M144" i="39" s="1"/>
  <c r="K151" i="39"/>
  <c r="L151" i="39" s="1"/>
  <c r="M151" i="39" s="1"/>
  <c r="K225" i="39"/>
  <c r="L225" i="39" s="1"/>
  <c r="M225" i="39" s="1"/>
  <c r="K148" i="39"/>
  <c r="L148" i="39" s="1"/>
  <c r="M148" i="39" s="1"/>
  <c r="K162" i="39"/>
  <c r="L162" i="39" s="1"/>
  <c r="M162" i="39" s="1"/>
  <c r="K37" i="39"/>
  <c r="L37" i="39" s="1"/>
  <c r="M37" i="39" s="1"/>
  <c r="K20" i="39"/>
  <c r="L20" i="39" s="1"/>
  <c r="M20" i="39" s="1"/>
  <c r="K303" i="39"/>
  <c r="L303" i="39" s="1"/>
  <c r="M303" i="39" s="1"/>
  <c r="K274" i="39"/>
  <c r="L274" i="39" s="1"/>
  <c r="M274" i="39" s="1"/>
  <c r="K9" i="39"/>
  <c r="L9" i="39" s="1"/>
  <c r="M9" i="39" s="1"/>
  <c r="K8" i="39"/>
  <c r="L8" i="39" s="1"/>
  <c r="M8" i="39" s="1"/>
  <c r="K302" i="39"/>
  <c r="L302" i="39" s="1"/>
  <c r="M302" i="39" s="1"/>
  <c r="K180" i="39"/>
  <c r="L180" i="39" s="1"/>
  <c r="M180" i="39" s="1"/>
  <c r="K311" i="39"/>
  <c r="L311" i="39" s="1"/>
  <c r="M311" i="39" s="1"/>
  <c r="K154" i="39"/>
  <c r="L154" i="39" s="1"/>
  <c r="M154" i="39" s="1"/>
  <c r="K12" i="39"/>
  <c r="L12" i="39" s="1"/>
  <c r="M12" i="39" s="1"/>
  <c r="K250" i="39"/>
  <c r="L250" i="39" s="1"/>
  <c r="M250" i="39" s="1"/>
  <c r="K211" i="39"/>
  <c r="L211" i="39" s="1"/>
  <c r="M211" i="39" s="1"/>
  <c r="K247" i="39"/>
  <c r="L247" i="39" s="1"/>
  <c r="M247" i="39" s="1"/>
  <c r="K90" i="39"/>
  <c r="L90" i="39" s="1"/>
  <c r="M90" i="39" s="1"/>
  <c r="K291" i="39"/>
  <c r="L291" i="39" s="1"/>
  <c r="M291" i="39" s="1"/>
  <c r="K164" i="39"/>
  <c r="L164" i="39" s="1"/>
  <c r="M164" i="39" s="1"/>
  <c r="K213" i="39"/>
  <c r="L213" i="39" s="1"/>
  <c r="M213" i="39" s="1"/>
  <c r="K182" i="39"/>
  <c r="L182" i="39" s="1"/>
  <c r="M182" i="39" s="1"/>
  <c r="K292" i="39"/>
  <c r="L292" i="39" s="1"/>
  <c r="M292" i="39" s="1"/>
  <c r="K106" i="39"/>
  <c r="L106" i="39" s="1"/>
  <c r="M106" i="39" s="1"/>
  <c r="K167" i="39"/>
  <c r="L167" i="39" s="1"/>
  <c r="M167" i="39" s="1"/>
  <c r="K230" i="39"/>
  <c r="L230" i="39" s="1"/>
  <c r="M230" i="39" s="1"/>
  <c r="K270" i="39"/>
  <c r="L270" i="39" s="1"/>
  <c r="M270" i="39" s="1"/>
  <c r="K176" i="39"/>
  <c r="L176" i="39" s="1"/>
  <c r="M176" i="39" s="1"/>
  <c r="K206" i="39"/>
  <c r="L206" i="39" s="1"/>
  <c r="M206" i="39" s="1"/>
  <c r="K239" i="39"/>
  <c r="L239" i="39" s="1"/>
  <c r="M239" i="39" s="1"/>
  <c r="K161" i="39"/>
  <c r="L161" i="39" s="1"/>
  <c r="M161" i="39" s="1"/>
  <c r="K179" i="39"/>
  <c r="L179" i="39" s="1"/>
  <c r="M179" i="39" s="1"/>
  <c r="K285" i="39"/>
  <c r="L285" i="39" s="1"/>
  <c r="M285" i="39" s="1"/>
  <c r="K112" i="39"/>
  <c r="L112" i="39" s="1"/>
  <c r="M112" i="39" s="1"/>
  <c r="K241" i="39"/>
  <c r="L241" i="39" s="1"/>
  <c r="M241" i="39" s="1"/>
  <c r="K29" i="39"/>
  <c r="L29" i="39" s="1"/>
  <c r="M29" i="39" s="1"/>
  <c r="K178" i="39"/>
  <c r="L178" i="39" s="1"/>
  <c r="M178" i="39" s="1"/>
  <c r="K278" i="39"/>
  <c r="L278" i="39" s="1"/>
  <c r="M278" i="39" s="1"/>
  <c r="K266" i="39"/>
  <c r="L266" i="39" s="1"/>
  <c r="M266" i="39" s="1"/>
  <c r="K143" i="39"/>
  <c r="L143" i="39" s="1"/>
  <c r="M143" i="39" s="1"/>
  <c r="K93" i="39"/>
  <c r="L93" i="39" s="1"/>
  <c r="M93" i="39" s="1"/>
  <c r="K194" i="39"/>
  <c r="L194" i="39" s="1"/>
  <c r="M194" i="39" s="1"/>
  <c r="K253" i="39"/>
  <c r="L253" i="39" s="1"/>
  <c r="M253" i="39" s="1"/>
  <c r="K258" i="39"/>
  <c r="L258" i="39" s="1"/>
  <c r="M258" i="39" s="1"/>
  <c r="K221" i="39"/>
  <c r="L221" i="39" s="1"/>
  <c r="M221" i="39" s="1"/>
  <c r="K315" i="39"/>
  <c r="L315" i="39" s="1"/>
  <c r="M315" i="39" s="1"/>
  <c r="K192" i="39"/>
  <c r="L192" i="39" s="1"/>
  <c r="M192" i="39" s="1"/>
  <c r="K219" i="39"/>
  <c r="L219" i="39" s="1"/>
  <c r="M219" i="39" s="1"/>
  <c r="K212" i="39"/>
  <c r="L212" i="39" s="1"/>
  <c r="M212" i="39" s="1"/>
  <c r="K269" i="39"/>
  <c r="L269" i="39" s="1"/>
  <c r="M269" i="39" s="1"/>
  <c r="K131" i="39"/>
  <c r="L131" i="39" s="1"/>
  <c r="M131" i="39" s="1"/>
  <c r="K115" i="39"/>
  <c r="L115" i="39" s="1"/>
  <c r="M115" i="39" s="1"/>
  <c r="K159" i="39"/>
  <c r="L159" i="39" s="1"/>
  <c r="M159" i="39" s="1"/>
  <c r="K283" i="39"/>
  <c r="L283" i="39" s="1"/>
  <c r="M283" i="39" s="1"/>
  <c r="K13" i="39"/>
  <c r="L13" i="39" s="1"/>
  <c r="M13" i="39" s="1"/>
  <c r="K262" i="39"/>
  <c r="L262" i="39" s="1"/>
  <c r="M262" i="39" s="1"/>
  <c r="K267" i="39"/>
  <c r="L267" i="39" s="1"/>
  <c r="M267" i="39" s="1"/>
  <c r="K273" i="39"/>
  <c r="L273" i="39" s="1"/>
  <c r="M273" i="39" s="1"/>
  <c r="K52" i="39"/>
  <c r="L52" i="39" s="1"/>
  <c r="M52" i="39" s="1"/>
  <c r="K139" i="39"/>
  <c r="L139" i="39" s="1"/>
  <c r="M139" i="39" s="1"/>
  <c r="K91" i="39"/>
  <c r="L91" i="39" s="1"/>
  <c r="M91" i="39" s="1"/>
  <c r="K127" i="39"/>
  <c r="L127" i="39" s="1"/>
  <c r="M127" i="39" s="1"/>
  <c r="K227" i="39"/>
  <c r="L227" i="39" s="1"/>
  <c r="M227" i="39" s="1"/>
  <c r="K242" i="39"/>
  <c r="L242" i="39" s="1"/>
  <c r="M242" i="39" s="1"/>
  <c r="K288" i="39"/>
  <c r="L288" i="39" s="1"/>
  <c r="M288" i="39" s="1"/>
  <c r="K107" i="39"/>
  <c r="L107" i="39" s="1"/>
  <c r="M107" i="39" s="1"/>
  <c r="K298" i="39"/>
  <c r="L298" i="39" s="1"/>
  <c r="M298" i="39" s="1"/>
  <c r="K119" i="39"/>
  <c r="L119" i="39" s="1"/>
  <c r="M119" i="39" s="1"/>
  <c r="K205" i="39"/>
  <c r="L205" i="39" s="1"/>
  <c r="M205" i="39" s="1"/>
  <c r="K46" i="39"/>
  <c r="L46" i="39" s="1"/>
  <c r="M46" i="39" s="1"/>
  <c r="K174" i="39"/>
  <c r="L174" i="39" s="1"/>
  <c r="M174" i="39" s="1"/>
  <c r="K6" i="39"/>
  <c r="L6" i="39" s="1"/>
  <c r="M6" i="39" s="1"/>
  <c r="K55" i="39"/>
  <c r="L55" i="39" s="1"/>
  <c r="M55" i="39" s="1"/>
  <c r="K33" i="39"/>
  <c r="L33" i="39" s="1"/>
  <c r="M33" i="39" s="1"/>
  <c r="K80" i="39"/>
  <c r="L80" i="39" s="1"/>
  <c r="M80" i="39" s="1"/>
  <c r="K101" i="39"/>
  <c r="L101" i="39" s="1"/>
  <c r="M101" i="39" s="1"/>
  <c r="K84" i="39"/>
  <c r="L84" i="39" s="1"/>
  <c r="M84" i="39" s="1"/>
  <c r="K185" i="39"/>
  <c r="L185" i="39" s="1"/>
  <c r="M185" i="39" s="1"/>
  <c r="K271" i="39"/>
  <c r="L271" i="39" s="1"/>
  <c r="M271" i="39" s="1"/>
  <c r="K95" i="39"/>
  <c r="L95" i="39" s="1"/>
  <c r="M95" i="39" s="1"/>
  <c r="K189" i="39"/>
  <c r="L189" i="39" s="1"/>
  <c r="M189" i="39" s="1"/>
  <c r="K251" i="39"/>
  <c r="L251" i="39" s="1"/>
  <c r="M251" i="39" s="1"/>
  <c r="K202" i="39"/>
  <c r="L202" i="39" s="1"/>
  <c r="M202" i="39" s="1"/>
  <c r="K235" i="39"/>
  <c r="L235" i="39" s="1"/>
  <c r="M235" i="39" s="1"/>
  <c r="K67" i="39"/>
  <c r="L67" i="39" s="1"/>
  <c r="M67" i="39" s="1"/>
  <c r="K97" i="39"/>
  <c r="L97" i="39" s="1"/>
  <c r="M97" i="39" s="1"/>
  <c r="K175" i="39"/>
  <c r="L175" i="39" s="1"/>
  <c r="M175" i="39" s="1"/>
  <c r="K135" i="39"/>
  <c r="L135" i="39" s="1"/>
  <c r="M135" i="39" s="1"/>
  <c r="K130" i="39"/>
  <c r="L130" i="39" s="1"/>
  <c r="M130" i="39" s="1"/>
  <c r="K24" i="39"/>
  <c r="L24" i="39" s="1"/>
  <c r="M24" i="39" s="1"/>
  <c r="K92" i="39"/>
  <c r="L92" i="39" s="1"/>
  <c r="M92" i="39" s="1"/>
  <c r="K265" i="39"/>
  <c r="L265" i="39" s="1"/>
  <c r="M265" i="39" s="1"/>
  <c r="K44" i="39"/>
  <c r="L44" i="39" s="1"/>
  <c r="M44" i="39" s="1"/>
  <c r="K201" i="39"/>
  <c r="L201" i="39" s="1"/>
  <c r="M201" i="39" s="1"/>
  <c r="K128" i="39"/>
  <c r="L128" i="39" s="1"/>
  <c r="M128" i="39" s="1"/>
  <c r="K35" i="39"/>
  <c r="L35" i="39" s="1"/>
  <c r="M35" i="39" s="1"/>
  <c r="K28" i="39"/>
  <c r="L28" i="39" s="1"/>
  <c r="M28" i="39" s="1"/>
  <c r="K290" i="39"/>
  <c r="L290" i="39" s="1"/>
  <c r="M290" i="39" s="1"/>
  <c r="K23" i="39"/>
  <c r="L23" i="39" s="1"/>
  <c r="M23" i="39" s="1"/>
  <c r="K228" i="39"/>
  <c r="L228" i="39" s="1"/>
  <c r="M228" i="39" s="1"/>
  <c r="K249" i="39"/>
  <c r="L249" i="39" s="1"/>
  <c r="M249" i="39" s="1"/>
  <c r="K307" i="39"/>
  <c r="L307" i="39" s="1"/>
  <c r="M307" i="39" s="1"/>
  <c r="K198" i="39"/>
  <c r="L198" i="39" s="1"/>
  <c r="M198" i="39" s="1"/>
  <c r="K18" i="39"/>
  <c r="L18" i="39" s="1"/>
  <c r="M18" i="39" s="1"/>
  <c r="K149" i="39"/>
  <c r="L149" i="39" s="1"/>
  <c r="M149" i="39" s="1"/>
  <c r="K82" i="39"/>
  <c r="L82" i="39" s="1"/>
  <c r="M82" i="39" s="1"/>
  <c r="K100" i="39"/>
  <c r="L100" i="39" s="1"/>
  <c r="M100" i="39" s="1"/>
  <c r="K259" i="39"/>
  <c r="L259" i="39" s="1"/>
  <c r="M259" i="39" s="1"/>
  <c r="K51" i="39"/>
  <c r="L51" i="39" s="1"/>
  <c r="M51" i="39" s="1"/>
  <c r="K299" i="39"/>
  <c r="L299" i="39" s="1"/>
  <c r="M299" i="39" s="1"/>
  <c r="K113" i="39"/>
  <c r="L113" i="39" s="1"/>
  <c r="M113" i="39" s="1"/>
  <c r="K237" i="39"/>
  <c r="L237" i="39" s="1"/>
  <c r="M237" i="39" s="1"/>
  <c r="K64" i="39"/>
  <c r="L64" i="39" s="1"/>
  <c r="M64" i="39" s="1"/>
  <c r="K306" i="39"/>
  <c r="L306" i="39" s="1"/>
  <c r="M306" i="39" s="1"/>
  <c r="K280" i="39"/>
  <c r="L280" i="39" s="1"/>
  <c r="M280" i="39" s="1"/>
  <c r="K59" i="39"/>
  <c r="L59" i="39" s="1"/>
  <c r="M59" i="39" s="1"/>
  <c r="K138" i="39"/>
  <c r="L138" i="39" s="1"/>
  <c r="M138" i="39" s="1"/>
  <c r="K294" i="39"/>
  <c r="L294" i="39" s="1"/>
  <c r="M294" i="39" s="1"/>
  <c r="K289" i="39"/>
  <c r="L289" i="39" s="1"/>
  <c r="M289" i="39" s="1"/>
  <c r="K71" i="39"/>
  <c r="L71" i="39" s="1"/>
  <c r="M71" i="39" s="1"/>
  <c r="K254" i="39"/>
  <c r="L254" i="39" s="1"/>
  <c r="M254" i="39" s="1"/>
  <c r="K186" i="39"/>
  <c r="L186" i="39" s="1"/>
  <c r="M186" i="39" s="1"/>
  <c r="K314" i="39"/>
  <c r="L314" i="39" s="1"/>
  <c r="M314" i="39" s="1"/>
  <c r="K276" i="39"/>
  <c r="L276" i="39" s="1"/>
  <c r="M276" i="39" s="1"/>
  <c r="K120" i="39"/>
  <c r="L120" i="39" s="1"/>
  <c r="M120" i="39" s="1"/>
  <c r="K169" i="39"/>
  <c r="L169" i="39" s="1"/>
  <c r="M169" i="39" s="1"/>
  <c r="K191" i="39"/>
  <c r="L191" i="39" s="1"/>
  <c r="M191" i="39" s="1"/>
  <c r="K193" i="39"/>
  <c r="L193" i="39" s="1"/>
  <c r="M193" i="39" s="1"/>
  <c r="K102" i="39"/>
  <c r="L102" i="39" s="1"/>
  <c r="M102" i="39" s="1"/>
  <c r="K17" i="39"/>
  <c r="L17" i="39" s="1"/>
  <c r="M17" i="39" s="1"/>
  <c r="K231" i="39"/>
  <c r="L231" i="39" s="1"/>
  <c r="M231" i="39" s="1"/>
  <c r="K160" i="39"/>
  <c r="L160" i="39" s="1"/>
  <c r="M160" i="39" s="1"/>
  <c r="K63" i="39"/>
  <c r="L63" i="39" s="1"/>
  <c r="M63" i="39" s="1"/>
  <c r="K170" i="39"/>
  <c r="L170" i="39" s="1"/>
  <c r="M170" i="39" s="1"/>
  <c r="K272" i="39"/>
  <c r="L272" i="39" s="1"/>
  <c r="M272" i="39" s="1"/>
  <c r="K26" i="39"/>
  <c r="L26" i="39" s="1"/>
  <c r="M26" i="39" s="1"/>
  <c r="K109" i="39"/>
  <c r="L109" i="39" s="1"/>
  <c r="M109" i="39" s="1"/>
  <c r="K76" i="39"/>
  <c r="L76" i="39" s="1"/>
  <c r="M76" i="39" s="1"/>
  <c r="K158" i="39"/>
  <c r="L158" i="39" s="1"/>
  <c r="M158" i="39" s="1"/>
  <c r="K166" i="39"/>
  <c r="L166" i="39" s="1"/>
  <c r="M166" i="39" s="1"/>
  <c r="K263" i="39"/>
  <c r="L263" i="39" s="1"/>
  <c r="M263" i="39" s="1"/>
  <c r="K27" i="39"/>
  <c r="L27" i="39" s="1"/>
  <c r="M27" i="39" s="1"/>
  <c r="K197" i="39"/>
  <c r="L197" i="39" s="1"/>
  <c r="M197" i="39" s="1"/>
  <c r="K304" i="39"/>
  <c r="L304" i="39" s="1"/>
  <c r="M304" i="39" s="1"/>
  <c r="K184" i="39"/>
  <c r="L184" i="39" s="1"/>
  <c r="M184" i="39" s="1"/>
  <c r="K246" i="39"/>
  <c r="L246" i="39" s="1"/>
  <c r="M246" i="39" s="1"/>
  <c r="K295" i="39"/>
  <c r="L295" i="39" s="1"/>
  <c r="M295" i="39" s="1"/>
  <c r="K123" i="39"/>
  <c r="L123" i="39" s="1"/>
  <c r="M123" i="39" s="1"/>
  <c r="K36" i="39"/>
  <c r="L36" i="39" s="1"/>
  <c r="M36" i="39" s="1"/>
  <c r="K14" i="39"/>
  <c r="L14" i="39" s="1"/>
  <c r="M14" i="39" s="1"/>
  <c r="K74" i="39"/>
  <c r="L74" i="39" s="1"/>
  <c r="M74" i="39" s="1"/>
  <c r="K75" i="39"/>
  <c r="L75" i="39" s="1"/>
  <c r="M75" i="39" s="1"/>
  <c r="K47" i="39"/>
  <c r="L47" i="39" s="1"/>
  <c r="M47" i="39" s="1"/>
  <c r="K31" i="39"/>
  <c r="L31" i="39" s="1"/>
  <c r="M31" i="39" s="1"/>
  <c r="K146" i="39"/>
  <c r="L146" i="39" s="1"/>
  <c r="M146" i="39" s="1"/>
  <c r="K224" i="39"/>
  <c r="L224" i="39" s="1"/>
  <c r="M224" i="39" s="1"/>
  <c r="K72" i="39"/>
  <c r="L72" i="39" s="1"/>
  <c r="M72" i="39" s="1"/>
  <c r="K150" i="39"/>
  <c r="L150" i="39" s="1"/>
  <c r="M150" i="39" s="1"/>
  <c r="K168" i="39"/>
  <c r="L168" i="39" s="1"/>
  <c r="M168" i="39" s="1"/>
  <c r="K110" i="39"/>
  <c r="L110" i="39" s="1"/>
  <c r="M110" i="39" s="1"/>
  <c r="K41" i="39"/>
  <c r="L41" i="39" s="1"/>
  <c r="M41" i="39" s="1"/>
  <c r="K83" i="39"/>
  <c r="L83" i="39" s="1"/>
  <c r="M83" i="39" s="1"/>
  <c r="K10" i="39"/>
  <c r="L10" i="39" s="1"/>
  <c r="M10" i="39" s="1"/>
  <c r="K86" i="39"/>
  <c r="L86" i="39" s="1"/>
  <c r="M86" i="39" s="1"/>
  <c r="K108" i="39"/>
  <c r="L108" i="39" s="1"/>
  <c r="M108" i="39" s="1"/>
  <c r="K87" i="39"/>
  <c r="L87" i="39" s="1"/>
  <c r="M87" i="39" s="1"/>
  <c r="K190" i="39"/>
  <c r="L190" i="39" s="1"/>
  <c r="M190" i="39" s="1"/>
  <c r="K117" i="39"/>
  <c r="L117" i="39" s="1"/>
  <c r="M117" i="39" s="1"/>
  <c r="K220" i="39"/>
  <c r="L220" i="39" s="1"/>
  <c r="M220" i="39" s="1"/>
  <c r="K116" i="39"/>
  <c r="L116" i="39" s="1"/>
  <c r="M116" i="39" s="1"/>
  <c r="K217" i="39"/>
  <c r="L217" i="39" s="1"/>
  <c r="M217" i="39" s="1"/>
  <c r="K132" i="39"/>
  <c r="L132" i="39" s="1"/>
  <c r="M132" i="39" s="1"/>
  <c r="K104" i="39"/>
  <c r="L104" i="39" s="1"/>
  <c r="M104" i="39" s="1"/>
  <c r="K152" i="39"/>
  <c r="L152" i="39" s="1"/>
  <c r="M152" i="39" s="1"/>
  <c r="K156" i="39"/>
  <c r="L156" i="39" s="1"/>
  <c r="M156" i="39" s="1"/>
  <c r="K103" i="39"/>
  <c r="L103" i="39" s="1"/>
  <c r="M103" i="39" s="1"/>
  <c r="K39" i="39"/>
  <c r="L39" i="39" s="1"/>
  <c r="M39" i="39" s="1"/>
  <c r="K171" i="39"/>
  <c r="L171" i="39" s="1"/>
  <c r="M171" i="39" s="1"/>
  <c r="K40" i="39"/>
  <c r="L40" i="39" s="1"/>
  <c r="M40" i="39" s="1"/>
  <c r="K200" i="39"/>
  <c r="L200" i="39" s="1"/>
  <c r="M200" i="39" s="1"/>
  <c r="K264" i="39"/>
  <c r="L264" i="39" s="1"/>
  <c r="M264" i="39" s="1"/>
  <c r="K209" i="39"/>
  <c r="L209" i="39" s="1"/>
  <c r="M209" i="39" s="1"/>
  <c r="K124" i="39"/>
  <c r="L124" i="39" s="1"/>
  <c r="M124" i="39" s="1"/>
  <c r="K279" i="39"/>
  <c r="L279" i="39" s="1"/>
  <c r="M279" i="39" s="1"/>
  <c r="K5" i="39"/>
  <c r="L5" i="39" s="1"/>
  <c r="M5" i="39" s="1"/>
  <c r="N271" i="38"/>
  <c r="K262" i="37"/>
  <c r="L262" i="37" s="1"/>
  <c r="M262" i="37" s="1"/>
  <c r="N262" i="37" s="1"/>
  <c r="K290" i="37"/>
  <c r="L290" i="37" s="1"/>
  <c r="M290" i="37" s="1"/>
  <c r="N290" i="37" s="1"/>
  <c r="K157" i="37"/>
  <c r="L157" i="37" s="1"/>
  <c r="M157" i="37" s="1"/>
  <c r="N157" i="37" s="1"/>
  <c r="K152" i="37"/>
  <c r="L152" i="37" s="1"/>
  <c r="M152" i="37" s="1"/>
  <c r="N152" i="37" s="1"/>
  <c r="K13" i="37"/>
  <c r="L13" i="37" s="1"/>
  <c r="M13" i="37" s="1"/>
  <c r="N13" i="37" s="1"/>
  <c r="K9" i="37"/>
  <c r="L9" i="37" s="1"/>
  <c r="M9" i="37" s="1"/>
  <c r="N9" i="37" s="1"/>
  <c r="K42" i="37"/>
  <c r="L42" i="37" s="1"/>
  <c r="M42" i="37" s="1"/>
  <c r="N42" i="37" s="1"/>
  <c r="K173" i="37"/>
  <c r="L173" i="37" s="1"/>
  <c r="M173" i="37" s="1"/>
  <c r="N173" i="37" s="1"/>
  <c r="K300" i="37"/>
  <c r="L300" i="37" s="1"/>
  <c r="M300" i="37" s="1"/>
  <c r="N300" i="37" s="1"/>
  <c r="K79" i="37"/>
  <c r="L79" i="37" s="1"/>
  <c r="M79" i="37" s="1"/>
  <c r="N79" i="37" s="1"/>
  <c r="K219" i="37"/>
  <c r="L219" i="37" s="1"/>
  <c r="M219" i="37" s="1"/>
  <c r="N219" i="37" s="1"/>
  <c r="K244" i="37"/>
  <c r="L244" i="37" s="1"/>
  <c r="M244" i="37" s="1"/>
  <c r="N244" i="37" s="1"/>
  <c r="K195" i="37"/>
  <c r="L195" i="37" s="1"/>
  <c r="M195" i="37" s="1"/>
  <c r="N195" i="37" s="1"/>
  <c r="K293" i="37"/>
  <c r="L293" i="37" s="1"/>
  <c r="M293" i="37" s="1"/>
  <c r="N293" i="37" s="1"/>
  <c r="K160" i="37"/>
  <c r="L160" i="37" s="1"/>
  <c r="M160" i="37" s="1"/>
  <c r="N160" i="37" s="1"/>
  <c r="K280" i="37"/>
  <c r="L280" i="37" s="1"/>
  <c r="M280" i="37" s="1"/>
  <c r="N280" i="37" s="1"/>
  <c r="K286" i="37"/>
  <c r="L286" i="37" s="1"/>
  <c r="M286" i="37" s="1"/>
  <c r="N286" i="37" s="1"/>
  <c r="K161" i="37"/>
  <c r="L161" i="37" s="1"/>
  <c r="M161" i="37" s="1"/>
  <c r="N161" i="37" s="1"/>
  <c r="K288" i="37"/>
  <c r="L288" i="37" s="1"/>
  <c r="M288" i="37" s="1"/>
  <c r="N288" i="37" s="1"/>
  <c r="K28" i="37"/>
  <c r="L28" i="37" s="1"/>
  <c r="M28" i="37" s="1"/>
  <c r="N28" i="37" s="1"/>
  <c r="K251" i="37"/>
  <c r="L251" i="37" s="1"/>
  <c r="M251" i="37" s="1"/>
  <c r="N251" i="37" s="1"/>
  <c r="K134" i="37"/>
  <c r="L134" i="37" s="1"/>
  <c r="M134" i="37" s="1"/>
  <c r="N134" i="37" s="1"/>
  <c r="K313" i="37"/>
  <c r="L313" i="37" s="1"/>
  <c r="M313" i="37" s="1"/>
  <c r="N313" i="37" s="1"/>
  <c r="K249" i="37"/>
  <c r="L249" i="37" s="1"/>
  <c r="M249" i="37" s="1"/>
  <c r="N249" i="37" s="1"/>
  <c r="K119" i="37"/>
  <c r="L119" i="37" s="1"/>
  <c r="M119" i="37" s="1"/>
  <c r="N119" i="37" s="1"/>
  <c r="K204" i="37"/>
  <c r="L204" i="37" s="1"/>
  <c r="M204" i="37" s="1"/>
  <c r="N204" i="37" s="1"/>
  <c r="K259" i="37"/>
  <c r="L259" i="37" s="1"/>
  <c r="M259" i="37" s="1"/>
  <c r="N259" i="37" s="1"/>
  <c r="K86" i="37"/>
  <c r="L86" i="37" s="1"/>
  <c r="M86" i="37" s="1"/>
  <c r="N86" i="37" s="1"/>
  <c r="K32" i="37"/>
  <c r="L32" i="37" s="1"/>
  <c r="M32" i="37" s="1"/>
  <c r="N32" i="37" s="1"/>
  <c r="K108" i="37"/>
  <c r="L108" i="37" s="1"/>
  <c r="M108" i="37" s="1"/>
  <c r="N108" i="37" s="1"/>
  <c r="K276" i="37"/>
  <c r="L276" i="37" s="1"/>
  <c r="M276" i="37" s="1"/>
  <c r="N276" i="37" s="1"/>
  <c r="K151" i="37"/>
  <c r="L151" i="37" s="1"/>
  <c r="M151" i="37" s="1"/>
  <c r="N151" i="37" s="1"/>
  <c r="K242" i="37"/>
  <c r="L242" i="37" s="1"/>
  <c r="M242" i="37" s="1"/>
  <c r="N242" i="37" s="1"/>
  <c r="K301" i="37"/>
  <c r="L301" i="37" s="1"/>
  <c r="M301" i="37" s="1"/>
  <c r="N301" i="37" s="1"/>
  <c r="K269" i="37"/>
  <c r="L269" i="37" s="1"/>
  <c r="M269" i="37" s="1"/>
  <c r="N269" i="37" s="1"/>
  <c r="K215" i="37"/>
  <c r="L215" i="37" s="1"/>
  <c r="M215" i="37" s="1"/>
  <c r="N215" i="37" s="1"/>
  <c r="K179" i="37"/>
  <c r="L179" i="37" s="1"/>
  <c r="M179" i="37" s="1"/>
  <c r="N179" i="37" s="1"/>
  <c r="K147" i="37"/>
  <c r="L147" i="37" s="1"/>
  <c r="M147" i="37" s="1"/>
  <c r="N147" i="37" s="1"/>
  <c r="K63" i="37"/>
  <c r="L63" i="37" s="1"/>
  <c r="M63" i="37" s="1"/>
  <c r="N63" i="37" s="1"/>
  <c r="K263" i="37"/>
  <c r="L263" i="37" s="1"/>
  <c r="M263" i="37" s="1"/>
  <c r="N263" i="37" s="1"/>
  <c r="K309" i="37"/>
  <c r="L309" i="37" s="1"/>
  <c r="M309" i="37" s="1"/>
  <c r="N309" i="37" s="1"/>
  <c r="K246" i="37"/>
  <c r="L246" i="37" s="1"/>
  <c r="M246" i="37" s="1"/>
  <c r="N246" i="37" s="1"/>
  <c r="K297" i="37"/>
  <c r="L297" i="37" s="1"/>
  <c r="M297" i="37" s="1"/>
  <c r="N297" i="37" s="1"/>
  <c r="K256" i="37"/>
  <c r="L256" i="37" s="1"/>
  <c r="M256" i="37" s="1"/>
  <c r="N256" i="37" s="1"/>
  <c r="K308" i="37"/>
  <c r="L308" i="37" s="1"/>
  <c r="M308" i="37" s="1"/>
  <c r="N308" i="37" s="1"/>
  <c r="K273" i="37"/>
  <c r="L273" i="37" s="1"/>
  <c r="M273" i="37" s="1"/>
  <c r="N273" i="37" s="1"/>
  <c r="K255" i="37"/>
  <c r="L255" i="37" s="1"/>
  <c r="M255" i="37" s="1"/>
  <c r="N255" i="37" s="1"/>
  <c r="K64" i="37"/>
  <c r="L64" i="37" s="1"/>
  <c r="M64" i="37" s="1"/>
  <c r="N64" i="37" s="1"/>
  <c r="K248" i="37"/>
  <c r="L248" i="37" s="1"/>
  <c r="M248" i="37" s="1"/>
  <c r="N248" i="37" s="1"/>
  <c r="K68" i="37"/>
  <c r="L68" i="37" s="1"/>
  <c r="M68" i="37" s="1"/>
  <c r="N68" i="37" s="1"/>
  <c r="K52" i="37"/>
  <c r="L52" i="37" s="1"/>
  <c r="M52" i="37" s="1"/>
  <c r="N52" i="37" s="1"/>
  <c r="K156" i="37"/>
  <c r="L156" i="37" s="1"/>
  <c r="M156" i="37" s="1"/>
  <c r="N156" i="37" s="1"/>
  <c r="K253" i="37"/>
  <c r="L253" i="37" s="1"/>
  <c r="M253" i="37" s="1"/>
  <c r="N253" i="37" s="1"/>
  <c r="K258" i="37"/>
  <c r="L258" i="37" s="1"/>
  <c r="M258" i="37" s="1"/>
  <c r="N258" i="37" s="1"/>
  <c r="K257" i="37"/>
  <c r="L257" i="37" s="1"/>
  <c r="M257" i="37" s="1"/>
  <c r="N257" i="37" s="1"/>
  <c r="K305" i="37"/>
  <c r="L305" i="37" s="1"/>
  <c r="M305" i="37" s="1"/>
  <c r="N305" i="37" s="1"/>
  <c r="K135" i="37"/>
  <c r="L135" i="37" s="1"/>
  <c r="M135" i="37" s="1"/>
  <c r="N135" i="37" s="1"/>
  <c r="K56" i="37"/>
  <c r="L56" i="37" s="1"/>
  <c r="M56" i="37" s="1"/>
  <c r="N56" i="37" s="1"/>
  <c r="K5" i="37"/>
  <c r="L5" i="37" s="1"/>
  <c r="M5" i="37" s="1"/>
  <c r="N5" i="37" s="1"/>
  <c r="K181" i="37"/>
  <c r="L181" i="37" s="1"/>
  <c r="M181" i="37" s="1"/>
  <c r="N181" i="37" s="1"/>
  <c r="K279" i="37"/>
  <c r="L279" i="37" s="1"/>
  <c r="M279" i="37" s="1"/>
  <c r="N279" i="37" s="1"/>
  <c r="K150" i="37"/>
  <c r="L150" i="37" s="1"/>
  <c r="M150" i="37" s="1"/>
  <c r="N150" i="37" s="1"/>
  <c r="K136" i="37"/>
  <c r="L136" i="37" s="1"/>
  <c r="M136" i="37" s="1"/>
  <c r="N136" i="37" s="1"/>
  <c r="K284" i="37"/>
  <c r="L284" i="37" s="1"/>
  <c r="M284" i="37" s="1"/>
  <c r="N284" i="37" s="1"/>
  <c r="K76" i="37"/>
  <c r="L76" i="37" s="1"/>
  <c r="M76" i="37" s="1"/>
  <c r="N76" i="37" s="1"/>
  <c r="K50" i="37"/>
  <c r="L50" i="37" s="1"/>
  <c r="M50" i="37" s="1"/>
  <c r="N50" i="37" s="1"/>
  <c r="K189" i="37"/>
  <c r="L189" i="37" s="1"/>
  <c r="M189" i="37" s="1"/>
  <c r="N189" i="37" s="1"/>
  <c r="K7" i="37"/>
  <c r="L7" i="37" s="1"/>
  <c r="M7" i="37" s="1"/>
  <c r="N7" i="37" s="1"/>
  <c r="K224" i="37"/>
  <c r="L224" i="37" s="1"/>
  <c r="M224" i="37" s="1"/>
  <c r="N224" i="37" s="1"/>
  <c r="K70" i="37"/>
  <c r="L70" i="37" s="1"/>
  <c r="M70" i="37" s="1"/>
  <c r="N70" i="37" s="1"/>
  <c r="K62" i="37"/>
  <c r="L62" i="37" s="1"/>
  <c r="M62" i="37" s="1"/>
  <c r="N62" i="37" s="1"/>
  <c r="K212" i="37"/>
  <c r="L212" i="37" s="1"/>
  <c r="M212" i="37" s="1"/>
  <c r="N212" i="37" s="1"/>
  <c r="K67" i="37"/>
  <c r="L67" i="37" s="1"/>
  <c r="M67" i="37" s="1"/>
  <c r="N67" i="37" s="1"/>
  <c r="K91" i="37"/>
  <c r="L91" i="37" s="1"/>
  <c r="M91" i="37" s="1"/>
  <c r="N91" i="37" s="1"/>
  <c r="K210" i="37"/>
  <c r="L210" i="37" s="1"/>
  <c r="M210" i="37" s="1"/>
  <c r="N210" i="37" s="1"/>
  <c r="K132" i="37"/>
  <c r="L132" i="37" s="1"/>
  <c r="M132" i="37" s="1"/>
  <c r="N132" i="37" s="1"/>
  <c r="K126" i="37"/>
  <c r="L126" i="37" s="1"/>
  <c r="M126" i="37" s="1"/>
  <c r="N126" i="37" s="1"/>
  <c r="K254" i="37"/>
  <c r="L254" i="37" s="1"/>
  <c r="M254" i="37" s="1"/>
  <c r="N254" i="37" s="1"/>
  <c r="K20" i="37"/>
  <c r="L20" i="37" s="1"/>
  <c r="M20" i="37" s="1"/>
  <c r="N20" i="37" s="1"/>
  <c r="K25" i="37"/>
  <c r="L25" i="37" s="1"/>
  <c r="M25" i="37" s="1"/>
  <c r="N25" i="37" s="1"/>
  <c r="K128" i="37"/>
  <c r="L128" i="37" s="1"/>
  <c r="M128" i="37" s="1"/>
  <c r="N128" i="37" s="1"/>
  <c r="K37" i="37"/>
  <c r="L37" i="37" s="1"/>
  <c r="M37" i="37" s="1"/>
  <c r="N37" i="37" s="1"/>
  <c r="K89" i="37"/>
  <c r="L89" i="37" s="1"/>
  <c r="M89" i="37" s="1"/>
  <c r="N89" i="37" s="1"/>
  <c r="K172" i="37"/>
  <c r="L172" i="37" s="1"/>
  <c r="M172" i="37" s="1"/>
  <c r="N172" i="37" s="1"/>
  <c r="K144" i="37"/>
  <c r="L144" i="37" s="1"/>
  <c r="M144" i="37" s="1"/>
  <c r="N144" i="37" s="1"/>
  <c r="K165" i="37"/>
  <c r="L165" i="37" s="1"/>
  <c r="M165" i="37" s="1"/>
  <c r="N165" i="37" s="1"/>
  <c r="K112" i="37"/>
  <c r="L112" i="37" s="1"/>
  <c r="M112" i="37" s="1"/>
  <c r="N112" i="37" s="1"/>
  <c r="K60" i="37"/>
  <c r="L60" i="37" s="1"/>
  <c r="M60" i="37" s="1"/>
  <c r="N60" i="37" s="1"/>
  <c r="K140" i="37"/>
  <c r="L140" i="37" s="1"/>
  <c r="M140" i="37" s="1"/>
  <c r="N140" i="37" s="1"/>
  <c r="K177" i="37"/>
  <c r="L177" i="37" s="1"/>
  <c r="M177" i="37" s="1"/>
  <c r="N177" i="37" s="1"/>
  <c r="K261" i="37"/>
  <c r="L261" i="37" s="1"/>
  <c r="M261" i="37" s="1"/>
  <c r="N261" i="37" s="1"/>
  <c r="K188" i="37"/>
  <c r="L188" i="37" s="1"/>
  <c r="M188" i="37" s="1"/>
  <c r="N188" i="37" s="1"/>
  <c r="K35" i="37"/>
  <c r="L35" i="37" s="1"/>
  <c r="M35" i="37" s="1"/>
  <c r="N35" i="37" s="1"/>
  <c r="K74" i="37"/>
  <c r="L74" i="37" s="1"/>
  <c r="M74" i="37" s="1"/>
  <c r="N74" i="37" s="1"/>
  <c r="K272" i="37"/>
  <c r="L272" i="37" s="1"/>
  <c r="M272" i="37" s="1"/>
  <c r="N272" i="37" s="1"/>
  <c r="K24" i="37"/>
  <c r="L24" i="37" s="1"/>
  <c r="M24" i="37" s="1"/>
  <c r="N24" i="37" s="1"/>
  <c r="K92" i="37"/>
  <c r="L92" i="37" s="1"/>
  <c r="M92" i="37" s="1"/>
  <c r="N92" i="37" s="1"/>
  <c r="K66" i="37"/>
  <c r="L66" i="37" s="1"/>
  <c r="M66" i="37" s="1"/>
  <c r="N66" i="37" s="1"/>
  <c r="K11" i="37"/>
  <c r="L11" i="37" s="1"/>
  <c r="M11" i="37" s="1"/>
  <c r="N11" i="37" s="1"/>
  <c r="K8" i="37"/>
  <c r="L8" i="37" s="1"/>
  <c r="M8" i="37" s="1"/>
  <c r="N8" i="37" s="1"/>
  <c r="K168" i="37"/>
  <c r="L168" i="37" s="1"/>
  <c r="M168" i="37" s="1"/>
  <c r="N168" i="37" s="1"/>
  <c r="K59" i="37"/>
  <c r="L59" i="37" s="1"/>
  <c r="M59" i="37" s="1"/>
  <c r="N59" i="37" s="1"/>
  <c r="K265" i="37"/>
  <c r="L265" i="37" s="1"/>
  <c r="M265" i="37" s="1"/>
  <c r="N265" i="37" s="1"/>
  <c r="K80" i="37"/>
  <c r="L80" i="37" s="1"/>
  <c r="M80" i="37" s="1"/>
  <c r="N80" i="37" s="1"/>
  <c r="K47" i="37"/>
  <c r="L47" i="37" s="1"/>
  <c r="M47" i="37" s="1"/>
  <c r="N47" i="37" s="1"/>
  <c r="K208" i="37"/>
  <c r="L208" i="37" s="1"/>
  <c r="M208" i="37" s="1"/>
  <c r="N208" i="37" s="1"/>
  <c r="K169" i="37"/>
  <c r="L169" i="37" s="1"/>
  <c r="M169" i="37" s="1"/>
  <c r="N169" i="37" s="1"/>
  <c r="K148" i="37"/>
  <c r="L148" i="37" s="1"/>
  <c r="M148" i="37" s="1"/>
  <c r="N148" i="37" s="1"/>
  <c r="K12" i="37"/>
  <c r="L12" i="37" s="1"/>
  <c r="M12" i="37" s="1"/>
  <c r="N12" i="37" s="1"/>
  <c r="K23" i="37"/>
  <c r="L23" i="37" s="1"/>
  <c r="M23" i="37" s="1"/>
  <c r="N23" i="37" s="1"/>
  <c r="K170" i="37"/>
  <c r="L170" i="37" s="1"/>
  <c r="M170" i="37" s="1"/>
  <c r="N170" i="37" s="1"/>
  <c r="K193" i="37"/>
  <c r="L193" i="37" s="1"/>
  <c r="M193" i="37" s="1"/>
  <c r="N193" i="37" s="1"/>
  <c r="K197" i="37"/>
  <c r="L197" i="37" s="1"/>
  <c r="M197" i="37" s="1"/>
  <c r="N197" i="37" s="1"/>
  <c r="K16" i="37"/>
  <c r="L16" i="37" s="1"/>
  <c r="M16" i="37" s="1"/>
  <c r="N16" i="37" s="1"/>
  <c r="K19" i="37"/>
  <c r="L19" i="37" s="1"/>
  <c r="M19" i="37" s="1"/>
  <c r="N19" i="37" s="1"/>
  <c r="K104" i="37"/>
  <c r="L104" i="37" s="1"/>
  <c r="M104" i="37" s="1"/>
  <c r="N104" i="37" s="1"/>
  <c r="K281" i="37"/>
  <c r="L281" i="37" s="1"/>
  <c r="M281" i="37" s="1"/>
  <c r="N281" i="37" s="1"/>
  <c r="K15" i="37"/>
  <c r="L15" i="37" s="1"/>
  <c r="M15" i="37" s="1"/>
  <c r="N15" i="37" s="1"/>
  <c r="K252" i="37"/>
  <c r="L252" i="37" s="1"/>
  <c r="M252" i="37" s="1"/>
  <c r="N252" i="37" s="1"/>
  <c r="K234" i="37"/>
  <c r="L234" i="37" s="1"/>
  <c r="M234" i="37" s="1"/>
  <c r="N234" i="37" s="1"/>
  <c r="K75" i="37"/>
  <c r="L75" i="37" s="1"/>
  <c r="M75" i="37" s="1"/>
  <c r="N75" i="37" s="1"/>
  <c r="K142" i="37"/>
  <c r="L142" i="37" s="1"/>
  <c r="M142" i="37" s="1"/>
  <c r="N142" i="37" s="1"/>
  <c r="K71" i="37"/>
  <c r="L71" i="37" s="1"/>
  <c r="M71" i="37" s="1"/>
  <c r="N71" i="37" s="1"/>
  <c r="K129" i="37"/>
  <c r="L129" i="37" s="1"/>
  <c r="M129" i="37" s="1"/>
  <c r="N129" i="37" s="1"/>
  <c r="K26" i="37"/>
  <c r="L26" i="37" s="1"/>
  <c r="M26" i="37" s="1"/>
  <c r="N26" i="37" s="1"/>
  <c r="K283" i="37"/>
  <c r="L283" i="37" s="1"/>
  <c r="M283" i="37" s="1"/>
  <c r="N283" i="37" s="1"/>
  <c r="K58" i="37"/>
  <c r="L58" i="37" s="1"/>
  <c r="M58" i="37" s="1"/>
  <c r="N58" i="37" s="1"/>
  <c r="K81" i="37"/>
  <c r="L81" i="37" s="1"/>
  <c r="M81" i="37" s="1"/>
  <c r="N81" i="37" s="1"/>
  <c r="K36" i="37"/>
  <c r="L36" i="37" s="1"/>
  <c r="M36" i="37" s="1"/>
  <c r="N36" i="37" s="1"/>
  <c r="K96" i="37"/>
  <c r="L96" i="37" s="1"/>
  <c r="M96" i="37" s="1"/>
  <c r="N96" i="37" s="1"/>
  <c r="K232" i="37"/>
  <c r="L232" i="37" s="1"/>
  <c r="M232" i="37" s="1"/>
  <c r="N232" i="37" s="1"/>
  <c r="K93" i="37"/>
  <c r="L93" i="37" s="1"/>
  <c r="M93" i="37" s="1"/>
  <c r="N93" i="37" s="1"/>
  <c r="K267" i="37"/>
  <c r="L267" i="37" s="1"/>
  <c r="M267" i="37" s="1"/>
  <c r="N267" i="37" s="1"/>
  <c r="K217" i="37"/>
  <c r="L217" i="37" s="1"/>
  <c r="M217" i="37" s="1"/>
  <c r="N217" i="37" s="1"/>
  <c r="K133" i="37"/>
  <c r="L133" i="37" s="1"/>
  <c r="M133" i="37" s="1"/>
  <c r="N133" i="37" s="1"/>
  <c r="K216" i="37"/>
  <c r="L216" i="37" s="1"/>
  <c r="M216" i="37" s="1"/>
  <c r="N216" i="37" s="1"/>
  <c r="K186" i="37"/>
  <c r="L186" i="37" s="1"/>
  <c r="M186" i="37" s="1"/>
  <c r="N186" i="37" s="1"/>
  <c r="K77" i="37"/>
  <c r="L77" i="37" s="1"/>
  <c r="M77" i="37" s="1"/>
  <c r="N77" i="37" s="1"/>
  <c r="K228" i="37"/>
  <c r="L228" i="37" s="1"/>
  <c r="M228" i="37" s="1"/>
  <c r="N228" i="37" s="1"/>
  <c r="K236" i="37"/>
  <c r="L236" i="37" s="1"/>
  <c r="M236" i="37" s="1"/>
  <c r="N236" i="37" s="1"/>
  <c r="K316" i="37"/>
  <c r="L316" i="37" s="1"/>
  <c r="M316" i="37" s="1"/>
  <c r="N316" i="37" s="1"/>
  <c r="K311" i="37"/>
  <c r="L311" i="37" s="1"/>
  <c r="M311" i="37" s="1"/>
  <c r="N311" i="37" s="1"/>
  <c r="K213" i="37"/>
  <c r="L213" i="37" s="1"/>
  <c r="M213" i="37" s="1"/>
  <c r="N213" i="37" s="1"/>
  <c r="K99" i="37"/>
  <c r="L99" i="37" s="1"/>
  <c r="M99" i="37" s="1"/>
  <c r="N99" i="37" s="1"/>
  <c r="K194" i="37"/>
  <c r="L194" i="37" s="1"/>
  <c r="M194" i="37" s="1"/>
  <c r="N194" i="37" s="1"/>
  <c r="K196" i="37"/>
  <c r="L196" i="37" s="1"/>
  <c r="M196" i="37" s="1"/>
  <c r="N196" i="37" s="1"/>
  <c r="K65" i="37"/>
  <c r="L65" i="37" s="1"/>
  <c r="M65" i="37" s="1"/>
  <c r="N65" i="37" s="1"/>
  <c r="K158" i="37"/>
  <c r="L158" i="37" s="1"/>
  <c r="M158" i="37" s="1"/>
  <c r="N158" i="37" s="1"/>
  <c r="K29" i="37"/>
  <c r="L29" i="37" s="1"/>
  <c r="M29" i="37" s="1"/>
  <c r="N29" i="37" s="1"/>
  <c r="K247" i="37"/>
  <c r="L247" i="37" s="1"/>
  <c r="M247" i="37" s="1"/>
  <c r="N247" i="37" s="1"/>
  <c r="K174" i="37"/>
  <c r="L174" i="37" s="1"/>
  <c r="M174" i="37" s="1"/>
  <c r="N174" i="37" s="1"/>
  <c r="K164" i="37"/>
  <c r="L164" i="37" s="1"/>
  <c r="M164" i="37" s="1"/>
  <c r="N164" i="37" s="1"/>
  <c r="K237" i="37"/>
  <c r="L237" i="37" s="1"/>
  <c r="M237" i="37" s="1"/>
  <c r="N237" i="37" s="1"/>
  <c r="K278" i="37"/>
  <c r="L278" i="37" s="1"/>
  <c r="M278" i="37" s="1"/>
  <c r="N278" i="37" s="1"/>
  <c r="K239" i="37"/>
  <c r="L239" i="37" s="1"/>
  <c r="M239" i="37" s="1"/>
  <c r="N239" i="37" s="1"/>
  <c r="K175" i="37"/>
  <c r="L175" i="37" s="1"/>
  <c r="M175" i="37" s="1"/>
  <c r="N175" i="37" s="1"/>
  <c r="K120" i="37"/>
  <c r="L120" i="37" s="1"/>
  <c r="M120" i="37" s="1"/>
  <c r="N120" i="37" s="1"/>
  <c r="K226" i="37"/>
  <c r="L226" i="37" s="1"/>
  <c r="M226" i="37" s="1"/>
  <c r="N226" i="37" s="1"/>
  <c r="K199" i="37"/>
  <c r="L199" i="37" s="1"/>
  <c r="M199" i="37" s="1"/>
  <c r="N199" i="37" s="1"/>
  <c r="K139" i="37"/>
  <c r="L139" i="37" s="1"/>
  <c r="M139" i="37" s="1"/>
  <c r="N139" i="37" s="1"/>
  <c r="K130" i="37"/>
  <c r="L130" i="37" s="1"/>
  <c r="M130" i="37" s="1"/>
  <c r="N130" i="37" s="1"/>
  <c r="K203" i="37"/>
  <c r="L203" i="37" s="1"/>
  <c r="M203" i="37" s="1"/>
  <c r="N203" i="37" s="1"/>
  <c r="K22" i="37"/>
  <c r="L22" i="37" s="1"/>
  <c r="M22" i="37" s="1"/>
  <c r="N22" i="37" s="1"/>
  <c r="K220" i="37"/>
  <c r="L220" i="37" s="1"/>
  <c r="M220" i="37" s="1"/>
  <c r="N220" i="37" s="1"/>
  <c r="K159" i="37"/>
  <c r="L159" i="37" s="1"/>
  <c r="M159" i="37" s="1"/>
  <c r="N159" i="37" s="1"/>
  <c r="K34" i="37"/>
  <c r="L34" i="37" s="1"/>
  <c r="M34" i="37" s="1"/>
  <c r="N34" i="37" s="1"/>
  <c r="K198" i="37"/>
  <c r="L198" i="37" s="1"/>
  <c r="M198" i="37" s="1"/>
  <c r="N198" i="37" s="1"/>
  <c r="K117" i="37"/>
  <c r="L117" i="37" s="1"/>
  <c r="M117" i="37" s="1"/>
  <c r="N117" i="37" s="1"/>
  <c r="K110" i="37"/>
  <c r="L110" i="37" s="1"/>
  <c r="M110" i="37" s="1"/>
  <c r="N110" i="37" s="1"/>
  <c r="K102" i="37"/>
  <c r="L102" i="37" s="1"/>
  <c r="M102" i="37" s="1"/>
  <c r="N102" i="37" s="1"/>
  <c r="K84" i="37"/>
  <c r="L84" i="37" s="1"/>
  <c r="M84" i="37" s="1"/>
  <c r="N84" i="37" s="1"/>
  <c r="K115" i="37"/>
  <c r="L115" i="37" s="1"/>
  <c r="M115" i="37" s="1"/>
  <c r="N115" i="37" s="1"/>
  <c r="K260" i="37"/>
  <c r="L260" i="37" s="1"/>
  <c r="M260" i="37" s="1"/>
  <c r="N260" i="37" s="1"/>
  <c r="K121" i="37"/>
  <c r="L121" i="37" s="1"/>
  <c r="M121" i="37" s="1"/>
  <c r="N121" i="37" s="1"/>
  <c r="K162" i="37"/>
  <c r="L162" i="37" s="1"/>
  <c r="M162" i="37" s="1"/>
  <c r="N162" i="37" s="1"/>
  <c r="K53" i="37"/>
  <c r="L53" i="37" s="1"/>
  <c r="M53" i="37" s="1"/>
  <c r="N53" i="37" s="1"/>
  <c r="K30" i="37"/>
  <c r="L30" i="37" s="1"/>
  <c r="M30" i="37" s="1"/>
  <c r="N30" i="37" s="1"/>
  <c r="K4" i="37"/>
  <c r="K17" i="37"/>
  <c r="L17" i="37" s="1"/>
  <c r="M17" i="37" s="1"/>
  <c r="N17" i="37" s="1"/>
  <c r="K87" i="37"/>
  <c r="L87" i="37" s="1"/>
  <c r="M87" i="37" s="1"/>
  <c r="N87" i="37" s="1"/>
  <c r="K138" i="37"/>
  <c r="L138" i="37" s="1"/>
  <c r="M138" i="37" s="1"/>
  <c r="N138" i="37" s="1"/>
  <c r="K245" i="37"/>
  <c r="L245" i="37" s="1"/>
  <c r="M245" i="37" s="1"/>
  <c r="N245" i="37" s="1"/>
  <c r="K229" i="37"/>
  <c r="L229" i="37" s="1"/>
  <c r="M229" i="37" s="1"/>
  <c r="N229" i="37" s="1"/>
  <c r="K201" i="37"/>
  <c r="L201" i="37" s="1"/>
  <c r="M201" i="37" s="1"/>
  <c r="N201" i="37" s="1"/>
  <c r="K268" i="37"/>
  <c r="L268" i="37" s="1"/>
  <c r="M268" i="37" s="1"/>
  <c r="N268" i="37" s="1"/>
  <c r="K94" i="37"/>
  <c r="L94" i="37" s="1"/>
  <c r="M94" i="37" s="1"/>
  <c r="N94" i="37" s="1"/>
  <c r="K180" i="37"/>
  <c r="L180" i="37" s="1"/>
  <c r="M180" i="37" s="1"/>
  <c r="N180" i="37" s="1"/>
  <c r="K40" i="37"/>
  <c r="L40" i="37" s="1"/>
  <c r="M40" i="37" s="1"/>
  <c r="N40" i="37" s="1"/>
  <c r="K270" i="37"/>
  <c r="L270" i="37" s="1"/>
  <c r="M270" i="37" s="1"/>
  <c r="N270" i="37" s="1"/>
  <c r="K85" i="37"/>
  <c r="L85" i="37" s="1"/>
  <c r="M85" i="37" s="1"/>
  <c r="N85" i="37" s="1"/>
  <c r="K187" i="37"/>
  <c r="L187" i="37" s="1"/>
  <c r="M187" i="37" s="1"/>
  <c r="N187" i="37" s="1"/>
  <c r="K230" i="37"/>
  <c r="L230" i="37" s="1"/>
  <c r="M230" i="37" s="1"/>
  <c r="N230" i="37" s="1"/>
  <c r="K190" i="37"/>
  <c r="L190" i="37" s="1"/>
  <c r="M190" i="37" s="1"/>
  <c r="N190" i="37" s="1"/>
  <c r="K111" i="37"/>
  <c r="L111" i="37" s="1"/>
  <c r="M111" i="37" s="1"/>
  <c r="N111" i="37" s="1"/>
  <c r="K61" i="37"/>
  <c r="L61" i="37" s="1"/>
  <c r="M61" i="37" s="1"/>
  <c r="N61" i="37" s="1"/>
  <c r="K98" i="37"/>
  <c r="L98" i="37" s="1"/>
  <c r="M98" i="37" s="1"/>
  <c r="N98" i="37" s="1"/>
  <c r="K141" i="37"/>
  <c r="L141" i="37" s="1"/>
  <c r="M141" i="37" s="1"/>
  <c r="N141" i="37" s="1"/>
  <c r="K51" i="37"/>
  <c r="L51" i="37" s="1"/>
  <c r="M51" i="37" s="1"/>
  <c r="N51" i="37" s="1"/>
  <c r="K176" i="37"/>
  <c r="L176" i="37" s="1"/>
  <c r="M176" i="37" s="1"/>
  <c r="N176" i="37" s="1"/>
  <c r="K221" i="37"/>
  <c r="L221" i="37" s="1"/>
  <c r="M221" i="37" s="1"/>
  <c r="N221" i="37" s="1"/>
  <c r="K184" i="37"/>
  <c r="L184" i="37" s="1"/>
  <c r="M184" i="37" s="1"/>
  <c r="N184" i="37" s="1"/>
  <c r="K73" i="37"/>
  <c r="L73" i="37" s="1"/>
  <c r="M73" i="37" s="1"/>
  <c r="N73" i="37" s="1"/>
  <c r="K78" i="37"/>
  <c r="L78" i="37" s="1"/>
  <c r="M78" i="37" s="1"/>
  <c r="N78" i="37" s="1"/>
  <c r="K125" i="37"/>
  <c r="L125" i="37" s="1"/>
  <c r="M125" i="37" s="1"/>
  <c r="N125" i="37" s="1"/>
  <c r="K233" i="37"/>
  <c r="L233" i="37" s="1"/>
  <c r="M233" i="37" s="1"/>
  <c r="N233" i="37" s="1"/>
  <c r="K146" i="37"/>
  <c r="L146" i="37" s="1"/>
  <c r="M146" i="37" s="1"/>
  <c r="N146" i="37" s="1"/>
  <c r="K100" i="37"/>
  <c r="L100" i="37" s="1"/>
  <c r="M100" i="37" s="1"/>
  <c r="N100" i="37" s="1"/>
  <c r="K55" i="37"/>
  <c r="L55" i="37" s="1"/>
  <c r="M55" i="37" s="1"/>
  <c r="N55" i="37" s="1"/>
  <c r="K310" i="37"/>
  <c r="L310" i="37" s="1"/>
  <c r="M310" i="37" s="1"/>
  <c r="N310" i="37" s="1"/>
  <c r="K33" i="37"/>
  <c r="L33" i="37" s="1"/>
  <c r="M33" i="37" s="1"/>
  <c r="N33" i="37" s="1"/>
  <c r="K72" i="37"/>
  <c r="L72" i="37" s="1"/>
  <c r="M72" i="37" s="1"/>
  <c r="N72" i="37" s="1"/>
  <c r="K274" i="37"/>
  <c r="L274" i="37" s="1"/>
  <c r="M274" i="37" s="1"/>
  <c r="N274" i="37" s="1"/>
  <c r="K109" i="37"/>
  <c r="L109" i="37" s="1"/>
  <c r="M109" i="37" s="1"/>
  <c r="N109" i="37" s="1"/>
  <c r="K123" i="37"/>
  <c r="L123" i="37" s="1"/>
  <c r="M123" i="37" s="1"/>
  <c r="N123" i="37" s="1"/>
  <c r="K191" i="37"/>
  <c r="L191" i="37" s="1"/>
  <c r="M191" i="37" s="1"/>
  <c r="N191" i="37" s="1"/>
  <c r="K43" i="37"/>
  <c r="L43" i="37" s="1"/>
  <c r="M43" i="37" s="1"/>
  <c r="N43" i="37" s="1"/>
  <c r="K107" i="37"/>
  <c r="L107" i="37" s="1"/>
  <c r="M107" i="37" s="1"/>
  <c r="N107" i="37" s="1"/>
  <c r="K122" i="37"/>
  <c r="L122" i="37" s="1"/>
  <c r="M122" i="37" s="1"/>
  <c r="N122" i="37" s="1"/>
  <c r="K206" i="37"/>
  <c r="L206" i="37" s="1"/>
  <c r="M206" i="37" s="1"/>
  <c r="N206" i="37" s="1"/>
  <c r="K31" i="37"/>
  <c r="L31" i="37" s="1"/>
  <c r="M31" i="37" s="1"/>
  <c r="N31" i="37" s="1"/>
  <c r="K266" i="37"/>
  <c r="L266" i="37" s="1"/>
  <c r="M266" i="37" s="1"/>
  <c r="N266" i="37" s="1"/>
  <c r="K41" i="37"/>
  <c r="L41" i="37" s="1"/>
  <c r="M41" i="37" s="1"/>
  <c r="N41" i="37" s="1"/>
  <c r="K211" i="37"/>
  <c r="L211" i="37" s="1"/>
  <c r="M211" i="37" s="1"/>
  <c r="N211" i="37" s="1"/>
  <c r="K207" i="37"/>
  <c r="L207" i="37" s="1"/>
  <c r="M207" i="37" s="1"/>
  <c r="N207" i="37" s="1"/>
  <c r="K143" i="37"/>
  <c r="L143" i="37" s="1"/>
  <c r="M143" i="37" s="1"/>
  <c r="N143" i="37" s="1"/>
  <c r="K14" i="37"/>
  <c r="L14" i="37" s="1"/>
  <c r="M14" i="37" s="1"/>
  <c r="N14" i="37" s="1"/>
  <c r="K124" i="37"/>
  <c r="L124" i="37" s="1"/>
  <c r="M124" i="37" s="1"/>
  <c r="N124" i="37" s="1"/>
  <c r="K106" i="37"/>
  <c r="L106" i="37" s="1"/>
  <c r="M106" i="37" s="1"/>
  <c r="N106" i="37" s="1"/>
  <c r="K185" i="37"/>
  <c r="L185" i="37" s="1"/>
  <c r="M185" i="37" s="1"/>
  <c r="N185" i="37" s="1"/>
  <c r="K183" i="37"/>
  <c r="L183" i="37" s="1"/>
  <c r="M183" i="37" s="1"/>
  <c r="N183" i="37" s="1"/>
  <c r="K155" i="37"/>
  <c r="L155" i="37" s="1"/>
  <c r="M155" i="37" s="1"/>
  <c r="N155" i="37" s="1"/>
  <c r="K243" i="37"/>
  <c r="L243" i="37" s="1"/>
  <c r="M243" i="37" s="1"/>
  <c r="N243" i="37" s="1"/>
  <c r="K21" i="37"/>
  <c r="L21" i="37" s="1"/>
  <c r="M21" i="37" s="1"/>
  <c r="N21" i="37" s="1"/>
  <c r="K202" i="37"/>
  <c r="L202" i="37" s="1"/>
  <c r="M202" i="37" s="1"/>
  <c r="N202" i="37" s="1"/>
  <c r="K114" i="37"/>
  <c r="L114" i="37" s="1"/>
  <c r="M114" i="37" s="1"/>
  <c r="N114" i="37" s="1"/>
  <c r="K182" i="37"/>
  <c r="L182" i="37" s="1"/>
  <c r="M182" i="37" s="1"/>
  <c r="N182" i="37" s="1"/>
  <c r="K292" i="37"/>
  <c r="L292" i="37" s="1"/>
  <c r="M292" i="37" s="1"/>
  <c r="N292" i="37" s="1"/>
  <c r="K113" i="37"/>
  <c r="L113" i="37" s="1"/>
  <c r="M113" i="37" s="1"/>
  <c r="N113" i="37" s="1"/>
  <c r="K306" i="37"/>
  <c r="L306" i="37" s="1"/>
  <c r="M306" i="37" s="1"/>
  <c r="N306" i="37" s="1"/>
  <c r="K227" i="37"/>
  <c r="L227" i="37" s="1"/>
  <c r="M227" i="37" s="1"/>
  <c r="N227" i="37" s="1"/>
  <c r="K314" i="37"/>
  <c r="L314" i="37" s="1"/>
  <c r="M314" i="37" s="1"/>
  <c r="N314" i="37" s="1"/>
  <c r="K18" i="37"/>
  <c r="L18" i="37" s="1"/>
  <c r="M18" i="37" s="1"/>
  <c r="N18" i="37" s="1"/>
  <c r="K235" i="37"/>
  <c r="L235" i="37" s="1"/>
  <c r="M235" i="37" s="1"/>
  <c r="N235" i="37" s="1"/>
  <c r="K97" i="37"/>
  <c r="L97" i="37" s="1"/>
  <c r="M97" i="37" s="1"/>
  <c r="N97" i="37" s="1"/>
  <c r="K154" i="37"/>
  <c r="L154" i="37" s="1"/>
  <c r="M154" i="37" s="1"/>
  <c r="N154" i="37" s="1"/>
  <c r="K131" i="37"/>
  <c r="L131" i="37" s="1"/>
  <c r="M131" i="37" s="1"/>
  <c r="N131" i="37" s="1"/>
  <c r="K118" i="37"/>
  <c r="L118" i="37" s="1"/>
  <c r="M118" i="37" s="1"/>
  <c r="N118" i="37" s="1"/>
  <c r="K271" i="37"/>
  <c r="L271" i="37" s="1"/>
  <c r="M271" i="37" s="1"/>
  <c r="N271" i="37" s="1"/>
  <c r="K222" i="37"/>
  <c r="L222" i="37" s="1"/>
  <c r="M222" i="37" s="1"/>
  <c r="N222" i="37" s="1"/>
  <c r="K289" i="37"/>
  <c r="L289" i="37" s="1"/>
  <c r="M289" i="37" s="1"/>
  <c r="N289" i="37" s="1"/>
  <c r="K44" i="37"/>
  <c r="L44" i="37" s="1"/>
  <c r="M44" i="37" s="1"/>
  <c r="N44" i="37" s="1"/>
  <c r="K218" i="37"/>
  <c r="L218" i="37" s="1"/>
  <c r="M218" i="37" s="1"/>
  <c r="N218" i="37" s="1"/>
  <c r="K149" i="37"/>
  <c r="L149" i="37" s="1"/>
  <c r="M149" i="37" s="1"/>
  <c r="N149" i="37" s="1"/>
  <c r="K295" i="37"/>
  <c r="L295" i="37" s="1"/>
  <c r="M295" i="37" s="1"/>
  <c r="N295" i="37" s="1"/>
  <c r="K145" i="37"/>
  <c r="L145" i="37" s="1"/>
  <c r="M145" i="37" s="1"/>
  <c r="N145" i="37" s="1"/>
  <c r="K282" i="37"/>
  <c r="L282" i="37" s="1"/>
  <c r="M282" i="37" s="1"/>
  <c r="N282" i="37" s="1"/>
  <c r="K302" i="37"/>
  <c r="L302" i="37" s="1"/>
  <c r="M302" i="37" s="1"/>
  <c r="N302" i="37" s="1"/>
  <c r="K171" i="37"/>
  <c r="L171" i="37" s="1"/>
  <c r="M171" i="37" s="1"/>
  <c r="N171" i="37" s="1"/>
  <c r="K39" i="37"/>
  <c r="L39" i="37" s="1"/>
  <c r="M39" i="37" s="1"/>
  <c r="N39" i="37" s="1"/>
  <c r="K240" i="37"/>
  <c r="L240" i="37" s="1"/>
  <c r="M240" i="37" s="1"/>
  <c r="N240" i="37" s="1"/>
  <c r="K299" i="37"/>
  <c r="L299" i="37" s="1"/>
  <c r="M299" i="37" s="1"/>
  <c r="N299" i="37" s="1"/>
  <c r="K103" i="37"/>
  <c r="L103" i="37" s="1"/>
  <c r="M103" i="37" s="1"/>
  <c r="N103" i="37" s="1"/>
  <c r="K238" i="37"/>
  <c r="L238" i="37" s="1"/>
  <c r="M238" i="37" s="1"/>
  <c r="N238" i="37" s="1"/>
  <c r="K275" i="37"/>
  <c r="L275" i="37" s="1"/>
  <c r="M275" i="37" s="1"/>
  <c r="N275" i="37" s="1"/>
  <c r="K303" i="37"/>
  <c r="L303" i="37" s="1"/>
  <c r="M303" i="37" s="1"/>
  <c r="N303" i="37" s="1"/>
  <c r="K167" i="37"/>
  <c r="L167" i="37" s="1"/>
  <c r="M167" i="37" s="1"/>
  <c r="N167" i="37" s="1"/>
  <c r="K95" i="37"/>
  <c r="L95" i="37" s="1"/>
  <c r="M95" i="37" s="1"/>
  <c r="N95" i="37" s="1"/>
  <c r="K48" i="37"/>
  <c r="L48" i="37" s="1"/>
  <c r="M48" i="37" s="1"/>
  <c r="N48" i="37" s="1"/>
  <c r="K178" i="37"/>
  <c r="L178" i="37" s="1"/>
  <c r="M178" i="37" s="1"/>
  <c r="N178" i="37" s="1"/>
  <c r="K214" i="37"/>
  <c r="L214" i="37" s="1"/>
  <c r="M214" i="37" s="1"/>
  <c r="N214" i="37" s="1"/>
  <c r="K38" i="37"/>
  <c r="L38" i="37" s="1"/>
  <c r="M38" i="37" s="1"/>
  <c r="N38" i="37" s="1"/>
  <c r="K192" i="37"/>
  <c r="L192" i="37" s="1"/>
  <c r="M192" i="37" s="1"/>
  <c r="N192" i="37" s="1"/>
  <c r="K101" i="37"/>
  <c r="L101" i="37" s="1"/>
  <c r="M101" i="37" s="1"/>
  <c r="N101" i="37" s="1"/>
  <c r="K209" i="37"/>
  <c r="L209" i="37" s="1"/>
  <c r="M209" i="37" s="1"/>
  <c r="N209" i="37" s="1"/>
  <c r="K166" i="37"/>
  <c r="L166" i="37" s="1"/>
  <c r="M166" i="37" s="1"/>
  <c r="N166" i="37" s="1"/>
  <c r="K69" i="37"/>
  <c r="L69" i="37" s="1"/>
  <c r="M69" i="37" s="1"/>
  <c r="N69" i="37" s="1"/>
  <c r="K304" i="37"/>
  <c r="L304" i="37" s="1"/>
  <c r="M304" i="37" s="1"/>
  <c r="N304" i="37" s="1"/>
  <c r="K90" i="37"/>
  <c r="L90" i="37" s="1"/>
  <c r="M90" i="37" s="1"/>
  <c r="N90" i="37" s="1"/>
  <c r="K127" i="37"/>
  <c r="L127" i="37" s="1"/>
  <c r="M127" i="37" s="1"/>
  <c r="N127" i="37" s="1"/>
  <c r="K241" i="37"/>
  <c r="L241" i="37" s="1"/>
  <c r="M241" i="37" s="1"/>
  <c r="N241" i="37" s="1"/>
  <c r="K223" i="37"/>
  <c r="L223" i="37" s="1"/>
  <c r="M223" i="37" s="1"/>
  <c r="N223" i="37" s="1"/>
  <c r="K83" i="37"/>
  <c r="L83" i="37" s="1"/>
  <c r="M83" i="37" s="1"/>
  <c r="N83" i="37" s="1"/>
  <c r="K27" i="37"/>
  <c r="L27" i="37" s="1"/>
  <c r="M27" i="37" s="1"/>
  <c r="N27" i="37" s="1"/>
  <c r="K88" i="37"/>
  <c r="L88" i="37" s="1"/>
  <c r="M88" i="37" s="1"/>
  <c r="N88" i="37" s="1"/>
  <c r="K250" i="37"/>
  <c r="L250" i="37" s="1"/>
  <c r="M250" i="37" s="1"/>
  <c r="N250" i="37" s="1"/>
  <c r="K163" i="37"/>
  <c r="L163" i="37" s="1"/>
  <c r="M163" i="37" s="1"/>
  <c r="N163" i="37" s="1"/>
  <c r="K116" i="37"/>
  <c r="L116" i="37" s="1"/>
  <c r="M116" i="37" s="1"/>
  <c r="N116" i="37" s="1"/>
  <c r="K45" i="37"/>
  <c r="L45" i="37" s="1"/>
  <c r="M45" i="37" s="1"/>
  <c r="N45" i="37" s="1"/>
  <c r="K294" i="37"/>
  <c r="L294" i="37" s="1"/>
  <c r="M294" i="37" s="1"/>
  <c r="N294" i="37" s="1"/>
  <c r="K153" i="37"/>
  <c r="L153" i="37" s="1"/>
  <c r="M153" i="37" s="1"/>
  <c r="N153" i="37" s="1"/>
  <c r="K277" i="37"/>
  <c r="L277" i="37" s="1"/>
  <c r="M277" i="37" s="1"/>
  <c r="N277" i="37" s="1"/>
  <c r="K82" i="37"/>
  <c r="L82" i="37" s="1"/>
  <c r="M82" i="37" s="1"/>
  <c r="N82" i="37" s="1"/>
  <c r="K298" i="37"/>
  <c r="L298" i="37" s="1"/>
  <c r="M298" i="37" s="1"/>
  <c r="N298" i="37" s="1"/>
  <c r="K46" i="37"/>
  <c r="L46" i="37" s="1"/>
  <c r="M46" i="37" s="1"/>
  <c r="N46" i="37" s="1"/>
  <c r="K225" i="37"/>
  <c r="L225" i="37" s="1"/>
  <c r="M225" i="37" s="1"/>
  <c r="N225" i="37" s="1"/>
  <c r="K205" i="37"/>
  <c r="L205" i="37" s="1"/>
  <c r="M205" i="37" s="1"/>
  <c r="N205" i="37" s="1"/>
  <c r="K307" i="37"/>
  <c r="L307" i="37" s="1"/>
  <c r="M307" i="37" s="1"/>
  <c r="N307" i="37" s="1"/>
  <c r="K54" i="37"/>
  <c r="L54" i="37" s="1"/>
  <c r="M54" i="37" s="1"/>
  <c r="N54" i="37" s="1"/>
  <c r="K57" i="37"/>
  <c r="L57" i="37" s="1"/>
  <c r="M57" i="37" s="1"/>
  <c r="N57" i="37" s="1"/>
  <c r="K49" i="37"/>
  <c r="L49" i="37" s="1"/>
  <c r="M49" i="37" s="1"/>
  <c r="N49" i="37" s="1"/>
  <c r="K287" i="37"/>
  <c r="L287" i="37" s="1"/>
  <c r="M287" i="37" s="1"/>
  <c r="N287" i="37" s="1"/>
  <c r="K296" i="37"/>
  <c r="L296" i="37" s="1"/>
  <c r="M296" i="37" s="1"/>
  <c r="N296" i="37" s="1"/>
  <c r="K231" i="37"/>
  <c r="L231" i="37" s="1"/>
  <c r="M231" i="37" s="1"/>
  <c r="N231" i="37" s="1"/>
  <c r="K312" i="37"/>
  <c r="L312" i="37" s="1"/>
  <c r="M312" i="37" s="1"/>
  <c r="N312" i="37" s="1"/>
  <c r="K285" i="37"/>
  <c r="L285" i="37" s="1"/>
  <c r="M285" i="37" s="1"/>
  <c r="N285" i="37" s="1"/>
  <c r="K315" i="37"/>
  <c r="L315" i="37" s="1"/>
  <c r="M315" i="37" s="1"/>
  <c r="N315" i="37" s="1"/>
  <c r="K264" i="37"/>
  <c r="L264" i="37" s="1"/>
  <c r="M264" i="37" s="1"/>
  <c r="N264" i="37" s="1"/>
  <c r="K200" i="37"/>
  <c r="L200" i="37" s="1"/>
  <c r="M200" i="37" s="1"/>
  <c r="N200" i="37" s="1"/>
  <c r="K105" i="37"/>
  <c r="L105" i="37" s="1"/>
  <c r="M105" i="37" s="1"/>
  <c r="N105" i="37" s="1"/>
  <c r="K137" i="37"/>
  <c r="L137" i="37" s="1"/>
  <c r="M137" i="37" s="1"/>
  <c r="N137" i="37" s="1"/>
  <c r="K291" i="37"/>
  <c r="L291" i="37" s="1"/>
  <c r="M291" i="37" s="1"/>
  <c r="N291" i="37" s="1"/>
  <c r="K10" i="37"/>
  <c r="L10" i="37" s="1"/>
  <c r="M10" i="37" s="1"/>
  <c r="N10" i="37" s="1"/>
  <c r="K6" i="37"/>
  <c r="L6" i="37" s="1"/>
  <c r="M6" i="37" s="1"/>
  <c r="N6" i="37" s="1"/>
  <c r="K237" i="36"/>
  <c r="L237" i="36" s="1"/>
  <c r="M237" i="36" s="1"/>
  <c r="K22" i="36"/>
  <c r="L22" i="36" s="1"/>
  <c r="M22" i="36" s="1"/>
  <c r="K6" i="36"/>
  <c r="L6" i="36" s="1"/>
  <c r="M6" i="36" s="1"/>
  <c r="K232" i="36"/>
  <c r="L232" i="36" s="1"/>
  <c r="M232" i="36" s="1"/>
  <c r="K69" i="36"/>
  <c r="L69" i="36" s="1"/>
  <c r="M69" i="36" s="1"/>
  <c r="K186" i="36"/>
  <c r="L186" i="36" s="1"/>
  <c r="M186" i="36" s="1"/>
  <c r="K259" i="36"/>
  <c r="L259" i="36" s="1"/>
  <c r="M259" i="36" s="1"/>
  <c r="K43" i="36"/>
  <c r="L43" i="36" s="1"/>
  <c r="M43" i="36" s="1"/>
  <c r="K64" i="36"/>
  <c r="L64" i="36" s="1"/>
  <c r="M64" i="36" s="1"/>
  <c r="K238" i="36"/>
  <c r="L238" i="36" s="1"/>
  <c r="M238" i="36" s="1"/>
  <c r="K294" i="36"/>
  <c r="L294" i="36" s="1"/>
  <c r="M294" i="36" s="1"/>
  <c r="K26" i="36"/>
  <c r="L26" i="36" s="1"/>
  <c r="M26" i="36" s="1"/>
  <c r="K230" i="36"/>
  <c r="L230" i="36" s="1"/>
  <c r="M230" i="36" s="1"/>
  <c r="K216" i="36"/>
  <c r="L216" i="36" s="1"/>
  <c r="M216" i="36" s="1"/>
  <c r="K67" i="36"/>
  <c r="L67" i="36" s="1"/>
  <c r="M67" i="36" s="1"/>
  <c r="K185" i="36"/>
  <c r="L185" i="36" s="1"/>
  <c r="M185" i="36" s="1"/>
  <c r="K111" i="36"/>
  <c r="L111" i="36" s="1"/>
  <c r="M111" i="36" s="1"/>
  <c r="K246" i="36"/>
  <c r="L246" i="36" s="1"/>
  <c r="M246" i="36" s="1"/>
  <c r="K159" i="36"/>
  <c r="L159" i="36" s="1"/>
  <c r="M159" i="36" s="1"/>
  <c r="K210" i="36"/>
  <c r="L210" i="36" s="1"/>
  <c r="M210" i="36" s="1"/>
  <c r="K269" i="36"/>
  <c r="L269" i="36" s="1"/>
  <c r="M269" i="36" s="1"/>
  <c r="K249" i="36"/>
  <c r="L249" i="36" s="1"/>
  <c r="M249" i="36" s="1"/>
  <c r="K182" i="36"/>
  <c r="L182" i="36" s="1"/>
  <c r="M182" i="36" s="1"/>
  <c r="K51" i="36"/>
  <c r="L51" i="36" s="1"/>
  <c r="M51" i="36" s="1"/>
  <c r="K155" i="36"/>
  <c r="L155" i="36" s="1"/>
  <c r="M155" i="36" s="1"/>
  <c r="K83" i="36"/>
  <c r="L83" i="36" s="1"/>
  <c r="M83" i="36" s="1"/>
  <c r="K250" i="36"/>
  <c r="L250" i="36" s="1"/>
  <c r="M250" i="36" s="1"/>
  <c r="K115" i="36"/>
  <c r="L115" i="36" s="1"/>
  <c r="M115" i="36" s="1"/>
  <c r="K177" i="36"/>
  <c r="L177" i="36" s="1"/>
  <c r="M177" i="36" s="1"/>
  <c r="K262" i="36"/>
  <c r="L262" i="36" s="1"/>
  <c r="M262" i="36" s="1"/>
  <c r="K168" i="36"/>
  <c r="L168" i="36" s="1"/>
  <c r="M168" i="36" s="1"/>
  <c r="K240" i="36"/>
  <c r="L240" i="36" s="1"/>
  <c r="M240" i="36" s="1"/>
  <c r="K11" i="36"/>
  <c r="L11" i="36" s="1"/>
  <c r="M11" i="36" s="1"/>
  <c r="K71" i="36"/>
  <c r="L71" i="36" s="1"/>
  <c r="M71" i="36" s="1"/>
  <c r="K236" i="36"/>
  <c r="L236" i="36" s="1"/>
  <c r="M236" i="36" s="1"/>
  <c r="K138" i="36"/>
  <c r="L138" i="36" s="1"/>
  <c r="M138" i="36" s="1"/>
  <c r="K136" i="36"/>
  <c r="L136" i="36" s="1"/>
  <c r="M136" i="36" s="1"/>
  <c r="K193" i="36"/>
  <c r="L193" i="36" s="1"/>
  <c r="M193" i="36" s="1"/>
  <c r="K90" i="36"/>
  <c r="L90" i="36" s="1"/>
  <c r="M90" i="36" s="1"/>
  <c r="K203" i="36"/>
  <c r="L203" i="36" s="1"/>
  <c r="M203" i="36" s="1"/>
  <c r="K5" i="36"/>
  <c r="L5" i="36" s="1"/>
  <c r="M5" i="36" s="1"/>
  <c r="K25" i="36"/>
  <c r="L25" i="36" s="1"/>
  <c r="M25" i="36" s="1"/>
  <c r="K21" i="36"/>
  <c r="L21" i="36" s="1"/>
  <c r="M21" i="36" s="1"/>
  <c r="K214" i="36"/>
  <c r="L214" i="36" s="1"/>
  <c r="M214" i="36" s="1"/>
  <c r="K158" i="36"/>
  <c r="L158" i="36" s="1"/>
  <c r="M158" i="36" s="1"/>
  <c r="K42" i="36"/>
  <c r="L42" i="36" s="1"/>
  <c r="M42" i="36" s="1"/>
  <c r="K109" i="36"/>
  <c r="L109" i="36" s="1"/>
  <c r="M109" i="36" s="1"/>
  <c r="K295" i="36"/>
  <c r="L295" i="36" s="1"/>
  <c r="M295" i="36" s="1"/>
  <c r="K278" i="36"/>
  <c r="L278" i="36" s="1"/>
  <c r="M278" i="36" s="1"/>
  <c r="K311" i="36"/>
  <c r="L311" i="36" s="1"/>
  <c r="M311" i="36" s="1"/>
  <c r="K170" i="36"/>
  <c r="L170" i="36" s="1"/>
  <c r="M170" i="36" s="1"/>
  <c r="K14" i="36"/>
  <c r="L14" i="36" s="1"/>
  <c r="M14" i="36" s="1"/>
  <c r="K315" i="36"/>
  <c r="L315" i="36" s="1"/>
  <c r="M315" i="36" s="1"/>
  <c r="K13" i="36"/>
  <c r="L13" i="36" s="1"/>
  <c r="M13" i="36" s="1"/>
  <c r="K303" i="36"/>
  <c r="L303" i="36" s="1"/>
  <c r="M303" i="36" s="1"/>
  <c r="K79" i="36"/>
  <c r="L79" i="36" s="1"/>
  <c r="M79" i="36" s="1"/>
  <c r="K265" i="36"/>
  <c r="L265" i="36" s="1"/>
  <c r="M265" i="36" s="1"/>
  <c r="K209" i="36"/>
  <c r="L209" i="36" s="1"/>
  <c r="M209" i="36" s="1"/>
  <c r="K254" i="36"/>
  <c r="L254" i="36" s="1"/>
  <c r="M254" i="36" s="1"/>
  <c r="K194" i="36"/>
  <c r="L194" i="36" s="1"/>
  <c r="M194" i="36" s="1"/>
  <c r="K10" i="36"/>
  <c r="L10" i="36" s="1"/>
  <c r="M10" i="36" s="1"/>
  <c r="K260" i="36"/>
  <c r="L260" i="36" s="1"/>
  <c r="M260" i="36" s="1"/>
  <c r="K15" i="36"/>
  <c r="L15" i="36" s="1"/>
  <c r="M15" i="36" s="1"/>
  <c r="K310" i="36"/>
  <c r="L310" i="36" s="1"/>
  <c r="M310" i="36" s="1"/>
  <c r="K27" i="36"/>
  <c r="L27" i="36" s="1"/>
  <c r="M27" i="36" s="1"/>
  <c r="K73" i="36"/>
  <c r="L73" i="36" s="1"/>
  <c r="M73" i="36" s="1"/>
  <c r="K298" i="36"/>
  <c r="L298" i="36" s="1"/>
  <c r="M298" i="36" s="1"/>
  <c r="K34" i="36"/>
  <c r="L34" i="36" s="1"/>
  <c r="M34" i="36" s="1"/>
  <c r="K306" i="36"/>
  <c r="L306" i="36" s="1"/>
  <c r="M306" i="36" s="1"/>
  <c r="K181" i="36"/>
  <c r="L181" i="36" s="1"/>
  <c r="M181" i="36" s="1"/>
  <c r="K221" i="36"/>
  <c r="L221" i="36" s="1"/>
  <c r="M221" i="36" s="1"/>
  <c r="K241" i="36"/>
  <c r="L241" i="36" s="1"/>
  <c r="M241" i="36" s="1"/>
  <c r="K201" i="36"/>
  <c r="L201" i="36" s="1"/>
  <c r="M201" i="36" s="1"/>
  <c r="K302" i="36"/>
  <c r="L302" i="36" s="1"/>
  <c r="M302" i="36" s="1"/>
  <c r="K299" i="36"/>
  <c r="L299" i="36" s="1"/>
  <c r="M299" i="36" s="1"/>
  <c r="K17" i="36"/>
  <c r="L17" i="36" s="1"/>
  <c r="M17" i="36" s="1"/>
  <c r="K314" i="36"/>
  <c r="L314" i="36" s="1"/>
  <c r="M314" i="36" s="1"/>
  <c r="K99" i="36"/>
  <c r="L99" i="36" s="1"/>
  <c r="M99" i="36" s="1"/>
  <c r="K198" i="36"/>
  <c r="L198" i="36" s="1"/>
  <c r="M198" i="36" s="1"/>
  <c r="K300" i="36"/>
  <c r="L300" i="36" s="1"/>
  <c r="M300" i="36" s="1"/>
  <c r="K282" i="36"/>
  <c r="L282" i="36" s="1"/>
  <c r="M282" i="36" s="1"/>
  <c r="K7" i="36"/>
  <c r="L7" i="36" s="1"/>
  <c r="M7" i="36" s="1"/>
  <c r="K23" i="36"/>
  <c r="L23" i="36" s="1"/>
  <c r="M23" i="36" s="1"/>
  <c r="K59" i="36"/>
  <c r="L59" i="36" s="1"/>
  <c r="M59" i="36" s="1"/>
  <c r="K233" i="36"/>
  <c r="L233" i="36" s="1"/>
  <c r="M233" i="36" s="1"/>
  <c r="K205" i="36"/>
  <c r="L205" i="36" s="1"/>
  <c r="M205" i="36" s="1"/>
  <c r="K256" i="36"/>
  <c r="L256" i="36" s="1"/>
  <c r="M256" i="36" s="1"/>
  <c r="K287" i="36"/>
  <c r="L287" i="36" s="1"/>
  <c r="M287" i="36" s="1"/>
  <c r="K55" i="36"/>
  <c r="L55" i="36" s="1"/>
  <c r="M55" i="36" s="1"/>
  <c r="K189" i="36"/>
  <c r="L189" i="36" s="1"/>
  <c r="M189" i="36" s="1"/>
  <c r="K263" i="36"/>
  <c r="L263" i="36" s="1"/>
  <c r="M263" i="36" s="1"/>
  <c r="K18" i="36"/>
  <c r="L18" i="36" s="1"/>
  <c r="M18" i="36" s="1"/>
  <c r="K197" i="36"/>
  <c r="L197" i="36" s="1"/>
  <c r="M197" i="36" s="1"/>
  <c r="K222" i="36"/>
  <c r="L222" i="36" s="1"/>
  <c r="M222" i="36" s="1"/>
  <c r="K258" i="36"/>
  <c r="L258" i="36" s="1"/>
  <c r="M258" i="36" s="1"/>
  <c r="K47" i="36"/>
  <c r="L47" i="36" s="1"/>
  <c r="M47" i="36" s="1"/>
  <c r="K147" i="36"/>
  <c r="L147" i="36" s="1"/>
  <c r="M147" i="36" s="1"/>
  <c r="K75" i="36"/>
  <c r="L75" i="36" s="1"/>
  <c r="M75" i="36" s="1"/>
  <c r="K89" i="36"/>
  <c r="L89" i="36" s="1"/>
  <c r="M89" i="36" s="1"/>
  <c r="K169" i="36"/>
  <c r="L169" i="36" s="1"/>
  <c r="M169" i="36" s="1"/>
  <c r="K245" i="36"/>
  <c r="L245" i="36" s="1"/>
  <c r="M245" i="36" s="1"/>
  <c r="K228" i="36"/>
  <c r="L228" i="36" s="1"/>
  <c r="M228" i="36" s="1"/>
  <c r="K174" i="36"/>
  <c r="L174" i="36" s="1"/>
  <c r="M174" i="36" s="1"/>
  <c r="K148" i="36"/>
  <c r="L148" i="36" s="1"/>
  <c r="M148" i="36" s="1"/>
  <c r="K77" i="36"/>
  <c r="L77" i="36" s="1"/>
  <c r="M77" i="36" s="1"/>
  <c r="K106" i="36"/>
  <c r="L106" i="36" s="1"/>
  <c r="M106" i="36" s="1"/>
  <c r="K35" i="36"/>
  <c r="L35" i="36" s="1"/>
  <c r="M35" i="36" s="1"/>
  <c r="K229" i="36"/>
  <c r="L229" i="36" s="1"/>
  <c r="M229" i="36" s="1"/>
  <c r="K154" i="36"/>
  <c r="L154" i="36" s="1"/>
  <c r="M154" i="36" s="1"/>
  <c r="K9" i="36"/>
  <c r="L9" i="36" s="1"/>
  <c r="M9" i="36" s="1"/>
  <c r="K118" i="36"/>
  <c r="L118" i="36" s="1"/>
  <c r="M118" i="36" s="1"/>
  <c r="K223" i="36"/>
  <c r="L223" i="36" s="1"/>
  <c r="M223" i="36" s="1"/>
  <c r="K8" i="36"/>
  <c r="L8" i="36" s="1"/>
  <c r="M8" i="36" s="1"/>
  <c r="K224" i="36"/>
  <c r="L224" i="36" s="1"/>
  <c r="M224" i="36" s="1"/>
  <c r="K124" i="36"/>
  <c r="L124" i="36" s="1"/>
  <c r="M124" i="36" s="1"/>
  <c r="K120" i="36"/>
  <c r="L120" i="36" s="1"/>
  <c r="M120" i="36" s="1"/>
  <c r="K63" i="36"/>
  <c r="L63" i="36" s="1"/>
  <c r="M63" i="36" s="1"/>
  <c r="K105" i="36"/>
  <c r="L105" i="36" s="1"/>
  <c r="M105" i="36" s="1"/>
  <c r="K255" i="36"/>
  <c r="L255" i="36" s="1"/>
  <c r="M255" i="36" s="1"/>
  <c r="K95" i="36"/>
  <c r="L95" i="36" s="1"/>
  <c r="M95" i="36" s="1"/>
  <c r="K56" i="36"/>
  <c r="L56" i="36" s="1"/>
  <c r="M56" i="36" s="1"/>
  <c r="K175" i="36"/>
  <c r="L175" i="36" s="1"/>
  <c r="M175" i="36" s="1"/>
  <c r="K78" i="36"/>
  <c r="L78" i="36" s="1"/>
  <c r="M78" i="36" s="1"/>
  <c r="K211" i="36"/>
  <c r="L211" i="36" s="1"/>
  <c r="M211" i="36" s="1"/>
  <c r="K165" i="36"/>
  <c r="L165" i="36" s="1"/>
  <c r="M165" i="36" s="1"/>
  <c r="K37" i="36"/>
  <c r="L37" i="36" s="1"/>
  <c r="M37" i="36" s="1"/>
  <c r="K100" i="36"/>
  <c r="L100" i="36" s="1"/>
  <c r="M100" i="36" s="1"/>
  <c r="K12" i="36"/>
  <c r="L12" i="36" s="1"/>
  <c r="M12" i="36" s="1"/>
  <c r="K192" i="36"/>
  <c r="L192" i="36" s="1"/>
  <c r="M192" i="36" s="1"/>
  <c r="K97" i="36"/>
  <c r="L97" i="36" s="1"/>
  <c r="M97" i="36" s="1"/>
  <c r="K270" i="36"/>
  <c r="L270" i="36" s="1"/>
  <c r="M270" i="36" s="1"/>
  <c r="K292" i="36"/>
  <c r="L292" i="36" s="1"/>
  <c r="M292" i="36" s="1"/>
  <c r="K44" i="36"/>
  <c r="L44" i="36" s="1"/>
  <c r="M44" i="36" s="1"/>
  <c r="K29" i="36"/>
  <c r="L29" i="36" s="1"/>
  <c r="M29" i="36" s="1"/>
  <c r="K235" i="36"/>
  <c r="L235" i="36" s="1"/>
  <c r="M235" i="36" s="1"/>
  <c r="K134" i="36"/>
  <c r="L134" i="36" s="1"/>
  <c r="M134" i="36" s="1"/>
  <c r="K80" i="36"/>
  <c r="L80" i="36" s="1"/>
  <c r="M80" i="36" s="1"/>
  <c r="K195" i="36"/>
  <c r="L195" i="36" s="1"/>
  <c r="M195" i="36" s="1"/>
  <c r="K86" i="36"/>
  <c r="L86" i="36" s="1"/>
  <c r="M86" i="36" s="1"/>
  <c r="K178" i="36"/>
  <c r="L178" i="36" s="1"/>
  <c r="M178" i="36" s="1"/>
  <c r="K225" i="36"/>
  <c r="L225" i="36" s="1"/>
  <c r="M225" i="36" s="1"/>
  <c r="K253" i="36"/>
  <c r="L253" i="36" s="1"/>
  <c r="M253" i="36" s="1"/>
  <c r="K286" i="36"/>
  <c r="L286" i="36" s="1"/>
  <c r="M286" i="36" s="1"/>
  <c r="K176" i="36"/>
  <c r="L176" i="36" s="1"/>
  <c r="M176" i="36" s="1"/>
  <c r="K143" i="36"/>
  <c r="L143" i="36" s="1"/>
  <c r="M143" i="36" s="1"/>
  <c r="K98" i="36"/>
  <c r="L98" i="36" s="1"/>
  <c r="M98" i="36" s="1"/>
  <c r="K172" i="36"/>
  <c r="L172" i="36" s="1"/>
  <c r="M172" i="36" s="1"/>
  <c r="K242" i="36"/>
  <c r="L242" i="36" s="1"/>
  <c r="M242" i="36" s="1"/>
  <c r="K139" i="36"/>
  <c r="L139" i="36" s="1"/>
  <c r="M139" i="36" s="1"/>
  <c r="K133" i="36"/>
  <c r="L133" i="36" s="1"/>
  <c r="M133" i="36" s="1"/>
  <c r="K62" i="36"/>
  <c r="L62" i="36" s="1"/>
  <c r="M62" i="36" s="1"/>
  <c r="K188" i="36"/>
  <c r="L188" i="36" s="1"/>
  <c r="M188" i="36" s="1"/>
  <c r="K127" i="36"/>
  <c r="L127" i="36" s="1"/>
  <c r="M127" i="36" s="1"/>
  <c r="K140" i="36"/>
  <c r="L140" i="36" s="1"/>
  <c r="M140" i="36" s="1"/>
  <c r="K276" i="36"/>
  <c r="L276" i="36" s="1"/>
  <c r="M276" i="36" s="1"/>
  <c r="K33" i="36"/>
  <c r="L33" i="36" s="1"/>
  <c r="M33" i="36" s="1"/>
  <c r="K74" i="36"/>
  <c r="L74" i="36" s="1"/>
  <c r="M74" i="36" s="1"/>
  <c r="K76" i="36"/>
  <c r="L76" i="36" s="1"/>
  <c r="M76" i="36" s="1"/>
  <c r="K122" i="36"/>
  <c r="L122" i="36" s="1"/>
  <c r="M122" i="36" s="1"/>
  <c r="K248" i="36"/>
  <c r="L248" i="36" s="1"/>
  <c r="M248" i="36" s="1"/>
  <c r="K312" i="36"/>
  <c r="L312" i="36" s="1"/>
  <c r="M312" i="36" s="1"/>
  <c r="K234" i="36"/>
  <c r="L234" i="36" s="1"/>
  <c r="M234" i="36" s="1"/>
  <c r="K82" i="36"/>
  <c r="L82" i="36" s="1"/>
  <c r="M82" i="36" s="1"/>
  <c r="K156" i="36"/>
  <c r="L156" i="36" s="1"/>
  <c r="M156" i="36" s="1"/>
  <c r="K267" i="36"/>
  <c r="L267" i="36" s="1"/>
  <c r="M267" i="36" s="1"/>
  <c r="K243" i="36"/>
  <c r="L243" i="36" s="1"/>
  <c r="M243" i="36" s="1"/>
  <c r="K126" i="36"/>
  <c r="L126" i="36" s="1"/>
  <c r="M126" i="36" s="1"/>
  <c r="K157" i="36"/>
  <c r="L157" i="36" s="1"/>
  <c r="M157" i="36" s="1"/>
  <c r="K293" i="36"/>
  <c r="L293" i="36" s="1"/>
  <c r="M293" i="36" s="1"/>
  <c r="K204" i="36"/>
  <c r="L204" i="36" s="1"/>
  <c r="M204" i="36" s="1"/>
  <c r="K247" i="36"/>
  <c r="L247" i="36" s="1"/>
  <c r="M247" i="36" s="1"/>
  <c r="K273" i="36"/>
  <c r="L273" i="36" s="1"/>
  <c r="M273" i="36" s="1"/>
  <c r="K261" i="36"/>
  <c r="L261" i="36" s="1"/>
  <c r="M261" i="36" s="1"/>
  <c r="K297" i="36"/>
  <c r="L297" i="36" s="1"/>
  <c r="M297" i="36" s="1"/>
  <c r="K166" i="36"/>
  <c r="L166" i="36" s="1"/>
  <c r="M166" i="36" s="1"/>
  <c r="K162" i="36"/>
  <c r="L162" i="36" s="1"/>
  <c r="M162" i="36" s="1"/>
  <c r="K38" i="36"/>
  <c r="L38" i="36" s="1"/>
  <c r="M38" i="36" s="1"/>
  <c r="K57" i="36"/>
  <c r="L57" i="36" s="1"/>
  <c r="M57" i="36" s="1"/>
  <c r="K173" i="36"/>
  <c r="L173" i="36" s="1"/>
  <c r="M173" i="36" s="1"/>
  <c r="K288" i="36"/>
  <c r="L288" i="36" s="1"/>
  <c r="M288" i="36" s="1"/>
  <c r="K128" i="36"/>
  <c r="L128" i="36" s="1"/>
  <c r="M128" i="36" s="1"/>
  <c r="K20" i="36"/>
  <c r="L20" i="36" s="1"/>
  <c r="M20" i="36" s="1"/>
  <c r="K164" i="36"/>
  <c r="L164" i="36" s="1"/>
  <c r="M164" i="36" s="1"/>
  <c r="K200" i="36"/>
  <c r="L200" i="36" s="1"/>
  <c r="M200" i="36" s="1"/>
  <c r="K239" i="36"/>
  <c r="L239" i="36" s="1"/>
  <c r="M239" i="36" s="1"/>
  <c r="K220" i="36"/>
  <c r="L220" i="36" s="1"/>
  <c r="M220" i="36" s="1"/>
  <c r="K45" i="36"/>
  <c r="L45" i="36" s="1"/>
  <c r="M45" i="36" s="1"/>
  <c r="K283" i="36"/>
  <c r="L283" i="36" s="1"/>
  <c r="M283" i="36" s="1"/>
  <c r="K281" i="36"/>
  <c r="L281" i="36" s="1"/>
  <c r="M281" i="36" s="1"/>
  <c r="K280" i="36"/>
  <c r="L280" i="36" s="1"/>
  <c r="M280" i="36" s="1"/>
  <c r="K117" i="36"/>
  <c r="L117" i="36" s="1"/>
  <c r="M117" i="36" s="1"/>
  <c r="K208" i="36"/>
  <c r="L208" i="36" s="1"/>
  <c r="M208" i="36" s="1"/>
  <c r="K46" i="36"/>
  <c r="L46" i="36" s="1"/>
  <c r="M46" i="36" s="1"/>
  <c r="K150" i="36"/>
  <c r="L150" i="36" s="1"/>
  <c r="M150" i="36" s="1"/>
  <c r="K104" i="36"/>
  <c r="L104" i="36" s="1"/>
  <c r="M104" i="36" s="1"/>
  <c r="K187" i="36"/>
  <c r="L187" i="36" s="1"/>
  <c r="M187" i="36" s="1"/>
  <c r="K93" i="36"/>
  <c r="L93" i="36" s="1"/>
  <c r="M93" i="36" s="1"/>
  <c r="K218" i="36"/>
  <c r="L218" i="36" s="1"/>
  <c r="M218" i="36" s="1"/>
  <c r="K171" i="36"/>
  <c r="L171" i="36" s="1"/>
  <c r="M171" i="36" s="1"/>
  <c r="K207" i="36"/>
  <c r="L207" i="36" s="1"/>
  <c r="M207" i="36" s="1"/>
  <c r="K65" i="36"/>
  <c r="L65" i="36" s="1"/>
  <c r="M65" i="36" s="1"/>
  <c r="K41" i="36"/>
  <c r="L41" i="36" s="1"/>
  <c r="M41" i="36" s="1"/>
  <c r="K217" i="36"/>
  <c r="L217" i="36" s="1"/>
  <c r="M217" i="36" s="1"/>
  <c r="K149" i="36"/>
  <c r="L149" i="36" s="1"/>
  <c r="M149" i="36" s="1"/>
  <c r="K251" i="36"/>
  <c r="L251" i="36" s="1"/>
  <c r="M251" i="36" s="1"/>
  <c r="K309" i="36"/>
  <c r="L309" i="36" s="1"/>
  <c r="M309" i="36" s="1"/>
  <c r="K271" i="36"/>
  <c r="L271" i="36" s="1"/>
  <c r="M271" i="36" s="1"/>
  <c r="K206" i="36"/>
  <c r="L206" i="36" s="1"/>
  <c r="M206" i="36" s="1"/>
  <c r="K141" i="36"/>
  <c r="L141" i="36" s="1"/>
  <c r="M141" i="36" s="1"/>
  <c r="K125" i="36"/>
  <c r="L125" i="36" s="1"/>
  <c r="M125" i="36" s="1"/>
  <c r="K202" i="36"/>
  <c r="L202" i="36" s="1"/>
  <c r="M202" i="36" s="1"/>
  <c r="K121" i="36"/>
  <c r="L121" i="36" s="1"/>
  <c r="M121" i="36" s="1"/>
  <c r="K279" i="36"/>
  <c r="L279" i="36" s="1"/>
  <c r="M279" i="36" s="1"/>
  <c r="K252" i="36"/>
  <c r="L252" i="36" s="1"/>
  <c r="M252" i="36" s="1"/>
  <c r="K226" i="36"/>
  <c r="L226" i="36" s="1"/>
  <c r="M226" i="36" s="1"/>
  <c r="K48" i="36"/>
  <c r="L48" i="36" s="1"/>
  <c r="M48" i="36" s="1"/>
  <c r="K39" i="36"/>
  <c r="L39" i="36" s="1"/>
  <c r="M39" i="36" s="1"/>
  <c r="K112" i="36"/>
  <c r="L112" i="36" s="1"/>
  <c r="M112" i="36" s="1"/>
  <c r="K163" i="36"/>
  <c r="L163" i="36" s="1"/>
  <c r="M163" i="36" s="1"/>
  <c r="K129" i="36"/>
  <c r="L129" i="36" s="1"/>
  <c r="M129" i="36" s="1"/>
  <c r="K108" i="36"/>
  <c r="L108" i="36" s="1"/>
  <c r="M108" i="36" s="1"/>
  <c r="K16" i="36"/>
  <c r="L16" i="36" s="1"/>
  <c r="M16" i="36" s="1"/>
  <c r="K114" i="36"/>
  <c r="L114" i="36" s="1"/>
  <c r="M114" i="36" s="1"/>
  <c r="K190" i="36"/>
  <c r="L190" i="36" s="1"/>
  <c r="M190" i="36" s="1"/>
  <c r="K49" i="36"/>
  <c r="L49" i="36" s="1"/>
  <c r="M49" i="36" s="1"/>
  <c r="K183" i="36"/>
  <c r="L183" i="36" s="1"/>
  <c r="M183" i="36" s="1"/>
  <c r="K152" i="36"/>
  <c r="L152" i="36" s="1"/>
  <c r="M152" i="36" s="1"/>
  <c r="K94" i="36"/>
  <c r="L94" i="36" s="1"/>
  <c r="M94" i="36" s="1"/>
  <c r="K275" i="36"/>
  <c r="L275" i="36" s="1"/>
  <c r="M275" i="36" s="1"/>
  <c r="K144" i="36"/>
  <c r="L144" i="36" s="1"/>
  <c r="M144" i="36" s="1"/>
  <c r="K145" i="36"/>
  <c r="L145" i="36" s="1"/>
  <c r="M145" i="36" s="1"/>
  <c r="K28" i="36"/>
  <c r="L28" i="36" s="1"/>
  <c r="M28" i="36" s="1"/>
  <c r="K68" i="36"/>
  <c r="L68" i="36" s="1"/>
  <c r="M68" i="36" s="1"/>
  <c r="K116" i="36"/>
  <c r="L116" i="36" s="1"/>
  <c r="M116" i="36" s="1"/>
  <c r="K101" i="36"/>
  <c r="L101" i="36" s="1"/>
  <c r="M101" i="36" s="1"/>
  <c r="K227" i="36"/>
  <c r="L227" i="36" s="1"/>
  <c r="M227" i="36" s="1"/>
  <c r="K196" i="36"/>
  <c r="L196" i="36" s="1"/>
  <c r="M196" i="36" s="1"/>
  <c r="K191" i="36"/>
  <c r="L191" i="36" s="1"/>
  <c r="M191" i="36" s="1"/>
  <c r="K272" i="36"/>
  <c r="L272" i="36" s="1"/>
  <c r="M272" i="36" s="1"/>
  <c r="K268" i="36"/>
  <c r="L268" i="36" s="1"/>
  <c r="M268" i="36" s="1"/>
  <c r="K88" i="36"/>
  <c r="L88" i="36" s="1"/>
  <c r="M88" i="36" s="1"/>
  <c r="K19" i="36"/>
  <c r="L19" i="36" s="1"/>
  <c r="M19" i="36" s="1"/>
  <c r="K61" i="36"/>
  <c r="L61" i="36" s="1"/>
  <c r="M61" i="36" s="1"/>
  <c r="K289" i="36"/>
  <c r="L289" i="36" s="1"/>
  <c r="M289" i="36" s="1"/>
  <c r="K199" i="36"/>
  <c r="L199" i="36" s="1"/>
  <c r="M199" i="36" s="1"/>
  <c r="K184" i="36"/>
  <c r="L184" i="36" s="1"/>
  <c r="M184" i="36" s="1"/>
  <c r="K24" i="36"/>
  <c r="L24" i="36" s="1"/>
  <c r="M24" i="36" s="1"/>
  <c r="K146" i="36"/>
  <c r="L146" i="36" s="1"/>
  <c r="M146" i="36" s="1"/>
  <c r="K85" i="36"/>
  <c r="L85" i="36" s="1"/>
  <c r="M85" i="36" s="1"/>
  <c r="K285" i="36"/>
  <c r="L285" i="36" s="1"/>
  <c r="M285" i="36" s="1"/>
  <c r="K50" i="36"/>
  <c r="L50" i="36" s="1"/>
  <c r="M50" i="36" s="1"/>
  <c r="K131" i="36"/>
  <c r="L131" i="36" s="1"/>
  <c r="M131" i="36" s="1"/>
  <c r="K304" i="36"/>
  <c r="L304" i="36" s="1"/>
  <c r="M304" i="36" s="1"/>
  <c r="K264" i="36"/>
  <c r="L264" i="36" s="1"/>
  <c r="M264" i="36" s="1"/>
  <c r="K53" i="36"/>
  <c r="L53" i="36" s="1"/>
  <c r="M53" i="36" s="1"/>
  <c r="K132" i="36"/>
  <c r="L132" i="36" s="1"/>
  <c r="M132" i="36" s="1"/>
  <c r="K113" i="36"/>
  <c r="L113" i="36" s="1"/>
  <c r="M113" i="36" s="1"/>
  <c r="K296" i="36"/>
  <c r="L296" i="36" s="1"/>
  <c r="M296" i="36" s="1"/>
  <c r="K307" i="36"/>
  <c r="L307" i="36" s="1"/>
  <c r="M307" i="36" s="1"/>
  <c r="K30" i="36"/>
  <c r="L30" i="36" s="1"/>
  <c r="M30" i="36" s="1"/>
  <c r="K70" i="36"/>
  <c r="L70" i="36" s="1"/>
  <c r="M70" i="36" s="1"/>
  <c r="K284" i="36"/>
  <c r="L284" i="36" s="1"/>
  <c r="M284" i="36" s="1"/>
  <c r="K103" i="36"/>
  <c r="L103" i="36" s="1"/>
  <c r="M103" i="36" s="1"/>
  <c r="K52" i="36"/>
  <c r="L52" i="36" s="1"/>
  <c r="M52" i="36" s="1"/>
  <c r="K137" i="36"/>
  <c r="L137" i="36" s="1"/>
  <c r="M137" i="36" s="1"/>
  <c r="K32" i="36"/>
  <c r="L32" i="36" s="1"/>
  <c r="M32" i="36" s="1"/>
  <c r="K274" i="36"/>
  <c r="L274" i="36" s="1"/>
  <c r="M274" i="36" s="1"/>
  <c r="K130" i="36"/>
  <c r="L130" i="36" s="1"/>
  <c r="M130" i="36" s="1"/>
  <c r="K313" i="36"/>
  <c r="L313" i="36" s="1"/>
  <c r="M313" i="36" s="1"/>
  <c r="K277" i="36"/>
  <c r="L277" i="36" s="1"/>
  <c r="M277" i="36" s="1"/>
  <c r="K305" i="36"/>
  <c r="L305" i="36" s="1"/>
  <c r="M305" i="36" s="1"/>
  <c r="K180" i="36"/>
  <c r="L180" i="36" s="1"/>
  <c r="M180" i="36" s="1"/>
  <c r="K107" i="36"/>
  <c r="L107" i="36" s="1"/>
  <c r="M107" i="36" s="1"/>
  <c r="K316" i="36"/>
  <c r="L316" i="36" s="1"/>
  <c r="M316" i="36" s="1"/>
  <c r="K213" i="36"/>
  <c r="L213" i="36" s="1"/>
  <c r="M213" i="36" s="1"/>
  <c r="K212" i="36"/>
  <c r="L212" i="36" s="1"/>
  <c r="M212" i="36" s="1"/>
  <c r="K153" i="36"/>
  <c r="L153" i="36" s="1"/>
  <c r="M153" i="36" s="1"/>
  <c r="K308" i="36"/>
  <c r="L308" i="36" s="1"/>
  <c r="M308" i="36" s="1"/>
  <c r="K96" i="36"/>
  <c r="L96" i="36" s="1"/>
  <c r="M96" i="36" s="1"/>
  <c r="K161" i="36"/>
  <c r="L161" i="36" s="1"/>
  <c r="M161" i="36" s="1"/>
  <c r="K110" i="36"/>
  <c r="L110" i="36" s="1"/>
  <c r="M110" i="36" s="1"/>
  <c r="K72" i="36"/>
  <c r="L72" i="36" s="1"/>
  <c r="M72" i="36" s="1"/>
  <c r="K91" i="36"/>
  <c r="L91" i="36" s="1"/>
  <c r="M91" i="36" s="1"/>
  <c r="K102" i="36"/>
  <c r="L102" i="36" s="1"/>
  <c r="M102" i="36" s="1"/>
  <c r="K81" i="36"/>
  <c r="L81" i="36" s="1"/>
  <c r="M81" i="36" s="1"/>
  <c r="K58" i="36"/>
  <c r="L58" i="36" s="1"/>
  <c r="M58" i="36" s="1"/>
  <c r="K119" i="36"/>
  <c r="L119" i="36" s="1"/>
  <c r="M119" i="36" s="1"/>
  <c r="K60" i="36"/>
  <c r="L60" i="36" s="1"/>
  <c r="M60" i="36" s="1"/>
  <c r="K135" i="36"/>
  <c r="L135" i="36" s="1"/>
  <c r="M135" i="36" s="1"/>
  <c r="K151" i="36"/>
  <c r="L151" i="36" s="1"/>
  <c r="M151" i="36" s="1"/>
  <c r="K160" i="36"/>
  <c r="L160" i="36" s="1"/>
  <c r="M160" i="36" s="1"/>
  <c r="K167" i="36"/>
  <c r="L167" i="36" s="1"/>
  <c r="M167" i="36" s="1"/>
  <c r="K257" i="36"/>
  <c r="L257" i="36" s="1"/>
  <c r="M257" i="36" s="1"/>
  <c r="K290" i="36"/>
  <c r="L290" i="36" s="1"/>
  <c r="M290" i="36" s="1"/>
  <c r="K36" i="36"/>
  <c r="L36" i="36" s="1"/>
  <c r="M36" i="36" s="1"/>
  <c r="K244" i="36"/>
  <c r="L244" i="36" s="1"/>
  <c r="M244" i="36" s="1"/>
  <c r="K142" i="36"/>
  <c r="L142" i="36" s="1"/>
  <c r="M142" i="36" s="1"/>
  <c r="K54" i="36"/>
  <c r="L54" i="36" s="1"/>
  <c r="M54" i="36" s="1"/>
  <c r="K291" i="36"/>
  <c r="L291" i="36" s="1"/>
  <c r="M291" i="36" s="1"/>
  <c r="K87" i="36"/>
  <c r="L87" i="36" s="1"/>
  <c r="M87" i="36" s="1"/>
  <c r="K179" i="36"/>
  <c r="L179" i="36" s="1"/>
  <c r="M179" i="36" s="1"/>
  <c r="K301" i="36"/>
  <c r="L301" i="36" s="1"/>
  <c r="M301" i="36" s="1"/>
  <c r="K123" i="36"/>
  <c r="L123" i="36" s="1"/>
  <c r="M123" i="36" s="1"/>
  <c r="K215" i="36"/>
  <c r="L215" i="36" s="1"/>
  <c r="M215" i="36" s="1"/>
  <c r="K266" i="36"/>
  <c r="L266" i="36" s="1"/>
  <c r="M266" i="36" s="1"/>
  <c r="K31" i="36"/>
  <c r="L31" i="36" s="1"/>
  <c r="M31" i="36" s="1"/>
  <c r="K66" i="36"/>
  <c r="L66" i="36" s="1"/>
  <c r="M66" i="36" s="1"/>
  <c r="K84" i="36"/>
  <c r="L84" i="36" s="1"/>
  <c r="M84" i="36" s="1"/>
  <c r="K219" i="36"/>
  <c r="L219" i="36" s="1"/>
  <c r="M219" i="36" s="1"/>
  <c r="K40" i="36"/>
  <c r="L40" i="36" s="1"/>
  <c r="M40" i="36" s="1"/>
  <c r="K231" i="36"/>
  <c r="L231" i="36" s="1"/>
  <c r="M231" i="36" s="1"/>
  <c r="K92" i="36"/>
  <c r="L92" i="36" s="1"/>
  <c r="M92" i="36" s="1"/>
  <c r="L3" i="38" l="1" a="1"/>
  <c r="L3" i="38" s="1"/>
  <c r="K3" i="37" a="1"/>
  <c r="K3" i="37" s="1"/>
  <c r="K3" i="39" a="1"/>
  <c r="K3" i="39" s="1"/>
  <c r="L4" i="36"/>
  <c r="L3" i="36" s="1" a="1"/>
  <c r="L3" i="36" s="1"/>
  <c r="K3" i="36" a="1"/>
  <c r="K3" i="36" s="1"/>
  <c r="K3" i="38" a="1"/>
  <c r="K3" i="38" s="1"/>
  <c r="L4" i="39"/>
  <c r="L3" i="39" s="1" a="1"/>
  <c r="L3" i="39" s="1"/>
  <c r="N40" i="39"/>
  <c r="N295" i="39"/>
  <c r="N228" i="39"/>
  <c r="N101" i="39"/>
  <c r="N258" i="39"/>
  <c r="N37" i="39"/>
  <c r="N256" i="39"/>
  <c r="N203" i="39"/>
  <c r="N218" i="39"/>
  <c r="N268" i="39"/>
  <c r="N232" i="39"/>
  <c r="N31" i="39"/>
  <c r="N186" i="39"/>
  <c r="N92" i="39"/>
  <c r="N52" i="39"/>
  <c r="N253" i="39"/>
  <c r="N241" i="39"/>
  <c r="N270" i="39"/>
  <c r="N291" i="39"/>
  <c r="N180" i="39"/>
  <c r="N181" i="39"/>
  <c r="N78" i="39"/>
  <c r="N48" i="39"/>
  <c r="N214" i="39"/>
  <c r="N281" i="39"/>
  <c r="N49" i="39"/>
  <c r="N286" i="39"/>
  <c r="N226" i="39"/>
  <c r="N260" i="39"/>
  <c r="N30" i="39"/>
  <c r="N261" i="39"/>
  <c r="N296" i="39"/>
  <c r="N244" i="39"/>
  <c r="N300" i="39"/>
  <c r="N217" i="39"/>
  <c r="N158" i="39"/>
  <c r="N259" i="39"/>
  <c r="N119" i="39"/>
  <c r="N29" i="39"/>
  <c r="N188" i="39"/>
  <c r="N216" i="39"/>
  <c r="N208" i="39"/>
  <c r="N121" i="39"/>
  <c r="N126" i="39"/>
  <c r="N19" i="39"/>
  <c r="N116" i="39"/>
  <c r="N76" i="39"/>
  <c r="N280" i="39"/>
  <c r="N80" i="39"/>
  <c r="N255" i="39"/>
  <c r="N5" i="39"/>
  <c r="N41" i="39"/>
  <c r="N109" i="39"/>
  <c r="N102" i="39"/>
  <c r="N82" i="39"/>
  <c r="N251" i="39"/>
  <c r="N273" i="39"/>
  <c r="N112" i="39"/>
  <c r="N90" i="39"/>
  <c r="N43" i="39"/>
  <c r="N34" i="39"/>
  <c r="N204" i="39"/>
  <c r="N297" i="39"/>
  <c r="N103" i="39"/>
  <c r="N75" i="39"/>
  <c r="N304" i="39"/>
  <c r="N71" i="39"/>
  <c r="N28" i="39"/>
  <c r="N55" i="39"/>
  <c r="N212" i="39"/>
  <c r="N285" i="39"/>
  <c r="N225" i="39"/>
  <c r="N145" i="39"/>
  <c r="N236" i="39"/>
  <c r="N316" i="39"/>
  <c r="N61" i="39"/>
  <c r="N157" i="39"/>
  <c r="N124" i="39"/>
  <c r="N156" i="39"/>
  <c r="N190" i="39"/>
  <c r="N168" i="39"/>
  <c r="N74" i="39"/>
  <c r="N197" i="39"/>
  <c r="N272" i="39"/>
  <c r="N191" i="39"/>
  <c r="N289" i="39"/>
  <c r="N237" i="39"/>
  <c r="N18" i="39"/>
  <c r="N35" i="39"/>
  <c r="N135" i="39"/>
  <c r="N95" i="39"/>
  <c r="N6" i="39"/>
  <c r="N242" i="39"/>
  <c r="N262" i="39"/>
  <c r="N219" i="39"/>
  <c r="N143" i="39"/>
  <c r="N179" i="39"/>
  <c r="N106" i="39"/>
  <c r="N211" i="39"/>
  <c r="N9" i="39"/>
  <c r="N151" i="39"/>
  <c r="N38" i="39"/>
  <c r="N68" i="39"/>
  <c r="N94" i="39"/>
  <c r="N114" i="39"/>
  <c r="N215" i="39"/>
  <c r="N57" i="39"/>
  <c r="N60" i="39"/>
  <c r="N42" i="39"/>
  <c r="N16" i="39"/>
  <c r="N234" i="39"/>
  <c r="N240" i="39"/>
  <c r="N69" i="39"/>
  <c r="N79" i="39"/>
  <c r="N105" i="39"/>
  <c r="N96" i="39"/>
  <c r="N98" i="39"/>
  <c r="N146" i="39"/>
  <c r="N314" i="39"/>
  <c r="N265" i="39"/>
  <c r="N139" i="39"/>
  <c r="N164" i="39"/>
  <c r="N155" i="39"/>
  <c r="N246" i="39"/>
  <c r="N100" i="39"/>
  <c r="N162" i="39"/>
  <c r="N39" i="39"/>
  <c r="N47" i="39"/>
  <c r="N306" i="39"/>
  <c r="N24" i="39"/>
  <c r="N107" i="39"/>
  <c r="N194" i="39"/>
  <c r="N302" i="39"/>
  <c r="N21" i="39"/>
  <c r="N125" i="39"/>
  <c r="N207" i="39"/>
  <c r="N11" i="39"/>
  <c r="N223" i="39"/>
  <c r="N117" i="39"/>
  <c r="N193" i="39"/>
  <c r="N149" i="39"/>
  <c r="N189" i="39"/>
  <c r="N267" i="39"/>
  <c r="N247" i="39"/>
  <c r="N287" i="39"/>
  <c r="N243" i="39"/>
  <c r="N233" i="39"/>
  <c r="N245" i="39"/>
  <c r="N209" i="39"/>
  <c r="N152" i="39"/>
  <c r="N87" i="39"/>
  <c r="N150" i="39"/>
  <c r="N14" i="39"/>
  <c r="N27" i="39"/>
  <c r="N170" i="39"/>
  <c r="N169" i="39"/>
  <c r="N294" i="39"/>
  <c r="N113" i="39"/>
  <c r="N198" i="39"/>
  <c r="N128" i="39"/>
  <c r="N175" i="39"/>
  <c r="N271" i="39"/>
  <c r="N174" i="39"/>
  <c r="N227" i="39"/>
  <c r="N13" i="39"/>
  <c r="N192" i="39"/>
  <c r="N266" i="39"/>
  <c r="N161" i="39"/>
  <c r="N292" i="39"/>
  <c r="N250" i="39"/>
  <c r="N274" i="39"/>
  <c r="N144" i="39"/>
  <c r="N118" i="39"/>
  <c r="N88" i="39"/>
  <c r="N54" i="39"/>
  <c r="N195" i="39"/>
  <c r="N45" i="39"/>
  <c r="N210" i="39"/>
  <c r="N58" i="39"/>
  <c r="N66" i="39"/>
  <c r="N257" i="39"/>
  <c r="N313" i="39"/>
  <c r="N199" i="39"/>
  <c r="N177" i="39"/>
  <c r="N15" i="39"/>
  <c r="N163" i="39"/>
  <c r="N133" i="39"/>
  <c r="N309" i="39"/>
  <c r="N264" i="39"/>
  <c r="N104" i="39"/>
  <c r="N108" i="39"/>
  <c r="N72" i="39"/>
  <c r="N36" i="39"/>
  <c r="N263" i="39"/>
  <c r="N63" i="39"/>
  <c r="N120" i="39"/>
  <c r="N138" i="39"/>
  <c r="N299" i="39"/>
  <c r="N307" i="39"/>
  <c r="N201" i="39"/>
  <c r="N97" i="39"/>
  <c r="N185" i="39"/>
  <c r="N46" i="39"/>
  <c r="N127" i="39"/>
  <c r="N283" i="39"/>
  <c r="N315" i="39"/>
  <c r="N278" i="39"/>
  <c r="N239" i="39"/>
  <c r="N182" i="39"/>
  <c r="N12" i="39"/>
  <c r="N303" i="39"/>
  <c r="N172" i="39"/>
  <c r="N310" i="39"/>
  <c r="N7" i="39"/>
  <c r="N32" i="39"/>
  <c r="N222" i="39"/>
  <c r="N173" i="39"/>
  <c r="N305" i="39"/>
  <c r="N312" i="39"/>
  <c r="N147" i="39"/>
  <c r="N81" i="39"/>
  <c r="N56" i="39"/>
  <c r="N248" i="39"/>
  <c r="N284" i="39"/>
  <c r="N153" i="39"/>
  <c r="N50" i="39"/>
  <c r="N10" i="39"/>
  <c r="N231" i="39"/>
  <c r="N59" i="39"/>
  <c r="N235" i="39"/>
  <c r="N115" i="39"/>
  <c r="N176" i="39"/>
  <c r="N311" i="39"/>
  <c r="N136" i="39"/>
  <c r="N73" i="39"/>
  <c r="N65" i="39"/>
  <c r="N183" i="39"/>
  <c r="N171" i="39"/>
  <c r="N83" i="39"/>
  <c r="N17" i="39"/>
  <c r="N23" i="39"/>
  <c r="N202" i="39"/>
  <c r="N298" i="39"/>
  <c r="N131" i="39"/>
  <c r="N99" i="39"/>
  <c r="N220" i="39"/>
  <c r="N184" i="39"/>
  <c r="N254" i="39"/>
  <c r="N290" i="39"/>
  <c r="N33" i="39"/>
  <c r="N269" i="39"/>
  <c r="N230" i="39"/>
  <c r="N148" i="39"/>
  <c r="N140" i="39"/>
  <c r="N85" i="39"/>
  <c r="N77" i="39"/>
  <c r="N70" i="39"/>
  <c r="N187" i="39"/>
  <c r="N129" i="39"/>
  <c r="N229" i="39"/>
  <c r="N279" i="39"/>
  <c r="N110" i="39"/>
  <c r="N26" i="39"/>
  <c r="N64" i="39"/>
  <c r="N130" i="39"/>
  <c r="N288" i="39"/>
  <c r="N93" i="39"/>
  <c r="N167" i="39"/>
  <c r="N8" i="39"/>
  <c r="N111" i="39"/>
  <c r="N275" i="39"/>
  <c r="N277" i="39"/>
  <c r="N293" i="39"/>
  <c r="N89" i="39"/>
  <c r="N122" i="39"/>
  <c r="N25" i="39"/>
  <c r="N200" i="39"/>
  <c r="N132" i="39"/>
  <c r="N86" i="39"/>
  <c r="N224" i="39"/>
  <c r="N123" i="39"/>
  <c r="N166" i="39"/>
  <c r="N160" i="39"/>
  <c r="N276" i="39"/>
  <c r="N51" i="39"/>
  <c r="N249" i="39"/>
  <c r="N44" i="39"/>
  <c r="N67" i="39"/>
  <c r="N84" i="39"/>
  <c r="N205" i="39"/>
  <c r="N91" i="39"/>
  <c r="N159" i="39"/>
  <c r="N221" i="39"/>
  <c r="N178" i="39"/>
  <c r="N206" i="39"/>
  <c r="N213" i="39"/>
  <c r="N154" i="39"/>
  <c r="N20" i="39"/>
  <c r="N22" i="39"/>
  <c r="N282" i="39"/>
  <c r="N134" i="39"/>
  <c r="N238" i="39"/>
  <c r="N53" i="39"/>
  <c r="N62" i="39"/>
  <c r="N141" i="39"/>
  <c r="N137" i="39"/>
  <c r="N252" i="39"/>
  <c r="N308" i="39"/>
  <c r="N142" i="39"/>
  <c r="N301" i="39"/>
  <c r="N196" i="39"/>
  <c r="N165" i="39"/>
  <c r="M4" i="38"/>
  <c r="M3" i="38" s="1" a="1"/>
  <c r="M3" i="38" s="1"/>
  <c r="L4" i="37"/>
  <c r="L3" i="37" s="1" a="1"/>
  <c r="L3" i="37" s="1"/>
  <c r="N54" i="36"/>
  <c r="N274" i="36"/>
  <c r="N307" i="36"/>
  <c r="N50" i="36"/>
  <c r="N227" i="36"/>
  <c r="N129" i="36"/>
  <c r="N121" i="36"/>
  <c r="N149" i="36"/>
  <c r="N283" i="36"/>
  <c r="N156" i="36"/>
  <c r="N33" i="36"/>
  <c r="N242" i="36"/>
  <c r="N178" i="36"/>
  <c r="N292" i="36"/>
  <c r="N211" i="36"/>
  <c r="N120" i="36"/>
  <c r="N229" i="36"/>
  <c r="N169" i="36"/>
  <c r="N18" i="36"/>
  <c r="N59" i="36"/>
  <c r="N17" i="36"/>
  <c r="N34" i="36"/>
  <c r="N10" i="36"/>
  <c r="N315" i="36"/>
  <c r="N158" i="36"/>
  <c r="N136" i="36"/>
  <c r="N177" i="36"/>
  <c r="N269" i="36"/>
  <c r="N230" i="36"/>
  <c r="N186" i="36"/>
  <c r="N266" i="36"/>
  <c r="N142" i="36"/>
  <c r="N135" i="36"/>
  <c r="N110" i="36"/>
  <c r="N316" i="36"/>
  <c r="N32" i="36"/>
  <c r="N296" i="36"/>
  <c r="N285" i="36"/>
  <c r="N61" i="36"/>
  <c r="N101" i="36"/>
  <c r="N152" i="36"/>
  <c r="N163" i="36"/>
  <c r="N202" i="36"/>
  <c r="N217" i="36"/>
  <c r="N104" i="36"/>
  <c r="N45" i="36"/>
  <c r="N173" i="36"/>
  <c r="N247" i="36"/>
  <c r="N82" i="36"/>
  <c r="N276" i="36"/>
  <c r="N172" i="36"/>
  <c r="N86" i="36"/>
  <c r="N270" i="36"/>
  <c r="N78" i="36"/>
  <c r="N124" i="36"/>
  <c r="N35" i="36"/>
  <c r="N89" i="36"/>
  <c r="N263" i="36"/>
  <c r="N23" i="36"/>
  <c r="N299" i="36"/>
  <c r="N298" i="36"/>
  <c r="N194" i="36"/>
  <c r="N14" i="36"/>
  <c r="N214" i="36"/>
  <c r="N138" i="36"/>
  <c r="N115" i="36"/>
  <c r="N210" i="36"/>
  <c r="N26" i="36"/>
  <c r="N69" i="36"/>
  <c r="N92" i="36"/>
  <c r="N137" i="36"/>
  <c r="N41" i="36"/>
  <c r="N232" i="36"/>
  <c r="N231" i="36"/>
  <c r="N123" i="36"/>
  <c r="N36" i="36"/>
  <c r="N119" i="36"/>
  <c r="N96" i="36"/>
  <c r="N180" i="36"/>
  <c r="N52" i="36"/>
  <c r="N132" i="36"/>
  <c r="N146" i="36"/>
  <c r="N88" i="36"/>
  <c r="N68" i="36"/>
  <c r="N49" i="36"/>
  <c r="N39" i="36"/>
  <c r="N141" i="36"/>
  <c r="N65" i="36"/>
  <c r="N46" i="36"/>
  <c r="N239" i="36"/>
  <c r="N38" i="36"/>
  <c r="N293" i="36"/>
  <c r="N312" i="36"/>
  <c r="N127" i="36"/>
  <c r="N143" i="36"/>
  <c r="N80" i="36"/>
  <c r="N192" i="36"/>
  <c r="N56" i="36"/>
  <c r="N8" i="36"/>
  <c r="N77" i="36"/>
  <c r="N147" i="36"/>
  <c r="N55" i="36"/>
  <c r="N282" i="36"/>
  <c r="N201" i="36"/>
  <c r="N209" i="36"/>
  <c r="N311" i="36"/>
  <c r="N25" i="36"/>
  <c r="N71" i="36"/>
  <c r="N83" i="36"/>
  <c r="N246" i="36"/>
  <c r="N238" i="36"/>
  <c r="N6" i="36"/>
  <c r="N151" i="36"/>
  <c r="N187" i="36"/>
  <c r="N161" i="36"/>
  <c r="N19" i="36"/>
  <c r="N125" i="36"/>
  <c r="N204" i="36"/>
  <c r="N98" i="36"/>
  <c r="N175" i="36"/>
  <c r="N75" i="36"/>
  <c r="N302" i="36"/>
  <c r="N159" i="36"/>
  <c r="N40" i="36"/>
  <c r="N301" i="36"/>
  <c r="N290" i="36"/>
  <c r="N58" i="36"/>
  <c r="N308" i="36"/>
  <c r="N305" i="36"/>
  <c r="N103" i="36"/>
  <c r="N53" i="36"/>
  <c r="N24" i="36"/>
  <c r="N268" i="36"/>
  <c r="N28" i="36"/>
  <c r="N190" i="36"/>
  <c r="N48" i="36"/>
  <c r="N206" i="36"/>
  <c r="N207" i="36"/>
  <c r="N208" i="36"/>
  <c r="N200" i="36"/>
  <c r="N162" i="36"/>
  <c r="N157" i="36"/>
  <c r="N248" i="36"/>
  <c r="N188" i="36"/>
  <c r="N176" i="36"/>
  <c r="N134" i="36"/>
  <c r="N12" i="36"/>
  <c r="N95" i="36"/>
  <c r="N223" i="36"/>
  <c r="N148" i="36"/>
  <c r="N47" i="36"/>
  <c r="N287" i="36"/>
  <c r="N300" i="36"/>
  <c r="N241" i="36"/>
  <c r="N27" i="36"/>
  <c r="N265" i="36"/>
  <c r="N278" i="36"/>
  <c r="N5" i="36"/>
  <c r="N11" i="36"/>
  <c r="N155" i="36"/>
  <c r="N111" i="36"/>
  <c r="N22" i="36"/>
  <c r="N94" i="36"/>
  <c r="N60" i="36"/>
  <c r="N85" i="36"/>
  <c r="N150" i="36"/>
  <c r="N250" i="36"/>
  <c r="N219" i="36"/>
  <c r="N179" i="36"/>
  <c r="N257" i="36"/>
  <c r="N81" i="36"/>
  <c r="N153" i="36"/>
  <c r="N277" i="36"/>
  <c r="N284" i="36"/>
  <c r="N264" i="36"/>
  <c r="N184" i="36"/>
  <c r="N272" i="36"/>
  <c r="N145" i="36"/>
  <c r="N114" i="36"/>
  <c r="N226" i="36"/>
  <c r="N271" i="36"/>
  <c r="N171" i="36"/>
  <c r="N117" i="36"/>
  <c r="N164" i="36"/>
  <c r="N166" i="36"/>
  <c r="N126" i="36"/>
  <c r="N122" i="36"/>
  <c r="N62" i="36"/>
  <c r="N286" i="36"/>
  <c r="N235" i="36"/>
  <c r="N100" i="36"/>
  <c r="N255" i="36"/>
  <c r="N118" i="36"/>
  <c r="N174" i="36"/>
  <c r="N258" i="36"/>
  <c r="N256" i="36"/>
  <c r="N198" i="36"/>
  <c r="N221" i="36"/>
  <c r="N310" i="36"/>
  <c r="N79" i="36"/>
  <c r="N295" i="36"/>
  <c r="N203" i="36"/>
  <c r="N240" i="36"/>
  <c r="N51" i="36"/>
  <c r="N185" i="36"/>
  <c r="N64" i="36"/>
  <c r="N237" i="36"/>
  <c r="N31" i="36"/>
  <c r="N72" i="36"/>
  <c r="N288" i="36"/>
  <c r="N244" i="36"/>
  <c r="N113" i="36"/>
  <c r="N183" i="36"/>
  <c r="N57" i="36"/>
  <c r="N140" i="36"/>
  <c r="N97" i="36"/>
  <c r="N106" i="36"/>
  <c r="N7" i="36"/>
  <c r="N254" i="36"/>
  <c r="N21" i="36"/>
  <c r="N294" i="36"/>
  <c r="N84" i="36"/>
  <c r="N87" i="36"/>
  <c r="N167" i="36"/>
  <c r="N102" i="36"/>
  <c r="N313" i="36"/>
  <c r="N70" i="36"/>
  <c r="N304" i="36"/>
  <c r="N199" i="36"/>
  <c r="N191" i="36"/>
  <c r="N144" i="36"/>
  <c r="N16" i="36"/>
  <c r="N252" i="36"/>
  <c r="N309" i="36"/>
  <c r="N218" i="36"/>
  <c r="N280" i="36"/>
  <c r="N20" i="36"/>
  <c r="N297" i="36"/>
  <c r="N243" i="36"/>
  <c r="N76" i="36"/>
  <c r="N133" i="36"/>
  <c r="N253" i="36"/>
  <c r="N29" i="36"/>
  <c r="N37" i="36"/>
  <c r="N105" i="36"/>
  <c r="N9" i="36"/>
  <c r="N228" i="36"/>
  <c r="N222" i="36"/>
  <c r="N205" i="36"/>
  <c r="N99" i="36"/>
  <c r="N181" i="36"/>
  <c r="N15" i="36"/>
  <c r="N303" i="36"/>
  <c r="N109" i="36"/>
  <c r="N90" i="36"/>
  <c r="N168" i="36"/>
  <c r="N182" i="36"/>
  <c r="N67" i="36"/>
  <c r="N43" i="36"/>
  <c r="N213" i="36"/>
  <c r="N273" i="36"/>
  <c r="N215" i="36"/>
  <c r="N107" i="36"/>
  <c r="N116" i="36"/>
  <c r="N112" i="36"/>
  <c r="N220" i="36"/>
  <c r="N234" i="36"/>
  <c r="N195" i="36"/>
  <c r="N224" i="36"/>
  <c r="N189" i="36"/>
  <c r="N73" i="36"/>
  <c r="N170" i="36"/>
  <c r="N236" i="36"/>
  <c r="N66" i="36"/>
  <c r="N291" i="36"/>
  <c r="N160" i="36"/>
  <c r="N91" i="36"/>
  <c r="N212" i="36"/>
  <c r="N130" i="36"/>
  <c r="N30" i="36"/>
  <c r="N131" i="36"/>
  <c r="N289" i="36"/>
  <c r="N196" i="36"/>
  <c r="N275" i="36"/>
  <c r="N108" i="36"/>
  <c r="N279" i="36"/>
  <c r="N251" i="36"/>
  <c r="N93" i="36"/>
  <c r="N281" i="36"/>
  <c r="N128" i="36"/>
  <c r="N261" i="36"/>
  <c r="N267" i="36"/>
  <c r="N74" i="36"/>
  <c r="N139" i="36"/>
  <c r="N225" i="36"/>
  <c r="N44" i="36"/>
  <c r="N165" i="36"/>
  <c r="N63" i="36"/>
  <c r="N154" i="36"/>
  <c r="N245" i="36"/>
  <c r="N197" i="36"/>
  <c r="N233" i="36"/>
  <c r="N314" i="36"/>
  <c r="N306" i="36"/>
  <c r="N260" i="36"/>
  <c r="N13" i="36"/>
  <c r="N42" i="36"/>
  <c r="N193" i="36"/>
  <c r="N262" i="36"/>
  <c r="N249" i="36"/>
  <c r="N216" i="36"/>
  <c r="N259" i="36"/>
  <c r="M4" i="36" l="1"/>
  <c r="N4" i="36" s="1"/>
  <c r="N3" i="36" s="1" a="1"/>
  <c r="N3" i="36" s="1"/>
  <c r="M4" i="39"/>
  <c r="M3" i="39" s="1" a="1"/>
  <c r="M3" i="39" s="1"/>
  <c r="N4" i="38"/>
  <c r="N3" i="38" s="1" a="1"/>
  <c r="N3" i="38" s="1"/>
  <c r="M4" i="37"/>
  <c r="M3" i="36" l="1" a="1"/>
  <c r="M3" i="36" s="1"/>
  <c r="N4" i="37"/>
  <c r="N3" i="37" s="1" a="1"/>
  <c r="N3" i="37" s="1"/>
  <c r="M3" i="37" a="1"/>
  <c r="M3" i="37" s="1"/>
  <c r="O317" i="38"/>
  <c r="P317" i="38" s="1"/>
  <c r="Q317" i="38" s="1"/>
  <c r="O318" i="38"/>
  <c r="P318" i="38" s="1"/>
  <c r="Q318" i="38" s="1"/>
  <c r="N4" i="39"/>
  <c r="N3" i="39" s="1" a="1"/>
  <c r="N3" i="39" s="1"/>
  <c r="O318" i="37" l="1"/>
  <c r="P318" i="37" s="1"/>
  <c r="Q318" i="37" s="1"/>
  <c r="R318" i="37" s="1"/>
  <c r="O318" i="36"/>
  <c r="P318" i="36" s="1"/>
  <c r="Q318" i="36" s="1"/>
  <c r="O317" i="36"/>
  <c r="P317" i="36" s="1"/>
  <c r="Q317" i="36" s="1"/>
  <c r="O317" i="37"/>
  <c r="P317" i="37" s="1"/>
  <c r="Q317" i="37" s="1"/>
  <c r="R318" i="38"/>
  <c r="R317" i="38"/>
  <c r="O317" i="39"/>
  <c r="P317" i="39" s="1"/>
  <c r="Q317" i="39" s="1"/>
  <c r="O318" i="39"/>
  <c r="P318" i="39" s="1"/>
  <c r="Q318" i="39" s="1"/>
  <c r="O4" i="36"/>
  <c r="O33" i="39"/>
  <c r="P33" i="39" s="1"/>
  <c r="Q33" i="39" s="1"/>
  <c r="O268" i="39"/>
  <c r="P268" i="39" s="1"/>
  <c r="Q268" i="39" s="1"/>
  <c r="O44" i="39"/>
  <c r="P44" i="39" s="1"/>
  <c r="Q44" i="39" s="1"/>
  <c r="O253" i="39"/>
  <c r="P253" i="39" s="1"/>
  <c r="Q253" i="39" s="1"/>
  <c r="O308" i="39"/>
  <c r="P308" i="39" s="1"/>
  <c r="Q308" i="39" s="1"/>
  <c r="O87" i="39"/>
  <c r="P87" i="39" s="1"/>
  <c r="Q87" i="39" s="1"/>
  <c r="O316" i="39"/>
  <c r="P316" i="39" s="1"/>
  <c r="Q316" i="39" s="1"/>
  <c r="O209" i="39"/>
  <c r="P209" i="39" s="1"/>
  <c r="Q209" i="39" s="1"/>
  <c r="O282" i="39"/>
  <c r="P282" i="39" s="1"/>
  <c r="Q282" i="39" s="1"/>
  <c r="O148" i="39"/>
  <c r="P148" i="39" s="1"/>
  <c r="Q148" i="39" s="1"/>
  <c r="O108" i="39"/>
  <c r="P108" i="39" s="1"/>
  <c r="Q108" i="39" s="1"/>
  <c r="O105" i="39"/>
  <c r="P105" i="39" s="1"/>
  <c r="Q105" i="39" s="1"/>
  <c r="O297" i="39"/>
  <c r="P297" i="39" s="1"/>
  <c r="Q297" i="39" s="1"/>
  <c r="O96" i="39"/>
  <c r="P96" i="39" s="1"/>
  <c r="Q96" i="39" s="1"/>
  <c r="O58" i="39"/>
  <c r="P58" i="39" s="1"/>
  <c r="Q58" i="39" s="1"/>
  <c r="O159" i="39"/>
  <c r="P159" i="39" s="1"/>
  <c r="Q159" i="39" s="1"/>
  <c r="O254" i="39"/>
  <c r="P254" i="39" s="1"/>
  <c r="Q254" i="39" s="1"/>
  <c r="O239" i="39"/>
  <c r="P239" i="39" s="1"/>
  <c r="Q239" i="39" s="1"/>
  <c r="O292" i="39"/>
  <c r="P292" i="39" s="1"/>
  <c r="Q292" i="39" s="1"/>
  <c r="O212" i="39"/>
  <c r="P212" i="39" s="1"/>
  <c r="Q212" i="39" s="1"/>
  <c r="O260" i="39"/>
  <c r="P260" i="39" s="1"/>
  <c r="Q260" i="39" s="1"/>
  <c r="O234" i="39"/>
  <c r="P234" i="39" s="1"/>
  <c r="Q234" i="39" s="1"/>
  <c r="O157" i="39"/>
  <c r="P157" i="39" s="1"/>
  <c r="Q157" i="39" s="1"/>
  <c r="O140" i="39"/>
  <c r="P140" i="39" s="1"/>
  <c r="Q140" i="39" s="1"/>
  <c r="O15" i="39"/>
  <c r="P15" i="39" s="1"/>
  <c r="Q15" i="39" s="1"/>
  <c r="O215" i="39"/>
  <c r="P215" i="39" s="1"/>
  <c r="Q215" i="39" s="1"/>
  <c r="O102" i="39"/>
  <c r="P102" i="39" s="1"/>
  <c r="Q102" i="39" s="1"/>
  <c r="O183" i="39"/>
  <c r="P183" i="39" s="1"/>
  <c r="Q183" i="39" s="1"/>
  <c r="O249" i="39"/>
  <c r="P249" i="39" s="1"/>
  <c r="Q249" i="39" s="1"/>
  <c r="O311" i="39"/>
  <c r="P311" i="39" s="1"/>
  <c r="Q311" i="39" s="1"/>
  <c r="O46" i="39"/>
  <c r="P46" i="39" s="1"/>
  <c r="Q46" i="39" s="1"/>
  <c r="O192" i="39"/>
  <c r="P192" i="39" s="1"/>
  <c r="Q192" i="39" s="1"/>
  <c r="O107" i="39"/>
  <c r="P107" i="39" s="1"/>
  <c r="Q107" i="39" s="1"/>
  <c r="O156" i="39"/>
  <c r="P156" i="39" s="1"/>
  <c r="Q156" i="39" s="1"/>
  <c r="O188" i="39"/>
  <c r="P188" i="39" s="1"/>
  <c r="Q188" i="39" s="1"/>
  <c r="O301" i="39"/>
  <c r="P301" i="39" s="1"/>
  <c r="Q301" i="39" s="1"/>
  <c r="O303" i="39"/>
  <c r="P303" i="39" s="1"/>
  <c r="Q303" i="39" s="1"/>
  <c r="O152" i="39"/>
  <c r="P152" i="39" s="1"/>
  <c r="Q152" i="39" s="1"/>
  <c r="O314" i="39"/>
  <c r="P314" i="39" s="1"/>
  <c r="Q314" i="39" s="1"/>
  <c r="O37" i="39"/>
  <c r="P37" i="39" s="1"/>
  <c r="Q37" i="39" s="1"/>
  <c r="O232" i="39"/>
  <c r="P232" i="39" s="1"/>
  <c r="Q232" i="39" s="1"/>
  <c r="O248" i="39"/>
  <c r="P248" i="39" s="1"/>
  <c r="Q248" i="39" s="1"/>
  <c r="O235" i="39"/>
  <c r="P235" i="39" s="1"/>
  <c r="Q235" i="39" s="1"/>
  <c r="O143" i="39"/>
  <c r="P143" i="39" s="1"/>
  <c r="Q143" i="39" s="1"/>
  <c r="O203" i="39"/>
  <c r="P203" i="39" s="1"/>
  <c r="Q203" i="39" s="1"/>
  <c r="O147" i="39"/>
  <c r="P147" i="39" s="1"/>
  <c r="Q147" i="39" s="1"/>
  <c r="O35" i="39"/>
  <c r="P35" i="39" s="1"/>
  <c r="Q35" i="39" s="1"/>
  <c r="O158" i="39"/>
  <c r="P158" i="39" s="1"/>
  <c r="Q158" i="39" s="1"/>
  <c r="O136" i="39"/>
  <c r="P136" i="39" s="1"/>
  <c r="Q136" i="39" s="1"/>
  <c r="O78" i="39"/>
  <c r="P78" i="39" s="1"/>
  <c r="Q78" i="39" s="1"/>
  <c r="O81" i="39"/>
  <c r="P81" i="39" s="1"/>
  <c r="Q81" i="39" s="1"/>
  <c r="O244" i="39"/>
  <c r="P244" i="39" s="1"/>
  <c r="Q244" i="39" s="1"/>
  <c r="O122" i="39"/>
  <c r="P122" i="39" s="1"/>
  <c r="Q122" i="39" s="1"/>
  <c r="O36" i="39"/>
  <c r="P36" i="39" s="1"/>
  <c r="Q36" i="39" s="1"/>
  <c r="O294" i="39"/>
  <c r="P294" i="39" s="1"/>
  <c r="Q294" i="39" s="1"/>
  <c r="O49" i="39"/>
  <c r="P49" i="39" s="1"/>
  <c r="Q49" i="39" s="1"/>
  <c r="O8" i="39"/>
  <c r="P8" i="39" s="1"/>
  <c r="Q8" i="39" s="1"/>
  <c r="O133" i="39"/>
  <c r="P133" i="39" s="1"/>
  <c r="Q133" i="39" s="1"/>
  <c r="O135" i="39"/>
  <c r="P135" i="39" s="1"/>
  <c r="Q135" i="39" s="1"/>
  <c r="O288" i="39"/>
  <c r="P288" i="39" s="1"/>
  <c r="Q288" i="39" s="1"/>
  <c r="O72" i="39"/>
  <c r="P72" i="39" s="1"/>
  <c r="Q72" i="39" s="1"/>
  <c r="O12" i="39"/>
  <c r="P12" i="39" s="1"/>
  <c r="Q12" i="39" s="1"/>
  <c r="O236" i="39"/>
  <c r="P236" i="39" s="1"/>
  <c r="Q236" i="39" s="1"/>
  <c r="O186" i="39"/>
  <c r="P186" i="39" s="1"/>
  <c r="Q186" i="39" s="1"/>
  <c r="O290" i="39"/>
  <c r="P290" i="39" s="1"/>
  <c r="Q290" i="39" s="1"/>
  <c r="O199" i="39"/>
  <c r="P199" i="39" s="1"/>
  <c r="Q199" i="39" s="1"/>
  <c r="O243" i="39"/>
  <c r="P243" i="39" s="1"/>
  <c r="Q243" i="39" s="1"/>
  <c r="O92" i="39"/>
  <c r="P92" i="39" s="1"/>
  <c r="Q92" i="39" s="1"/>
  <c r="O118" i="39"/>
  <c r="P118" i="39" s="1"/>
  <c r="Q118" i="39" s="1"/>
  <c r="O304" i="39"/>
  <c r="P304" i="39" s="1"/>
  <c r="Q304" i="39" s="1"/>
  <c r="O141" i="39"/>
  <c r="P141" i="39" s="1"/>
  <c r="Q141" i="39" s="1"/>
  <c r="O211" i="39"/>
  <c r="P211" i="39" s="1"/>
  <c r="Q211" i="39" s="1"/>
  <c r="O38" i="39"/>
  <c r="P38" i="39" s="1"/>
  <c r="Q38" i="39" s="1"/>
  <c r="O64" i="39"/>
  <c r="P64" i="39" s="1"/>
  <c r="Q64" i="39" s="1"/>
  <c r="O55" i="39"/>
  <c r="P55" i="39" s="1"/>
  <c r="Q55" i="39" s="1"/>
  <c r="O275" i="39"/>
  <c r="P275" i="39" s="1"/>
  <c r="Q275" i="39" s="1"/>
  <c r="O172" i="39"/>
  <c r="P172" i="39" s="1"/>
  <c r="Q172" i="39" s="1"/>
  <c r="O208" i="39"/>
  <c r="P208" i="39" s="1"/>
  <c r="Q208" i="39" s="1"/>
  <c r="O274" i="39"/>
  <c r="P274" i="39" s="1"/>
  <c r="Q274" i="39" s="1"/>
  <c r="O201" i="39"/>
  <c r="P201" i="39" s="1"/>
  <c r="Q201" i="39" s="1"/>
  <c r="O34" i="39"/>
  <c r="P34" i="39" s="1"/>
  <c r="Q34" i="39" s="1"/>
  <c r="O20" i="39"/>
  <c r="P20" i="39" s="1"/>
  <c r="Q20" i="39" s="1"/>
  <c r="O313" i="39"/>
  <c r="P313" i="39" s="1"/>
  <c r="Q313" i="39" s="1"/>
  <c r="O144" i="39"/>
  <c r="P144" i="39" s="1"/>
  <c r="Q144" i="39" s="1"/>
  <c r="O286" i="39"/>
  <c r="P286" i="39" s="1"/>
  <c r="Q286" i="39" s="1"/>
  <c r="O91" i="39"/>
  <c r="P91" i="39" s="1"/>
  <c r="Q91" i="39" s="1"/>
  <c r="O307" i="39"/>
  <c r="P307" i="39" s="1"/>
  <c r="Q307" i="39" s="1"/>
  <c r="O40" i="39"/>
  <c r="P40" i="39" s="1"/>
  <c r="Q40" i="39" s="1"/>
  <c r="O246" i="39"/>
  <c r="P246" i="39" s="1"/>
  <c r="Q246" i="39" s="1"/>
  <c r="O221" i="39"/>
  <c r="P221" i="39" s="1"/>
  <c r="Q221" i="39" s="1"/>
  <c r="O225" i="39"/>
  <c r="P225" i="39" s="1"/>
  <c r="Q225" i="39" s="1"/>
  <c r="O146" i="39"/>
  <c r="P146" i="39" s="1"/>
  <c r="Q146" i="39" s="1"/>
  <c r="O273" i="39"/>
  <c r="P273" i="39" s="1"/>
  <c r="Q273" i="39" s="1"/>
  <c r="O171" i="39"/>
  <c r="P171" i="39" s="1"/>
  <c r="Q171" i="39" s="1"/>
  <c r="O168" i="39"/>
  <c r="P168" i="39" s="1"/>
  <c r="Q168" i="39" s="1"/>
  <c r="O165" i="39"/>
  <c r="P165" i="39" s="1"/>
  <c r="Q165" i="39" s="1"/>
  <c r="O39" i="39"/>
  <c r="P39" i="39" s="1"/>
  <c r="Q39" i="39" s="1"/>
  <c r="O83" i="39"/>
  <c r="P83" i="39" s="1"/>
  <c r="Q83" i="39" s="1"/>
  <c r="O166" i="39"/>
  <c r="P166" i="39" s="1"/>
  <c r="Q166" i="39" s="1"/>
  <c r="O73" i="39"/>
  <c r="P73" i="39" s="1"/>
  <c r="Q73" i="39" s="1"/>
  <c r="O178" i="39"/>
  <c r="P178" i="39" s="1"/>
  <c r="Q178" i="39" s="1"/>
  <c r="O164" i="39"/>
  <c r="P164" i="39" s="1"/>
  <c r="Q164" i="39" s="1"/>
  <c r="O28" i="39"/>
  <c r="P28" i="39" s="1"/>
  <c r="Q28" i="39" s="1"/>
  <c r="O139" i="39"/>
  <c r="P139" i="39" s="1"/>
  <c r="Q139" i="39" s="1"/>
  <c r="O213" i="39"/>
  <c r="P213" i="39" s="1"/>
  <c r="Q213" i="39" s="1"/>
  <c r="O230" i="39"/>
  <c r="P230" i="39" s="1"/>
  <c r="Q230" i="39" s="1"/>
  <c r="O45" i="39"/>
  <c r="P45" i="39" s="1"/>
  <c r="Q45" i="39" s="1"/>
  <c r="O179" i="39"/>
  <c r="P179" i="39" s="1"/>
  <c r="Q179" i="39" s="1"/>
  <c r="O82" i="39"/>
  <c r="P82" i="39" s="1"/>
  <c r="Q82" i="39" s="1"/>
  <c r="O61" i="39"/>
  <c r="P61" i="39" s="1"/>
  <c r="Q61" i="39" s="1"/>
  <c r="O227" i="39"/>
  <c r="P227" i="39" s="1"/>
  <c r="Q227" i="39" s="1"/>
  <c r="O84" i="39"/>
  <c r="P84" i="39" s="1"/>
  <c r="Q84" i="39" s="1"/>
  <c r="O99" i="39"/>
  <c r="P99" i="39" s="1"/>
  <c r="Q99" i="39" s="1"/>
  <c r="O315" i="39"/>
  <c r="P315" i="39" s="1"/>
  <c r="Q315" i="39" s="1"/>
  <c r="O271" i="39"/>
  <c r="P271" i="39" s="1"/>
  <c r="Q271" i="39" s="1"/>
  <c r="O75" i="39"/>
  <c r="P75" i="39" s="1"/>
  <c r="Q75" i="39" s="1"/>
  <c r="O281" i="39"/>
  <c r="P281" i="39" s="1"/>
  <c r="Q281" i="39" s="1"/>
  <c r="O190" i="39"/>
  <c r="P190" i="39" s="1"/>
  <c r="Q190" i="39" s="1"/>
  <c r="O251" i="39"/>
  <c r="P251" i="39" s="1"/>
  <c r="Q251" i="39" s="1"/>
  <c r="O17" i="39"/>
  <c r="P17" i="39" s="1"/>
  <c r="Q17" i="39" s="1"/>
  <c r="O250" i="39"/>
  <c r="P250" i="39" s="1"/>
  <c r="Q250" i="39" s="1"/>
  <c r="O114" i="39"/>
  <c r="P114" i="39" s="1"/>
  <c r="Q114" i="39" s="1"/>
  <c r="O126" i="39"/>
  <c r="P126" i="39" s="1"/>
  <c r="Q126" i="39" s="1"/>
  <c r="O177" i="39"/>
  <c r="P177" i="39" s="1"/>
  <c r="Q177" i="39" s="1"/>
  <c r="O51" i="39"/>
  <c r="P51" i="39" s="1"/>
  <c r="Q51" i="39" s="1"/>
  <c r="O115" i="39"/>
  <c r="P115" i="39" s="1"/>
  <c r="Q115" i="39" s="1"/>
  <c r="O185" i="39"/>
  <c r="P185" i="39" s="1"/>
  <c r="Q185" i="39" s="1"/>
  <c r="O174" i="39"/>
  <c r="P174" i="39" s="1"/>
  <c r="Q174" i="39" s="1"/>
  <c r="O155" i="39"/>
  <c r="P155" i="39" s="1"/>
  <c r="Q155" i="39" s="1"/>
  <c r="O145" i="39"/>
  <c r="P145" i="39" s="1"/>
  <c r="Q145" i="39" s="1"/>
  <c r="O31" i="39"/>
  <c r="P31" i="39" s="1"/>
  <c r="Q31" i="39" s="1"/>
  <c r="O205" i="39"/>
  <c r="P205" i="39" s="1"/>
  <c r="Q205" i="39" s="1"/>
  <c r="O283" i="39"/>
  <c r="P283" i="39" s="1"/>
  <c r="Q283" i="39" s="1"/>
  <c r="O287" i="39"/>
  <c r="P287" i="39" s="1"/>
  <c r="Q287" i="39" s="1"/>
  <c r="O98" i="39"/>
  <c r="P98" i="39" s="1"/>
  <c r="Q98" i="39" s="1"/>
  <c r="O228" i="39"/>
  <c r="P228" i="39" s="1"/>
  <c r="Q228" i="39" s="1"/>
  <c r="O266" i="39"/>
  <c r="P266" i="39" s="1"/>
  <c r="Q266" i="39" s="1"/>
  <c r="O71" i="39"/>
  <c r="P71" i="39" s="1"/>
  <c r="Q71" i="39" s="1"/>
  <c r="O150" i="39"/>
  <c r="P150" i="39" s="1"/>
  <c r="Q150" i="39" s="1"/>
  <c r="O47" i="39"/>
  <c r="P47" i="39" s="1"/>
  <c r="Q47" i="39" s="1"/>
  <c r="O306" i="39"/>
  <c r="P306" i="39" s="1"/>
  <c r="Q306" i="39" s="1"/>
  <c r="O280" i="39"/>
  <c r="P280" i="39" s="1"/>
  <c r="Q280" i="39" s="1"/>
  <c r="O204" i="39"/>
  <c r="P204" i="39" s="1"/>
  <c r="Q204" i="39" s="1"/>
  <c r="O86" i="39"/>
  <c r="P86" i="39" s="1"/>
  <c r="Q86" i="39" s="1"/>
  <c r="O56" i="39"/>
  <c r="P56" i="39" s="1"/>
  <c r="Q56" i="39" s="1"/>
  <c r="O116" i="39"/>
  <c r="P116" i="39" s="1"/>
  <c r="Q116" i="39" s="1"/>
  <c r="O131" i="39"/>
  <c r="P131" i="39" s="1"/>
  <c r="Q131" i="39" s="1"/>
  <c r="O68" i="39"/>
  <c r="P68" i="39" s="1"/>
  <c r="Q68" i="39" s="1"/>
  <c r="O255" i="39"/>
  <c r="P255" i="39" s="1"/>
  <c r="Q255" i="39" s="1"/>
  <c r="O57" i="39"/>
  <c r="P57" i="39" s="1"/>
  <c r="Q57" i="39" s="1"/>
  <c r="O59" i="39"/>
  <c r="P59" i="39" s="1"/>
  <c r="Q59" i="39" s="1"/>
  <c r="O13" i="39"/>
  <c r="P13" i="39" s="1"/>
  <c r="Q13" i="39" s="1"/>
  <c r="O6" i="39"/>
  <c r="P6" i="39" s="1"/>
  <c r="Q6" i="39" s="1"/>
  <c r="O121" i="39"/>
  <c r="P121" i="39" s="1"/>
  <c r="Q121" i="39" s="1"/>
  <c r="O285" i="39"/>
  <c r="P285" i="39" s="1"/>
  <c r="Q285" i="39" s="1"/>
  <c r="O169" i="39"/>
  <c r="P169" i="39" s="1"/>
  <c r="Q169" i="39" s="1"/>
  <c r="O67" i="39"/>
  <c r="P67" i="39" s="1"/>
  <c r="Q67" i="39" s="1"/>
  <c r="O202" i="39"/>
  <c r="P202" i="39" s="1"/>
  <c r="Q202" i="39" s="1"/>
  <c r="O138" i="39"/>
  <c r="P138" i="39" s="1"/>
  <c r="Q138" i="39" s="1"/>
  <c r="O302" i="39"/>
  <c r="P302" i="39" s="1"/>
  <c r="Q302" i="39" s="1"/>
  <c r="O112" i="39"/>
  <c r="P112" i="39" s="1"/>
  <c r="Q112" i="39" s="1"/>
  <c r="O214" i="39"/>
  <c r="P214" i="39" s="1"/>
  <c r="Q214" i="39" s="1"/>
  <c r="O43" i="39"/>
  <c r="P43" i="39" s="1"/>
  <c r="Q43" i="39" s="1"/>
  <c r="O252" i="39"/>
  <c r="P252" i="39" s="1"/>
  <c r="Q252" i="39" s="1"/>
  <c r="O231" i="39"/>
  <c r="P231" i="39" s="1"/>
  <c r="Q231" i="39" s="1"/>
  <c r="O284" i="39"/>
  <c r="P284" i="39" s="1"/>
  <c r="Q284" i="39" s="1"/>
  <c r="O175" i="39"/>
  <c r="P175" i="39" s="1"/>
  <c r="Q175" i="39" s="1"/>
  <c r="O94" i="39"/>
  <c r="P94" i="39" s="1"/>
  <c r="Q94" i="39" s="1"/>
  <c r="O216" i="39"/>
  <c r="P216" i="39" s="1"/>
  <c r="Q216" i="39" s="1"/>
  <c r="O258" i="39"/>
  <c r="P258" i="39" s="1"/>
  <c r="Q258" i="39" s="1"/>
  <c r="O123" i="39"/>
  <c r="P123" i="39" s="1"/>
  <c r="Q123" i="39" s="1"/>
  <c r="O10" i="39"/>
  <c r="P10" i="39" s="1"/>
  <c r="Q10" i="39" s="1"/>
  <c r="O299" i="39"/>
  <c r="P299" i="39" s="1"/>
  <c r="Q299" i="39" s="1"/>
  <c r="O198" i="39"/>
  <c r="P198" i="39" s="1"/>
  <c r="Q198" i="39" s="1"/>
  <c r="O69" i="39"/>
  <c r="P69" i="39" s="1"/>
  <c r="Q69" i="39" s="1"/>
  <c r="O217" i="39"/>
  <c r="P217" i="39" s="1"/>
  <c r="Q217" i="39" s="1"/>
  <c r="O77" i="39"/>
  <c r="P77" i="39" s="1"/>
  <c r="Q77" i="39" s="1"/>
  <c r="O89" i="39"/>
  <c r="P89" i="39" s="1"/>
  <c r="Q89" i="39" s="1"/>
  <c r="O264" i="39"/>
  <c r="P264" i="39" s="1"/>
  <c r="Q264" i="39" s="1"/>
  <c r="O267" i="39"/>
  <c r="P267" i="39" s="1"/>
  <c r="Q267" i="39" s="1"/>
  <c r="O219" i="39"/>
  <c r="P219" i="39" s="1"/>
  <c r="Q219" i="39" s="1"/>
  <c r="O295" i="39"/>
  <c r="P295" i="39" s="1"/>
  <c r="Q295" i="39" s="1"/>
  <c r="O245" i="39"/>
  <c r="P245" i="39" s="1"/>
  <c r="Q245" i="39" s="1"/>
  <c r="O276" i="39"/>
  <c r="P276" i="39" s="1"/>
  <c r="Q276" i="39" s="1"/>
  <c r="O259" i="39"/>
  <c r="P259" i="39" s="1"/>
  <c r="Q259" i="39" s="1"/>
  <c r="O132" i="39"/>
  <c r="P132" i="39" s="1"/>
  <c r="Q132" i="39" s="1"/>
  <c r="O120" i="39"/>
  <c r="P120" i="39" s="1"/>
  <c r="Q120" i="39" s="1"/>
  <c r="O109" i="39"/>
  <c r="P109" i="39" s="1"/>
  <c r="Q109" i="39" s="1"/>
  <c r="O137" i="39"/>
  <c r="P137" i="39" s="1"/>
  <c r="Q137" i="39" s="1"/>
  <c r="O223" i="39"/>
  <c r="P223" i="39" s="1"/>
  <c r="Q223" i="39" s="1"/>
  <c r="O242" i="39"/>
  <c r="P242" i="39" s="1"/>
  <c r="Q242" i="39" s="1"/>
  <c r="O62" i="39"/>
  <c r="P62" i="39" s="1"/>
  <c r="Q62" i="39" s="1"/>
  <c r="O153" i="39"/>
  <c r="P153" i="39" s="1"/>
  <c r="Q153" i="39" s="1"/>
  <c r="O16" i="39"/>
  <c r="P16" i="39" s="1"/>
  <c r="Q16" i="39" s="1"/>
  <c r="O128" i="39"/>
  <c r="P128" i="39" s="1"/>
  <c r="Q128" i="39" s="1"/>
  <c r="O189" i="39"/>
  <c r="P189" i="39" s="1"/>
  <c r="Q189" i="39" s="1"/>
  <c r="O310" i="39"/>
  <c r="P310" i="39" s="1"/>
  <c r="Q310" i="39" s="1"/>
  <c r="O111" i="39"/>
  <c r="P111" i="39" s="1"/>
  <c r="Q111" i="39" s="1"/>
  <c r="O265" i="39"/>
  <c r="P265" i="39" s="1"/>
  <c r="Q265" i="39" s="1"/>
  <c r="O134" i="39"/>
  <c r="P134" i="39" s="1"/>
  <c r="Q134" i="39" s="1"/>
  <c r="O173" i="39"/>
  <c r="P173" i="39" s="1"/>
  <c r="Q173" i="39" s="1"/>
  <c r="O262" i="39"/>
  <c r="P262" i="39" s="1"/>
  <c r="Q262" i="39" s="1"/>
  <c r="O269" i="39"/>
  <c r="P269" i="39" s="1"/>
  <c r="Q269" i="39" s="1"/>
  <c r="O21" i="39"/>
  <c r="P21" i="39" s="1"/>
  <c r="Q21" i="39" s="1"/>
  <c r="O170" i="39"/>
  <c r="P170" i="39" s="1"/>
  <c r="Q170" i="39" s="1"/>
  <c r="O23" i="39"/>
  <c r="P23" i="39" s="1"/>
  <c r="Q23" i="39" s="1"/>
  <c r="O125" i="39"/>
  <c r="P125" i="39" s="1"/>
  <c r="Q125" i="39" s="1"/>
  <c r="O53" i="39"/>
  <c r="P53" i="39" s="1"/>
  <c r="Q53" i="39" s="1"/>
  <c r="O18" i="39"/>
  <c r="P18" i="39" s="1"/>
  <c r="Q18" i="39" s="1"/>
  <c r="O130" i="39"/>
  <c r="P130" i="39" s="1"/>
  <c r="Q130" i="39" s="1"/>
  <c r="O79" i="39"/>
  <c r="P79" i="39" s="1"/>
  <c r="Q79" i="39" s="1"/>
  <c r="O184" i="39"/>
  <c r="P184" i="39" s="1"/>
  <c r="Q184" i="39" s="1"/>
  <c r="O237" i="39"/>
  <c r="P237" i="39" s="1"/>
  <c r="Q237" i="39" s="1"/>
  <c r="O113" i="39"/>
  <c r="P113" i="39" s="1"/>
  <c r="Q113" i="39" s="1"/>
  <c r="O41" i="39"/>
  <c r="P41" i="39" s="1"/>
  <c r="Q41" i="39" s="1"/>
  <c r="O300" i="39"/>
  <c r="P300" i="39" s="1"/>
  <c r="Q300" i="39" s="1"/>
  <c r="O176" i="39"/>
  <c r="P176" i="39" s="1"/>
  <c r="Q176" i="39" s="1"/>
  <c r="O63" i="39"/>
  <c r="P63" i="39" s="1"/>
  <c r="Q63" i="39" s="1"/>
  <c r="O103" i="39"/>
  <c r="P103" i="39" s="1"/>
  <c r="Q103" i="39" s="1"/>
  <c r="O65" i="39"/>
  <c r="P65" i="39" s="1"/>
  <c r="Q65" i="39" s="1"/>
  <c r="O182" i="39"/>
  <c r="P182" i="39" s="1"/>
  <c r="Q182" i="39" s="1"/>
  <c r="O30" i="39"/>
  <c r="P30" i="39" s="1"/>
  <c r="Q30" i="39" s="1"/>
  <c r="O279" i="39"/>
  <c r="P279" i="39" s="1"/>
  <c r="Q279" i="39" s="1"/>
  <c r="O240" i="39"/>
  <c r="P240" i="39" s="1"/>
  <c r="Q240" i="39" s="1"/>
  <c r="O154" i="39"/>
  <c r="P154" i="39" s="1"/>
  <c r="Q154" i="39" s="1"/>
  <c r="O210" i="39"/>
  <c r="P210" i="39" s="1"/>
  <c r="Q210" i="39" s="1"/>
  <c r="O50" i="39"/>
  <c r="P50" i="39" s="1"/>
  <c r="Q50" i="39" s="1"/>
  <c r="O22" i="39"/>
  <c r="P22" i="39" s="1"/>
  <c r="Q22" i="39" s="1"/>
  <c r="O101" i="39"/>
  <c r="P101" i="39" s="1"/>
  <c r="Q101" i="39" s="1"/>
  <c r="O106" i="39"/>
  <c r="P106" i="39" s="1"/>
  <c r="Q106" i="39" s="1"/>
  <c r="O142" i="39"/>
  <c r="P142" i="39" s="1"/>
  <c r="Q142" i="39" s="1"/>
  <c r="O194" i="39"/>
  <c r="P194" i="39" s="1"/>
  <c r="Q194" i="39" s="1"/>
  <c r="O95" i="39"/>
  <c r="P95" i="39" s="1"/>
  <c r="Q95" i="39" s="1"/>
  <c r="O224" i="39"/>
  <c r="P224" i="39" s="1"/>
  <c r="Q224" i="39" s="1"/>
  <c r="O90" i="39"/>
  <c r="P90" i="39" s="1"/>
  <c r="Q90" i="39" s="1"/>
  <c r="O160" i="39"/>
  <c r="P160" i="39" s="1"/>
  <c r="Q160" i="39" s="1"/>
  <c r="O32" i="39"/>
  <c r="P32" i="39" s="1"/>
  <c r="Q32" i="39" s="1"/>
  <c r="O247" i="39"/>
  <c r="P247" i="39" s="1"/>
  <c r="Q247" i="39" s="1"/>
  <c r="O191" i="39"/>
  <c r="P191" i="39" s="1"/>
  <c r="Q191" i="39" s="1"/>
  <c r="O261" i="39"/>
  <c r="P261" i="39" s="1"/>
  <c r="Q261" i="39" s="1"/>
  <c r="O272" i="39"/>
  <c r="P272" i="39" s="1"/>
  <c r="Q272" i="39" s="1"/>
  <c r="O167" i="39"/>
  <c r="P167" i="39" s="1"/>
  <c r="Q167" i="39" s="1"/>
  <c r="O222" i="39"/>
  <c r="P222" i="39" s="1"/>
  <c r="Q222" i="39" s="1"/>
  <c r="O257" i="39"/>
  <c r="P257" i="39" s="1"/>
  <c r="Q257" i="39" s="1"/>
  <c r="O162" i="39"/>
  <c r="P162" i="39" s="1"/>
  <c r="Q162" i="39" s="1"/>
  <c r="O80" i="39"/>
  <c r="P80" i="39" s="1"/>
  <c r="Q80" i="39" s="1"/>
  <c r="O181" i="39"/>
  <c r="P181" i="39" s="1"/>
  <c r="Q181" i="39" s="1"/>
  <c r="O200" i="39"/>
  <c r="P200" i="39" s="1"/>
  <c r="Q200" i="39" s="1"/>
  <c r="O293" i="39"/>
  <c r="P293" i="39" s="1"/>
  <c r="Q293" i="39" s="1"/>
  <c r="O305" i="39"/>
  <c r="P305" i="39" s="1"/>
  <c r="Q305" i="39" s="1"/>
  <c r="O100" i="39"/>
  <c r="P100" i="39" s="1"/>
  <c r="Q100" i="39" s="1"/>
  <c r="O124" i="39"/>
  <c r="P124" i="39" s="1"/>
  <c r="Q124" i="39" s="1"/>
  <c r="O270" i="39"/>
  <c r="P270" i="39" s="1"/>
  <c r="Q270" i="39" s="1"/>
  <c r="O238" i="39"/>
  <c r="P238" i="39" s="1"/>
  <c r="Q238" i="39" s="1"/>
  <c r="O85" i="39"/>
  <c r="P85" i="39" s="1"/>
  <c r="Q85" i="39" s="1"/>
  <c r="O312" i="39"/>
  <c r="P312" i="39" s="1"/>
  <c r="Q312" i="39" s="1"/>
  <c r="O104" i="39"/>
  <c r="P104" i="39" s="1"/>
  <c r="Q104" i="39" s="1"/>
  <c r="O233" i="39"/>
  <c r="P233" i="39" s="1"/>
  <c r="Q233" i="39" s="1"/>
  <c r="O42" i="39"/>
  <c r="P42" i="39" s="1"/>
  <c r="Q42" i="39" s="1"/>
  <c r="O241" i="39"/>
  <c r="P241" i="39" s="1"/>
  <c r="Q241" i="39" s="1"/>
  <c r="O14" i="39"/>
  <c r="P14" i="39" s="1"/>
  <c r="Q14" i="39" s="1"/>
  <c r="O187" i="39"/>
  <c r="P187" i="39" s="1"/>
  <c r="Q187" i="39" s="1"/>
  <c r="O54" i="39"/>
  <c r="P54" i="39" s="1"/>
  <c r="Q54" i="39" s="1"/>
  <c r="O149" i="39"/>
  <c r="P149" i="39" s="1"/>
  <c r="Q149" i="39" s="1"/>
  <c r="O289" i="39"/>
  <c r="P289" i="39" s="1"/>
  <c r="Q289" i="39" s="1"/>
  <c r="O26" i="39"/>
  <c r="P26" i="39" s="1"/>
  <c r="Q26" i="39" s="1"/>
  <c r="O196" i="39"/>
  <c r="P196" i="39" s="1"/>
  <c r="Q196" i="39" s="1"/>
  <c r="O29" i="39"/>
  <c r="P29" i="39" s="1"/>
  <c r="Q29" i="39" s="1"/>
  <c r="O161" i="39"/>
  <c r="P161" i="39" s="1"/>
  <c r="Q161" i="39" s="1"/>
  <c r="O119" i="39"/>
  <c r="P119" i="39" s="1"/>
  <c r="Q119" i="39" s="1"/>
  <c r="O298" i="39"/>
  <c r="P298" i="39" s="1"/>
  <c r="Q298" i="39" s="1"/>
  <c r="O277" i="39"/>
  <c r="P277" i="39" s="1"/>
  <c r="Q277" i="39" s="1"/>
  <c r="O180" i="39"/>
  <c r="P180" i="39" s="1"/>
  <c r="Q180" i="39" s="1"/>
  <c r="O93" i="39"/>
  <c r="P93" i="39" s="1"/>
  <c r="Q93" i="39" s="1"/>
  <c r="O127" i="39"/>
  <c r="P127" i="39" s="1"/>
  <c r="Q127" i="39" s="1"/>
  <c r="O207" i="39"/>
  <c r="P207" i="39" s="1"/>
  <c r="Q207" i="39" s="1"/>
  <c r="O197" i="39"/>
  <c r="P197" i="39" s="1"/>
  <c r="Q197" i="39" s="1"/>
  <c r="O226" i="39"/>
  <c r="P226" i="39" s="1"/>
  <c r="Q226" i="39" s="1"/>
  <c r="O25" i="39"/>
  <c r="P25" i="39" s="1"/>
  <c r="Q25" i="39" s="1"/>
  <c r="O76" i="39"/>
  <c r="P76" i="39" s="1"/>
  <c r="Q76" i="39" s="1"/>
  <c r="O66" i="39"/>
  <c r="P66" i="39" s="1"/>
  <c r="Q66" i="39" s="1"/>
  <c r="O60" i="39"/>
  <c r="P60" i="39" s="1"/>
  <c r="Q60" i="39" s="1"/>
  <c r="O19" i="39"/>
  <c r="P19" i="39" s="1"/>
  <c r="Q19" i="39" s="1"/>
  <c r="O218" i="39"/>
  <c r="P218" i="39" s="1"/>
  <c r="Q218" i="39" s="1"/>
  <c r="O193" i="39"/>
  <c r="P193" i="39" s="1"/>
  <c r="Q193" i="39" s="1"/>
  <c r="O220" i="39"/>
  <c r="P220" i="39" s="1"/>
  <c r="Q220" i="39" s="1"/>
  <c r="O296" i="39"/>
  <c r="P296" i="39" s="1"/>
  <c r="Q296" i="39" s="1"/>
  <c r="O52" i="39"/>
  <c r="P52" i="39" s="1"/>
  <c r="Q52" i="39" s="1"/>
  <c r="O97" i="39"/>
  <c r="P97" i="39" s="1"/>
  <c r="Q97" i="39" s="1"/>
  <c r="O48" i="39"/>
  <c r="P48" i="39" s="1"/>
  <c r="Q48" i="39" s="1"/>
  <c r="O110" i="39"/>
  <c r="P110" i="39" s="1"/>
  <c r="Q110" i="39" s="1"/>
  <c r="O195" i="39"/>
  <c r="P195" i="39" s="1"/>
  <c r="Q195" i="39" s="1"/>
  <c r="O263" i="39"/>
  <c r="P263" i="39" s="1"/>
  <c r="Q263" i="39" s="1"/>
  <c r="O206" i="39"/>
  <c r="P206" i="39" s="1"/>
  <c r="Q206" i="39" s="1"/>
  <c r="O7" i="39"/>
  <c r="P7" i="39" s="1"/>
  <c r="Q7" i="39" s="1"/>
  <c r="O117" i="39"/>
  <c r="P117" i="39" s="1"/>
  <c r="Q117" i="39" s="1"/>
  <c r="O151" i="39"/>
  <c r="P151" i="39" s="1"/>
  <c r="Q151" i="39" s="1"/>
  <c r="O24" i="39"/>
  <c r="P24" i="39" s="1"/>
  <c r="Q24" i="39" s="1"/>
  <c r="O5" i="39"/>
  <c r="P5" i="39" s="1"/>
  <c r="Q5" i="39" s="1"/>
  <c r="O309" i="39"/>
  <c r="P309" i="39" s="1"/>
  <c r="Q309" i="39" s="1"/>
  <c r="O70" i="39"/>
  <c r="P70" i="39" s="1"/>
  <c r="Q70" i="39" s="1"/>
  <c r="O256" i="39"/>
  <c r="P256" i="39" s="1"/>
  <c r="Q256" i="39" s="1"/>
  <c r="O229" i="39"/>
  <c r="P229" i="39" s="1"/>
  <c r="Q229" i="39" s="1"/>
  <c r="O88" i="39"/>
  <c r="P88" i="39" s="1"/>
  <c r="Q88" i="39" s="1"/>
  <c r="O9" i="39"/>
  <c r="P9" i="39" s="1"/>
  <c r="Q9" i="39" s="1"/>
  <c r="O163" i="39"/>
  <c r="P163" i="39" s="1"/>
  <c r="Q163" i="39" s="1"/>
  <c r="O129" i="39"/>
  <c r="P129" i="39" s="1"/>
  <c r="Q129" i="39" s="1"/>
  <c r="O278" i="39"/>
  <c r="P278" i="39" s="1"/>
  <c r="Q278" i="39" s="1"/>
  <c r="O11" i="39"/>
  <c r="P11" i="39" s="1"/>
  <c r="Q11" i="39" s="1"/>
  <c r="O74" i="39"/>
  <c r="P74" i="39" s="1"/>
  <c r="Q74" i="39" s="1"/>
  <c r="O27" i="39"/>
  <c r="P27" i="39" s="1"/>
  <c r="Q27" i="39" s="1"/>
  <c r="O291" i="39"/>
  <c r="P291" i="39" s="1"/>
  <c r="Q291" i="39" s="1"/>
  <c r="O4" i="39"/>
  <c r="O45" i="38"/>
  <c r="P45" i="38" s="1"/>
  <c r="Q45" i="38" s="1"/>
  <c r="O102" i="38"/>
  <c r="P102" i="38" s="1"/>
  <c r="Q102" i="38" s="1"/>
  <c r="O108" i="38"/>
  <c r="P108" i="38" s="1"/>
  <c r="Q108" i="38" s="1"/>
  <c r="O28" i="38"/>
  <c r="P28" i="38" s="1"/>
  <c r="Q28" i="38" s="1"/>
  <c r="O36" i="38"/>
  <c r="P36" i="38" s="1"/>
  <c r="Q36" i="38" s="1"/>
  <c r="O280" i="38"/>
  <c r="P280" i="38" s="1"/>
  <c r="Q280" i="38" s="1"/>
  <c r="O274" i="38"/>
  <c r="P274" i="38" s="1"/>
  <c r="Q274" i="38" s="1"/>
  <c r="O40" i="38"/>
  <c r="P40" i="38" s="1"/>
  <c r="Q40" i="38" s="1"/>
  <c r="O239" i="38"/>
  <c r="P239" i="38" s="1"/>
  <c r="Q239" i="38" s="1"/>
  <c r="O174" i="38"/>
  <c r="P174" i="38" s="1"/>
  <c r="Q174" i="38" s="1"/>
  <c r="O304" i="38"/>
  <c r="P304" i="38" s="1"/>
  <c r="Q304" i="38" s="1"/>
  <c r="O46" i="38"/>
  <c r="P46" i="38" s="1"/>
  <c r="Q46" i="38" s="1"/>
  <c r="O252" i="38"/>
  <c r="P252" i="38" s="1"/>
  <c r="Q252" i="38" s="1"/>
  <c r="O123" i="38"/>
  <c r="P123" i="38" s="1"/>
  <c r="Q123" i="38" s="1"/>
  <c r="O69" i="38"/>
  <c r="P69" i="38" s="1"/>
  <c r="Q69" i="38" s="1"/>
  <c r="O111" i="38"/>
  <c r="P111" i="38" s="1"/>
  <c r="Q111" i="38" s="1"/>
  <c r="O137" i="38"/>
  <c r="P137" i="38" s="1"/>
  <c r="Q137" i="38" s="1"/>
  <c r="O79" i="38"/>
  <c r="P79" i="38" s="1"/>
  <c r="Q79" i="38" s="1"/>
  <c r="O181" i="38"/>
  <c r="P181" i="38" s="1"/>
  <c r="Q181" i="38" s="1"/>
  <c r="O165" i="38"/>
  <c r="P165" i="38" s="1"/>
  <c r="Q165" i="38" s="1"/>
  <c r="O7" i="38"/>
  <c r="P7" i="38" s="1"/>
  <c r="Q7" i="38" s="1"/>
  <c r="O29" i="38"/>
  <c r="P29" i="38" s="1"/>
  <c r="Q29" i="38" s="1"/>
  <c r="O219" i="38"/>
  <c r="P219" i="38" s="1"/>
  <c r="Q219" i="38" s="1"/>
  <c r="O43" i="38"/>
  <c r="P43" i="38" s="1"/>
  <c r="Q43" i="38" s="1"/>
  <c r="O125" i="38"/>
  <c r="P125" i="38" s="1"/>
  <c r="Q125" i="38" s="1"/>
  <c r="O147" i="38"/>
  <c r="P147" i="38" s="1"/>
  <c r="Q147" i="38" s="1"/>
  <c r="O140" i="38"/>
  <c r="P140" i="38" s="1"/>
  <c r="Q140" i="38" s="1"/>
  <c r="O182" i="38"/>
  <c r="P182" i="38" s="1"/>
  <c r="Q182" i="38" s="1"/>
  <c r="O81" i="38"/>
  <c r="P81" i="38" s="1"/>
  <c r="Q81" i="38" s="1"/>
  <c r="O201" i="38"/>
  <c r="P201" i="38" s="1"/>
  <c r="Q201" i="38" s="1"/>
  <c r="O313" i="38"/>
  <c r="P313" i="38" s="1"/>
  <c r="Q313" i="38" s="1"/>
  <c r="O120" i="38"/>
  <c r="P120" i="38" s="1"/>
  <c r="Q120" i="38" s="1"/>
  <c r="O5" i="38"/>
  <c r="P5" i="38" s="1"/>
  <c r="Q5" i="38" s="1"/>
  <c r="O196" i="38"/>
  <c r="P196" i="38" s="1"/>
  <c r="Q196" i="38" s="1"/>
  <c r="O142" i="38"/>
  <c r="P142" i="38" s="1"/>
  <c r="Q142" i="38" s="1"/>
  <c r="O218" i="38"/>
  <c r="P218" i="38" s="1"/>
  <c r="Q218" i="38" s="1"/>
  <c r="O245" i="38"/>
  <c r="P245" i="38" s="1"/>
  <c r="Q245" i="38" s="1"/>
  <c r="O9" i="38"/>
  <c r="P9" i="38" s="1"/>
  <c r="Q9" i="38" s="1"/>
  <c r="O71" i="38"/>
  <c r="P71" i="38" s="1"/>
  <c r="Q71" i="38" s="1"/>
  <c r="O149" i="38"/>
  <c r="P149" i="38" s="1"/>
  <c r="Q149" i="38" s="1"/>
  <c r="O31" i="38"/>
  <c r="P31" i="38" s="1"/>
  <c r="Q31" i="38" s="1"/>
  <c r="O114" i="38"/>
  <c r="P114" i="38" s="1"/>
  <c r="Q114" i="38" s="1"/>
  <c r="O127" i="38"/>
  <c r="P127" i="38" s="1"/>
  <c r="Q127" i="38" s="1"/>
  <c r="O97" i="38"/>
  <c r="P97" i="38" s="1"/>
  <c r="Q97" i="38" s="1"/>
  <c r="O42" i="38"/>
  <c r="P42" i="38" s="1"/>
  <c r="Q42" i="38" s="1"/>
  <c r="O195" i="38"/>
  <c r="P195" i="38" s="1"/>
  <c r="Q195" i="38" s="1"/>
  <c r="O106" i="38"/>
  <c r="P106" i="38" s="1"/>
  <c r="Q106" i="38" s="1"/>
  <c r="O253" i="38"/>
  <c r="P253" i="38" s="1"/>
  <c r="Q253" i="38" s="1"/>
  <c r="O211" i="38"/>
  <c r="P211" i="38" s="1"/>
  <c r="Q211" i="38" s="1"/>
  <c r="O104" i="38"/>
  <c r="P104" i="38" s="1"/>
  <c r="Q104" i="38" s="1"/>
  <c r="O273" i="38"/>
  <c r="P273" i="38" s="1"/>
  <c r="Q273" i="38" s="1"/>
  <c r="O19" i="38"/>
  <c r="P19" i="38" s="1"/>
  <c r="Q19" i="38" s="1"/>
  <c r="O78" i="38"/>
  <c r="P78" i="38" s="1"/>
  <c r="Q78" i="38" s="1"/>
  <c r="O228" i="38"/>
  <c r="P228" i="38" s="1"/>
  <c r="Q228" i="38" s="1"/>
  <c r="O178" i="38"/>
  <c r="P178" i="38" s="1"/>
  <c r="Q178" i="38" s="1"/>
  <c r="O272" i="38"/>
  <c r="P272" i="38" s="1"/>
  <c r="Q272" i="38" s="1"/>
  <c r="O112" i="38"/>
  <c r="P112" i="38" s="1"/>
  <c r="Q112" i="38" s="1"/>
  <c r="O208" i="38"/>
  <c r="P208" i="38" s="1"/>
  <c r="Q208" i="38" s="1"/>
  <c r="O226" i="38"/>
  <c r="P226" i="38" s="1"/>
  <c r="Q226" i="38" s="1"/>
  <c r="O16" i="38"/>
  <c r="P16" i="38" s="1"/>
  <c r="Q16" i="38" s="1"/>
  <c r="O138" i="38"/>
  <c r="P138" i="38" s="1"/>
  <c r="Q138" i="38" s="1"/>
  <c r="O82" i="38"/>
  <c r="P82" i="38" s="1"/>
  <c r="Q82" i="38" s="1"/>
  <c r="O233" i="38"/>
  <c r="P233" i="38" s="1"/>
  <c r="Q233" i="38" s="1"/>
  <c r="O298" i="38"/>
  <c r="P298" i="38" s="1"/>
  <c r="Q298" i="38" s="1"/>
  <c r="O270" i="38"/>
  <c r="P270" i="38" s="1"/>
  <c r="Q270" i="38" s="1"/>
  <c r="O295" i="38"/>
  <c r="P295" i="38" s="1"/>
  <c r="Q295" i="38" s="1"/>
  <c r="O115" i="38"/>
  <c r="P115" i="38" s="1"/>
  <c r="Q115" i="38" s="1"/>
  <c r="O242" i="38"/>
  <c r="P242" i="38" s="1"/>
  <c r="Q242" i="38" s="1"/>
  <c r="O96" i="38"/>
  <c r="P96" i="38" s="1"/>
  <c r="Q96" i="38" s="1"/>
  <c r="O155" i="38"/>
  <c r="P155" i="38" s="1"/>
  <c r="Q155" i="38" s="1"/>
  <c r="O197" i="38"/>
  <c r="P197" i="38" s="1"/>
  <c r="Q197" i="38" s="1"/>
  <c r="O130" i="38"/>
  <c r="P130" i="38" s="1"/>
  <c r="Q130" i="38" s="1"/>
  <c r="O160" i="38"/>
  <c r="P160" i="38" s="1"/>
  <c r="Q160" i="38" s="1"/>
  <c r="O289" i="38"/>
  <c r="P289" i="38" s="1"/>
  <c r="Q289" i="38" s="1"/>
  <c r="O84" i="38"/>
  <c r="P84" i="38" s="1"/>
  <c r="Q84" i="38" s="1"/>
  <c r="O57" i="38"/>
  <c r="P57" i="38" s="1"/>
  <c r="Q57" i="38" s="1"/>
  <c r="O278" i="38"/>
  <c r="P278" i="38" s="1"/>
  <c r="Q278" i="38" s="1"/>
  <c r="O258" i="38"/>
  <c r="P258" i="38" s="1"/>
  <c r="Q258" i="38" s="1"/>
  <c r="O236" i="38"/>
  <c r="P236" i="38" s="1"/>
  <c r="Q236" i="38" s="1"/>
  <c r="O10" i="38"/>
  <c r="P10" i="38" s="1"/>
  <c r="Q10" i="38" s="1"/>
  <c r="O103" i="38"/>
  <c r="P103" i="38" s="1"/>
  <c r="Q103" i="38" s="1"/>
  <c r="O162" i="38"/>
  <c r="P162" i="38" s="1"/>
  <c r="Q162" i="38" s="1"/>
  <c r="O143" i="38"/>
  <c r="P143" i="38" s="1"/>
  <c r="Q143" i="38" s="1"/>
  <c r="O309" i="38"/>
  <c r="P309" i="38" s="1"/>
  <c r="Q309" i="38" s="1"/>
  <c r="O286" i="38"/>
  <c r="P286" i="38" s="1"/>
  <c r="Q286" i="38" s="1"/>
  <c r="O227" i="38"/>
  <c r="P227" i="38" s="1"/>
  <c r="Q227" i="38" s="1"/>
  <c r="O23" i="38"/>
  <c r="P23" i="38" s="1"/>
  <c r="Q23" i="38" s="1"/>
  <c r="O271" i="38"/>
  <c r="P271" i="38" s="1"/>
  <c r="Q271" i="38" s="1"/>
  <c r="O37" i="38"/>
  <c r="P37" i="38" s="1"/>
  <c r="Q37" i="38" s="1"/>
  <c r="O269" i="38"/>
  <c r="P269" i="38" s="1"/>
  <c r="Q269" i="38" s="1"/>
  <c r="O257" i="38"/>
  <c r="P257" i="38" s="1"/>
  <c r="Q257" i="38" s="1"/>
  <c r="O264" i="38"/>
  <c r="P264" i="38" s="1"/>
  <c r="Q264" i="38" s="1"/>
  <c r="O48" i="38"/>
  <c r="P48" i="38" s="1"/>
  <c r="Q48" i="38" s="1"/>
  <c r="O202" i="38"/>
  <c r="P202" i="38" s="1"/>
  <c r="Q202" i="38" s="1"/>
  <c r="O113" i="38"/>
  <c r="P113" i="38" s="1"/>
  <c r="Q113" i="38" s="1"/>
  <c r="O159" i="38"/>
  <c r="P159" i="38" s="1"/>
  <c r="Q159" i="38" s="1"/>
  <c r="O200" i="38"/>
  <c r="P200" i="38" s="1"/>
  <c r="Q200" i="38" s="1"/>
  <c r="O221" i="38"/>
  <c r="P221" i="38" s="1"/>
  <c r="Q221" i="38" s="1"/>
  <c r="O157" i="38"/>
  <c r="P157" i="38" s="1"/>
  <c r="Q157" i="38" s="1"/>
  <c r="O22" i="38"/>
  <c r="P22" i="38" s="1"/>
  <c r="Q22" i="38" s="1"/>
  <c r="O129" i="38"/>
  <c r="P129" i="38" s="1"/>
  <c r="Q129" i="38" s="1"/>
  <c r="O256" i="38"/>
  <c r="P256" i="38" s="1"/>
  <c r="Q256" i="38" s="1"/>
  <c r="O70" i="38"/>
  <c r="P70" i="38" s="1"/>
  <c r="Q70" i="38" s="1"/>
  <c r="O281" i="38"/>
  <c r="P281" i="38" s="1"/>
  <c r="Q281" i="38" s="1"/>
  <c r="O145" i="38"/>
  <c r="P145" i="38" s="1"/>
  <c r="Q145" i="38" s="1"/>
  <c r="O241" i="38"/>
  <c r="P241" i="38" s="1"/>
  <c r="Q241" i="38" s="1"/>
  <c r="O176" i="38"/>
  <c r="P176" i="38" s="1"/>
  <c r="Q176" i="38" s="1"/>
  <c r="O26" i="38"/>
  <c r="P26" i="38" s="1"/>
  <c r="Q26" i="38" s="1"/>
  <c r="O294" i="38"/>
  <c r="P294" i="38" s="1"/>
  <c r="Q294" i="38" s="1"/>
  <c r="O32" i="38"/>
  <c r="P32" i="38" s="1"/>
  <c r="Q32" i="38" s="1"/>
  <c r="O268" i="38"/>
  <c r="P268" i="38" s="1"/>
  <c r="Q268" i="38" s="1"/>
  <c r="O17" i="38"/>
  <c r="P17" i="38" s="1"/>
  <c r="Q17" i="38" s="1"/>
  <c r="O77" i="38"/>
  <c r="P77" i="38" s="1"/>
  <c r="Q77" i="38" s="1"/>
  <c r="O215" i="38"/>
  <c r="P215" i="38" s="1"/>
  <c r="Q215" i="38" s="1"/>
  <c r="O237" i="38"/>
  <c r="P237" i="38" s="1"/>
  <c r="Q237" i="38" s="1"/>
  <c r="O150" i="38"/>
  <c r="P150" i="38" s="1"/>
  <c r="Q150" i="38" s="1"/>
  <c r="O315" i="38"/>
  <c r="P315" i="38" s="1"/>
  <c r="Q315" i="38" s="1"/>
  <c r="O8" i="38"/>
  <c r="P8" i="38" s="1"/>
  <c r="Q8" i="38" s="1"/>
  <c r="O154" i="38"/>
  <c r="P154" i="38" s="1"/>
  <c r="Q154" i="38" s="1"/>
  <c r="O212" i="38"/>
  <c r="P212" i="38" s="1"/>
  <c r="Q212" i="38" s="1"/>
  <c r="O191" i="38"/>
  <c r="P191" i="38" s="1"/>
  <c r="Q191" i="38" s="1"/>
  <c r="O66" i="38"/>
  <c r="P66" i="38" s="1"/>
  <c r="Q66" i="38" s="1"/>
  <c r="O13" i="38"/>
  <c r="P13" i="38" s="1"/>
  <c r="Q13" i="38" s="1"/>
  <c r="O166" i="38"/>
  <c r="P166" i="38" s="1"/>
  <c r="Q166" i="38" s="1"/>
  <c r="O156" i="38"/>
  <c r="P156" i="38" s="1"/>
  <c r="Q156" i="38" s="1"/>
  <c r="O67" i="38"/>
  <c r="P67" i="38" s="1"/>
  <c r="Q67" i="38" s="1"/>
  <c r="O234" i="38"/>
  <c r="P234" i="38" s="1"/>
  <c r="Q234" i="38" s="1"/>
  <c r="O210" i="38"/>
  <c r="P210" i="38" s="1"/>
  <c r="Q210" i="38" s="1"/>
  <c r="O93" i="38"/>
  <c r="P93" i="38" s="1"/>
  <c r="Q93" i="38" s="1"/>
  <c r="O163" i="38"/>
  <c r="P163" i="38" s="1"/>
  <c r="Q163" i="38" s="1"/>
  <c r="O139" i="38"/>
  <c r="P139" i="38" s="1"/>
  <c r="Q139" i="38" s="1"/>
  <c r="O220" i="38"/>
  <c r="P220" i="38" s="1"/>
  <c r="Q220" i="38" s="1"/>
  <c r="O284" i="38"/>
  <c r="P284" i="38" s="1"/>
  <c r="Q284" i="38" s="1"/>
  <c r="O282" i="38"/>
  <c r="P282" i="38" s="1"/>
  <c r="Q282" i="38" s="1"/>
  <c r="O89" i="38"/>
  <c r="P89" i="38" s="1"/>
  <c r="Q89" i="38" s="1"/>
  <c r="O223" i="38"/>
  <c r="P223" i="38" s="1"/>
  <c r="Q223" i="38" s="1"/>
  <c r="O27" i="38"/>
  <c r="P27" i="38" s="1"/>
  <c r="Q27" i="38" s="1"/>
  <c r="O94" i="38"/>
  <c r="P94" i="38" s="1"/>
  <c r="Q94" i="38" s="1"/>
  <c r="O72" i="38"/>
  <c r="P72" i="38" s="1"/>
  <c r="Q72" i="38" s="1"/>
  <c r="O262" i="38"/>
  <c r="P262" i="38" s="1"/>
  <c r="Q262" i="38" s="1"/>
  <c r="O314" i="38"/>
  <c r="P314" i="38" s="1"/>
  <c r="Q314" i="38" s="1"/>
  <c r="O249" i="38"/>
  <c r="P249" i="38" s="1"/>
  <c r="Q249" i="38" s="1"/>
  <c r="O203" i="38"/>
  <c r="P203" i="38" s="1"/>
  <c r="Q203" i="38" s="1"/>
  <c r="O169" i="38"/>
  <c r="P169" i="38" s="1"/>
  <c r="Q169" i="38" s="1"/>
  <c r="O177" i="38"/>
  <c r="P177" i="38" s="1"/>
  <c r="Q177" i="38" s="1"/>
  <c r="O299" i="38"/>
  <c r="P299" i="38" s="1"/>
  <c r="Q299" i="38" s="1"/>
  <c r="O148" i="38"/>
  <c r="P148" i="38" s="1"/>
  <c r="Q148" i="38" s="1"/>
  <c r="O288" i="38"/>
  <c r="P288" i="38" s="1"/>
  <c r="Q288" i="38" s="1"/>
  <c r="O266" i="38"/>
  <c r="P266" i="38" s="1"/>
  <c r="Q266" i="38" s="1"/>
  <c r="O186" i="38"/>
  <c r="P186" i="38" s="1"/>
  <c r="Q186" i="38" s="1"/>
  <c r="O59" i="38"/>
  <c r="P59" i="38" s="1"/>
  <c r="Q59" i="38" s="1"/>
  <c r="O204" i="38"/>
  <c r="P204" i="38" s="1"/>
  <c r="Q204" i="38" s="1"/>
  <c r="O173" i="38"/>
  <c r="P173" i="38" s="1"/>
  <c r="Q173" i="38" s="1"/>
  <c r="O265" i="38"/>
  <c r="P265" i="38" s="1"/>
  <c r="Q265" i="38" s="1"/>
  <c r="O296" i="38"/>
  <c r="P296" i="38" s="1"/>
  <c r="Q296" i="38" s="1"/>
  <c r="O33" i="38"/>
  <c r="P33" i="38" s="1"/>
  <c r="Q33" i="38" s="1"/>
  <c r="O189" i="38"/>
  <c r="P189" i="38" s="1"/>
  <c r="Q189" i="38" s="1"/>
  <c r="O260" i="38"/>
  <c r="P260" i="38" s="1"/>
  <c r="Q260" i="38" s="1"/>
  <c r="O58" i="38"/>
  <c r="P58" i="38" s="1"/>
  <c r="Q58" i="38" s="1"/>
  <c r="O56" i="38"/>
  <c r="P56" i="38" s="1"/>
  <c r="Q56" i="38" s="1"/>
  <c r="O164" i="38"/>
  <c r="P164" i="38" s="1"/>
  <c r="Q164" i="38" s="1"/>
  <c r="O68" i="38"/>
  <c r="P68" i="38" s="1"/>
  <c r="Q68" i="38" s="1"/>
  <c r="O254" i="38"/>
  <c r="P254" i="38" s="1"/>
  <c r="Q254" i="38" s="1"/>
  <c r="O297" i="38"/>
  <c r="P297" i="38" s="1"/>
  <c r="Q297" i="38" s="1"/>
  <c r="O54" i="38"/>
  <c r="P54" i="38" s="1"/>
  <c r="Q54" i="38" s="1"/>
  <c r="O232" i="38"/>
  <c r="P232" i="38" s="1"/>
  <c r="Q232" i="38" s="1"/>
  <c r="O198" i="38"/>
  <c r="P198" i="38" s="1"/>
  <c r="Q198" i="38" s="1"/>
  <c r="O171" i="38"/>
  <c r="P171" i="38" s="1"/>
  <c r="Q171" i="38" s="1"/>
  <c r="O63" i="38"/>
  <c r="P63" i="38" s="1"/>
  <c r="Q63" i="38" s="1"/>
  <c r="O261" i="38"/>
  <c r="P261" i="38" s="1"/>
  <c r="Q261" i="38" s="1"/>
  <c r="O49" i="38"/>
  <c r="P49" i="38" s="1"/>
  <c r="Q49" i="38" s="1"/>
  <c r="O34" i="38"/>
  <c r="P34" i="38" s="1"/>
  <c r="Q34" i="38" s="1"/>
  <c r="O302" i="38"/>
  <c r="P302" i="38" s="1"/>
  <c r="Q302" i="38" s="1"/>
  <c r="O216" i="38"/>
  <c r="P216" i="38" s="1"/>
  <c r="Q216" i="38" s="1"/>
  <c r="O170" i="38"/>
  <c r="P170" i="38" s="1"/>
  <c r="Q170" i="38" s="1"/>
  <c r="O92" i="38"/>
  <c r="P92" i="38" s="1"/>
  <c r="Q92" i="38" s="1"/>
  <c r="O291" i="38"/>
  <c r="P291" i="38" s="1"/>
  <c r="Q291" i="38" s="1"/>
  <c r="O179" i="38"/>
  <c r="P179" i="38" s="1"/>
  <c r="Q179" i="38" s="1"/>
  <c r="O141" i="38"/>
  <c r="P141" i="38" s="1"/>
  <c r="Q141" i="38" s="1"/>
  <c r="O30" i="38"/>
  <c r="P30" i="38" s="1"/>
  <c r="Q30" i="38" s="1"/>
  <c r="O117" i="38"/>
  <c r="P117" i="38" s="1"/>
  <c r="Q117" i="38" s="1"/>
  <c r="O52" i="38"/>
  <c r="P52" i="38" s="1"/>
  <c r="Q52" i="38" s="1"/>
  <c r="O87" i="38"/>
  <c r="P87" i="38" s="1"/>
  <c r="Q87" i="38" s="1"/>
  <c r="O192" i="38"/>
  <c r="P192" i="38" s="1"/>
  <c r="Q192" i="38" s="1"/>
  <c r="O133" i="38"/>
  <c r="P133" i="38" s="1"/>
  <c r="Q133" i="38" s="1"/>
  <c r="O109" i="38"/>
  <c r="P109" i="38" s="1"/>
  <c r="Q109" i="38" s="1"/>
  <c r="O205" i="38"/>
  <c r="P205" i="38" s="1"/>
  <c r="Q205" i="38" s="1"/>
  <c r="O222" i="38"/>
  <c r="P222" i="38" s="1"/>
  <c r="Q222" i="38" s="1"/>
  <c r="O306" i="38"/>
  <c r="P306" i="38" s="1"/>
  <c r="Q306" i="38" s="1"/>
  <c r="O247" i="38"/>
  <c r="P247" i="38" s="1"/>
  <c r="Q247" i="38" s="1"/>
  <c r="O122" i="38"/>
  <c r="P122" i="38" s="1"/>
  <c r="Q122" i="38" s="1"/>
  <c r="O285" i="38"/>
  <c r="P285" i="38" s="1"/>
  <c r="Q285" i="38" s="1"/>
  <c r="O307" i="38"/>
  <c r="P307" i="38" s="1"/>
  <c r="Q307" i="38" s="1"/>
  <c r="O12" i="38"/>
  <c r="P12" i="38" s="1"/>
  <c r="Q12" i="38" s="1"/>
  <c r="O153" i="38"/>
  <c r="P153" i="38" s="1"/>
  <c r="Q153" i="38" s="1"/>
  <c r="O50" i="38"/>
  <c r="P50" i="38" s="1"/>
  <c r="Q50" i="38" s="1"/>
  <c r="O250" i="38"/>
  <c r="P250" i="38" s="1"/>
  <c r="Q250" i="38" s="1"/>
  <c r="O187" i="38"/>
  <c r="P187" i="38" s="1"/>
  <c r="Q187" i="38" s="1"/>
  <c r="O20" i="38"/>
  <c r="P20" i="38" s="1"/>
  <c r="Q20" i="38" s="1"/>
  <c r="O180" i="38"/>
  <c r="P180" i="38" s="1"/>
  <c r="Q180" i="38" s="1"/>
  <c r="O85" i="38"/>
  <c r="P85" i="38" s="1"/>
  <c r="Q85" i="38" s="1"/>
  <c r="O207" i="38"/>
  <c r="P207" i="38" s="1"/>
  <c r="Q207" i="38" s="1"/>
  <c r="O183" i="38"/>
  <c r="P183" i="38" s="1"/>
  <c r="Q183" i="38" s="1"/>
  <c r="O209" i="38"/>
  <c r="P209" i="38" s="1"/>
  <c r="Q209" i="38" s="1"/>
  <c r="O263" i="38"/>
  <c r="P263" i="38" s="1"/>
  <c r="Q263" i="38" s="1"/>
  <c r="O167" i="38"/>
  <c r="P167" i="38" s="1"/>
  <c r="Q167" i="38" s="1"/>
  <c r="O214" i="38"/>
  <c r="P214" i="38" s="1"/>
  <c r="Q214" i="38" s="1"/>
  <c r="O15" i="38"/>
  <c r="P15" i="38" s="1"/>
  <c r="Q15" i="38" s="1"/>
  <c r="O213" i="38"/>
  <c r="P213" i="38" s="1"/>
  <c r="Q213" i="38" s="1"/>
  <c r="O116" i="38"/>
  <c r="P116" i="38" s="1"/>
  <c r="Q116" i="38" s="1"/>
  <c r="O80" i="38"/>
  <c r="P80" i="38" s="1"/>
  <c r="Q80" i="38" s="1"/>
  <c r="O65" i="38"/>
  <c r="P65" i="38" s="1"/>
  <c r="Q65" i="38" s="1"/>
  <c r="O128" i="38"/>
  <c r="P128" i="38" s="1"/>
  <c r="Q128" i="38" s="1"/>
  <c r="O41" i="38"/>
  <c r="P41" i="38" s="1"/>
  <c r="Q41" i="38" s="1"/>
  <c r="O158" i="38"/>
  <c r="P158" i="38" s="1"/>
  <c r="Q158" i="38" s="1"/>
  <c r="O276" i="38"/>
  <c r="P276" i="38" s="1"/>
  <c r="Q276" i="38" s="1"/>
  <c r="O152" i="38"/>
  <c r="P152" i="38" s="1"/>
  <c r="Q152" i="38" s="1"/>
  <c r="O53" i="38"/>
  <c r="P53" i="38" s="1"/>
  <c r="Q53" i="38" s="1"/>
  <c r="O62" i="38"/>
  <c r="P62" i="38" s="1"/>
  <c r="Q62" i="38" s="1"/>
  <c r="O119" i="38"/>
  <c r="P119" i="38" s="1"/>
  <c r="Q119" i="38" s="1"/>
  <c r="O88" i="38"/>
  <c r="P88" i="38" s="1"/>
  <c r="Q88" i="38" s="1"/>
  <c r="O184" i="38"/>
  <c r="P184" i="38" s="1"/>
  <c r="Q184" i="38" s="1"/>
  <c r="O73" i="38"/>
  <c r="P73" i="38" s="1"/>
  <c r="Q73" i="38" s="1"/>
  <c r="O175" i="38"/>
  <c r="P175" i="38" s="1"/>
  <c r="Q175" i="38" s="1"/>
  <c r="O238" i="38"/>
  <c r="P238" i="38" s="1"/>
  <c r="Q238" i="38" s="1"/>
  <c r="O101" i="38"/>
  <c r="P101" i="38" s="1"/>
  <c r="Q101" i="38" s="1"/>
  <c r="O18" i="38"/>
  <c r="P18" i="38" s="1"/>
  <c r="Q18" i="38" s="1"/>
  <c r="O185" i="38"/>
  <c r="P185" i="38" s="1"/>
  <c r="Q185" i="38" s="1"/>
  <c r="O124" i="38"/>
  <c r="P124" i="38" s="1"/>
  <c r="Q124" i="38" s="1"/>
  <c r="O136" i="38"/>
  <c r="P136" i="38" s="1"/>
  <c r="Q136" i="38" s="1"/>
  <c r="O110" i="38"/>
  <c r="P110" i="38" s="1"/>
  <c r="Q110" i="38" s="1"/>
  <c r="O61" i="38"/>
  <c r="P61" i="38" s="1"/>
  <c r="Q61" i="38" s="1"/>
  <c r="O310" i="38"/>
  <c r="P310" i="38" s="1"/>
  <c r="Q310" i="38" s="1"/>
  <c r="O95" i="38"/>
  <c r="P95" i="38" s="1"/>
  <c r="Q95" i="38" s="1"/>
  <c r="O86" i="38"/>
  <c r="P86" i="38" s="1"/>
  <c r="Q86" i="38" s="1"/>
  <c r="O188" i="38"/>
  <c r="P188" i="38" s="1"/>
  <c r="Q188" i="38" s="1"/>
  <c r="O146" i="38"/>
  <c r="P146" i="38" s="1"/>
  <c r="Q146" i="38" s="1"/>
  <c r="O240" i="38"/>
  <c r="P240" i="38" s="1"/>
  <c r="Q240" i="38" s="1"/>
  <c r="O132" i="38"/>
  <c r="P132" i="38" s="1"/>
  <c r="Q132" i="38" s="1"/>
  <c r="O293" i="38"/>
  <c r="P293" i="38" s="1"/>
  <c r="Q293" i="38" s="1"/>
  <c r="O243" i="38"/>
  <c r="P243" i="38" s="1"/>
  <c r="Q243" i="38" s="1"/>
  <c r="O118" i="38"/>
  <c r="P118" i="38" s="1"/>
  <c r="Q118" i="38" s="1"/>
  <c r="O105" i="38"/>
  <c r="P105" i="38" s="1"/>
  <c r="Q105" i="38" s="1"/>
  <c r="O300" i="38"/>
  <c r="P300" i="38" s="1"/>
  <c r="Q300" i="38" s="1"/>
  <c r="O199" i="38"/>
  <c r="P199" i="38" s="1"/>
  <c r="Q199" i="38" s="1"/>
  <c r="O279" i="38"/>
  <c r="P279" i="38" s="1"/>
  <c r="Q279" i="38" s="1"/>
  <c r="O11" i="38"/>
  <c r="P11" i="38" s="1"/>
  <c r="Q11" i="38" s="1"/>
  <c r="O38" i="38"/>
  <c r="P38" i="38" s="1"/>
  <c r="Q38" i="38" s="1"/>
  <c r="O131" i="38"/>
  <c r="P131" i="38" s="1"/>
  <c r="Q131" i="38" s="1"/>
  <c r="O283" i="38"/>
  <c r="P283" i="38" s="1"/>
  <c r="Q283" i="38" s="1"/>
  <c r="O255" i="38"/>
  <c r="P255" i="38" s="1"/>
  <c r="Q255" i="38" s="1"/>
  <c r="O246" i="38"/>
  <c r="P246" i="38" s="1"/>
  <c r="Q246" i="38" s="1"/>
  <c r="O248" i="38"/>
  <c r="P248" i="38" s="1"/>
  <c r="Q248" i="38" s="1"/>
  <c r="O39" i="38"/>
  <c r="P39" i="38" s="1"/>
  <c r="Q39" i="38" s="1"/>
  <c r="O217" i="38"/>
  <c r="P217" i="38" s="1"/>
  <c r="Q217" i="38" s="1"/>
  <c r="O83" i="38"/>
  <c r="P83" i="38" s="1"/>
  <c r="Q83" i="38" s="1"/>
  <c r="O25" i="38"/>
  <c r="P25" i="38" s="1"/>
  <c r="Q25" i="38" s="1"/>
  <c r="O225" i="38"/>
  <c r="P225" i="38" s="1"/>
  <c r="Q225" i="38" s="1"/>
  <c r="O134" i="38"/>
  <c r="P134" i="38" s="1"/>
  <c r="Q134" i="38" s="1"/>
  <c r="O14" i="38"/>
  <c r="P14" i="38" s="1"/>
  <c r="Q14" i="38" s="1"/>
  <c r="O206" i="38"/>
  <c r="P206" i="38" s="1"/>
  <c r="Q206" i="38" s="1"/>
  <c r="O99" i="38"/>
  <c r="P99" i="38" s="1"/>
  <c r="Q99" i="38" s="1"/>
  <c r="O98" i="38"/>
  <c r="P98" i="38" s="1"/>
  <c r="Q98" i="38" s="1"/>
  <c r="O235" i="38"/>
  <c r="P235" i="38" s="1"/>
  <c r="Q235" i="38" s="1"/>
  <c r="O35" i="38"/>
  <c r="P35" i="38" s="1"/>
  <c r="Q35" i="38" s="1"/>
  <c r="O190" i="38"/>
  <c r="P190" i="38" s="1"/>
  <c r="Q190" i="38" s="1"/>
  <c r="O76" i="38"/>
  <c r="P76" i="38" s="1"/>
  <c r="Q76" i="38" s="1"/>
  <c r="O21" i="38"/>
  <c r="P21" i="38" s="1"/>
  <c r="Q21" i="38" s="1"/>
  <c r="O287" i="38"/>
  <c r="P287" i="38" s="1"/>
  <c r="Q287" i="38" s="1"/>
  <c r="O44" i="38"/>
  <c r="P44" i="38" s="1"/>
  <c r="Q44" i="38" s="1"/>
  <c r="O121" i="38"/>
  <c r="P121" i="38" s="1"/>
  <c r="Q121" i="38" s="1"/>
  <c r="O316" i="38"/>
  <c r="P316" i="38" s="1"/>
  <c r="Q316" i="38" s="1"/>
  <c r="O151" i="38"/>
  <c r="P151" i="38" s="1"/>
  <c r="Q151" i="38" s="1"/>
  <c r="O64" i="38"/>
  <c r="P64" i="38" s="1"/>
  <c r="Q64" i="38" s="1"/>
  <c r="O194" i="38"/>
  <c r="P194" i="38" s="1"/>
  <c r="Q194" i="38" s="1"/>
  <c r="O303" i="38"/>
  <c r="P303" i="38" s="1"/>
  <c r="Q303" i="38" s="1"/>
  <c r="O230" i="38"/>
  <c r="P230" i="38" s="1"/>
  <c r="Q230" i="38" s="1"/>
  <c r="O51" i="38"/>
  <c r="P51" i="38" s="1"/>
  <c r="Q51" i="38" s="1"/>
  <c r="O244" i="38"/>
  <c r="P244" i="38" s="1"/>
  <c r="Q244" i="38" s="1"/>
  <c r="O275" i="38"/>
  <c r="P275" i="38" s="1"/>
  <c r="Q275" i="38" s="1"/>
  <c r="O75" i="38"/>
  <c r="P75" i="38" s="1"/>
  <c r="Q75" i="38" s="1"/>
  <c r="O259" i="38"/>
  <c r="P259" i="38" s="1"/>
  <c r="Q259" i="38" s="1"/>
  <c r="O312" i="38"/>
  <c r="P312" i="38" s="1"/>
  <c r="Q312" i="38" s="1"/>
  <c r="O90" i="38"/>
  <c r="P90" i="38" s="1"/>
  <c r="Q90" i="38" s="1"/>
  <c r="O60" i="38"/>
  <c r="P60" i="38" s="1"/>
  <c r="Q60" i="38" s="1"/>
  <c r="O251" i="38"/>
  <c r="P251" i="38" s="1"/>
  <c r="Q251" i="38" s="1"/>
  <c r="O224" i="38"/>
  <c r="P224" i="38" s="1"/>
  <c r="Q224" i="38" s="1"/>
  <c r="O305" i="38"/>
  <c r="P305" i="38" s="1"/>
  <c r="Q305" i="38" s="1"/>
  <c r="O144" i="38"/>
  <c r="P144" i="38" s="1"/>
  <c r="Q144" i="38" s="1"/>
  <c r="O74" i="38"/>
  <c r="P74" i="38" s="1"/>
  <c r="Q74" i="38" s="1"/>
  <c r="O126" i="38"/>
  <c r="P126" i="38" s="1"/>
  <c r="Q126" i="38" s="1"/>
  <c r="O55" i="38"/>
  <c r="P55" i="38" s="1"/>
  <c r="Q55" i="38" s="1"/>
  <c r="O161" i="38"/>
  <c r="P161" i="38" s="1"/>
  <c r="Q161" i="38" s="1"/>
  <c r="O91" i="38"/>
  <c r="P91" i="38" s="1"/>
  <c r="Q91" i="38" s="1"/>
  <c r="O290" i="38"/>
  <c r="P290" i="38" s="1"/>
  <c r="Q290" i="38" s="1"/>
  <c r="O168" i="38"/>
  <c r="P168" i="38" s="1"/>
  <c r="Q168" i="38" s="1"/>
  <c r="O135" i="38"/>
  <c r="P135" i="38" s="1"/>
  <c r="Q135" i="38" s="1"/>
  <c r="O292" i="38"/>
  <c r="P292" i="38" s="1"/>
  <c r="Q292" i="38" s="1"/>
  <c r="O6" i="38"/>
  <c r="P6" i="38" s="1"/>
  <c r="Q6" i="38" s="1"/>
  <c r="O267" i="38"/>
  <c r="P267" i="38" s="1"/>
  <c r="Q267" i="38" s="1"/>
  <c r="O229" i="38"/>
  <c r="P229" i="38" s="1"/>
  <c r="Q229" i="38" s="1"/>
  <c r="O24" i="38"/>
  <c r="P24" i="38" s="1"/>
  <c r="Q24" i="38" s="1"/>
  <c r="O172" i="38"/>
  <c r="P172" i="38" s="1"/>
  <c r="Q172" i="38" s="1"/>
  <c r="O107" i="38"/>
  <c r="P107" i="38" s="1"/>
  <c r="Q107" i="38" s="1"/>
  <c r="O301" i="38"/>
  <c r="P301" i="38" s="1"/>
  <c r="Q301" i="38" s="1"/>
  <c r="O308" i="38"/>
  <c r="P308" i="38" s="1"/>
  <c r="Q308" i="38" s="1"/>
  <c r="O193" i="38"/>
  <c r="P193" i="38" s="1"/>
  <c r="Q193" i="38" s="1"/>
  <c r="O311" i="38"/>
  <c r="P311" i="38" s="1"/>
  <c r="Q311" i="38" s="1"/>
  <c r="O231" i="38"/>
  <c r="P231" i="38" s="1"/>
  <c r="Q231" i="38" s="1"/>
  <c r="O47" i="38"/>
  <c r="P47" i="38" s="1"/>
  <c r="Q47" i="38" s="1"/>
  <c r="O100" i="38"/>
  <c r="P100" i="38" s="1"/>
  <c r="Q100" i="38" s="1"/>
  <c r="O277" i="38"/>
  <c r="P277" i="38" s="1"/>
  <c r="Q277" i="38" s="1"/>
  <c r="O4" i="38"/>
  <c r="O4" i="37"/>
  <c r="O94" i="36"/>
  <c r="P94" i="36" s="1"/>
  <c r="Q94" i="36" s="1"/>
  <c r="O267" i="36"/>
  <c r="P267" i="36" s="1"/>
  <c r="Q267" i="36" s="1"/>
  <c r="O164" i="36"/>
  <c r="P164" i="36" s="1"/>
  <c r="Q164" i="36" s="1"/>
  <c r="O201" i="36"/>
  <c r="P201" i="36" s="1"/>
  <c r="Q201" i="36" s="1"/>
  <c r="O106" i="36"/>
  <c r="P106" i="36" s="1"/>
  <c r="Q106" i="36" s="1"/>
  <c r="O141" i="36"/>
  <c r="P141" i="36" s="1"/>
  <c r="Q141" i="36" s="1"/>
  <c r="O44" i="36"/>
  <c r="P44" i="36" s="1"/>
  <c r="Q44" i="36" s="1"/>
  <c r="O90" i="36"/>
  <c r="P90" i="36" s="1"/>
  <c r="Q90" i="36" s="1"/>
  <c r="O72" i="36"/>
  <c r="P72" i="36" s="1"/>
  <c r="Q72" i="36" s="1"/>
  <c r="O175" i="36"/>
  <c r="P175" i="36" s="1"/>
  <c r="Q175" i="36" s="1"/>
  <c r="O70" i="36"/>
  <c r="P70" i="36" s="1"/>
  <c r="Q70" i="36" s="1"/>
  <c r="O260" i="36"/>
  <c r="P260" i="36" s="1"/>
  <c r="Q260" i="36" s="1"/>
  <c r="O240" i="36"/>
  <c r="P240" i="36" s="1"/>
  <c r="Q240" i="36" s="1"/>
  <c r="O282" i="36"/>
  <c r="P282" i="36" s="1"/>
  <c r="Q282" i="36" s="1"/>
  <c r="O147" i="36"/>
  <c r="P147" i="36" s="1"/>
  <c r="Q147" i="36" s="1"/>
  <c r="O212" i="36"/>
  <c r="P212" i="36" s="1"/>
  <c r="Q212" i="36" s="1"/>
  <c r="O144" i="36"/>
  <c r="P144" i="36" s="1"/>
  <c r="Q144" i="36" s="1"/>
  <c r="O120" i="36"/>
  <c r="P120" i="36" s="1"/>
  <c r="Q120" i="36" s="1"/>
  <c r="O105" i="36"/>
  <c r="P105" i="36" s="1"/>
  <c r="Q105" i="36" s="1"/>
  <c r="O228" i="36"/>
  <c r="P228" i="36" s="1"/>
  <c r="Q228" i="36" s="1"/>
  <c r="O289" i="36"/>
  <c r="P289" i="36" s="1"/>
  <c r="Q289" i="36" s="1"/>
  <c r="O79" i="36"/>
  <c r="P79" i="36" s="1"/>
  <c r="Q79" i="36" s="1"/>
  <c r="O210" i="36"/>
  <c r="P210" i="36" s="1"/>
  <c r="Q210" i="36" s="1"/>
  <c r="O242" i="36"/>
  <c r="P242" i="36" s="1"/>
  <c r="Q242" i="36" s="1"/>
  <c r="O150" i="36"/>
  <c r="P150" i="36" s="1"/>
  <c r="Q150" i="36" s="1"/>
  <c r="O151" i="36"/>
  <c r="P151" i="36" s="1"/>
  <c r="Q151" i="36" s="1"/>
  <c r="O266" i="36"/>
  <c r="P266" i="36" s="1"/>
  <c r="Q266" i="36" s="1"/>
  <c r="O277" i="36"/>
  <c r="P277" i="36" s="1"/>
  <c r="Q277" i="36" s="1"/>
  <c r="O207" i="36"/>
  <c r="P207" i="36" s="1"/>
  <c r="Q207" i="36" s="1"/>
  <c r="O52" i="36"/>
  <c r="P52" i="36" s="1"/>
  <c r="Q52" i="36" s="1"/>
  <c r="O59" i="36"/>
  <c r="P59" i="36" s="1"/>
  <c r="Q59" i="36" s="1"/>
  <c r="O47" i="36"/>
  <c r="P47" i="36" s="1"/>
  <c r="Q47" i="36" s="1"/>
  <c r="O232" i="36"/>
  <c r="P232" i="36" s="1"/>
  <c r="Q232" i="36" s="1"/>
  <c r="O104" i="36"/>
  <c r="P104" i="36" s="1"/>
  <c r="Q104" i="36" s="1"/>
  <c r="O283" i="36"/>
  <c r="P283" i="36" s="1"/>
  <c r="Q283" i="36" s="1"/>
  <c r="O61" i="36"/>
  <c r="P61" i="36" s="1"/>
  <c r="Q61" i="36" s="1"/>
  <c r="O227" i="36"/>
  <c r="P227" i="36" s="1"/>
  <c r="Q227" i="36" s="1"/>
  <c r="O223" i="36"/>
  <c r="P223" i="36" s="1"/>
  <c r="Q223" i="36" s="1"/>
  <c r="O135" i="36"/>
  <c r="P135" i="36" s="1"/>
  <c r="Q135" i="36" s="1"/>
  <c r="O77" i="36"/>
  <c r="P77" i="36" s="1"/>
  <c r="Q77" i="36" s="1"/>
  <c r="O257" i="36"/>
  <c r="P257" i="36" s="1"/>
  <c r="Q257" i="36" s="1"/>
  <c r="O119" i="36"/>
  <c r="P119" i="36" s="1"/>
  <c r="Q119" i="36" s="1"/>
  <c r="O156" i="36"/>
  <c r="P156" i="36" s="1"/>
  <c r="Q156" i="36" s="1"/>
  <c r="O192" i="36"/>
  <c r="P192" i="36" s="1"/>
  <c r="Q192" i="36" s="1"/>
  <c r="O127" i="36"/>
  <c r="P127" i="36" s="1"/>
  <c r="Q127" i="36" s="1"/>
  <c r="O316" i="36"/>
  <c r="P316" i="36" s="1"/>
  <c r="Q316" i="36" s="1"/>
  <c r="O24" i="36"/>
  <c r="P24" i="36" s="1"/>
  <c r="Q24" i="36" s="1"/>
  <c r="O18" i="36"/>
  <c r="P18" i="36" s="1"/>
  <c r="Q18" i="36" s="1"/>
  <c r="O63" i="36"/>
  <c r="P63" i="36" s="1"/>
  <c r="Q63" i="36" s="1"/>
  <c r="O197" i="36"/>
  <c r="P197" i="36" s="1"/>
  <c r="Q197" i="36" s="1"/>
  <c r="O140" i="36"/>
  <c r="P140" i="36" s="1"/>
  <c r="Q140" i="36" s="1"/>
  <c r="O20" i="36"/>
  <c r="P20" i="36" s="1"/>
  <c r="Q20" i="36" s="1"/>
  <c r="O264" i="36"/>
  <c r="P264" i="36" s="1"/>
  <c r="Q264" i="36" s="1"/>
  <c r="O311" i="36"/>
  <c r="P311" i="36" s="1"/>
  <c r="Q311" i="36" s="1"/>
  <c r="O121" i="36"/>
  <c r="P121" i="36" s="1"/>
  <c r="Q121" i="36" s="1"/>
  <c r="O272" i="36"/>
  <c r="P272" i="36" s="1"/>
  <c r="Q272" i="36" s="1"/>
  <c r="O258" i="36"/>
  <c r="P258" i="36" s="1"/>
  <c r="Q258" i="36" s="1"/>
  <c r="O249" i="36"/>
  <c r="P249" i="36" s="1"/>
  <c r="Q249" i="36" s="1"/>
  <c r="O35" i="36"/>
  <c r="P35" i="36" s="1"/>
  <c r="Q35" i="36" s="1"/>
  <c r="O203" i="36"/>
  <c r="P203" i="36" s="1"/>
  <c r="Q203" i="36" s="1"/>
  <c r="O146" i="36"/>
  <c r="P146" i="36" s="1"/>
  <c r="Q146" i="36" s="1"/>
  <c r="O281" i="36"/>
  <c r="P281" i="36" s="1"/>
  <c r="Q281" i="36" s="1"/>
  <c r="O109" i="36"/>
  <c r="P109" i="36" s="1"/>
  <c r="Q109" i="36" s="1"/>
  <c r="O174" i="36"/>
  <c r="P174" i="36" s="1"/>
  <c r="Q174" i="36" s="1"/>
  <c r="O263" i="36"/>
  <c r="P263" i="36" s="1"/>
  <c r="Q263" i="36" s="1"/>
  <c r="O87" i="36"/>
  <c r="P87" i="36" s="1"/>
  <c r="Q87" i="36" s="1"/>
  <c r="O261" i="36"/>
  <c r="P261" i="36" s="1"/>
  <c r="Q261" i="36" s="1"/>
  <c r="O295" i="36"/>
  <c r="P295" i="36" s="1"/>
  <c r="Q295" i="36" s="1"/>
  <c r="O56" i="36"/>
  <c r="P56" i="36" s="1"/>
  <c r="Q56" i="36" s="1"/>
  <c r="O8" i="36"/>
  <c r="P8" i="36" s="1"/>
  <c r="Q8" i="36" s="1"/>
  <c r="O91" i="36"/>
  <c r="P91" i="36" s="1"/>
  <c r="Q91" i="36" s="1"/>
  <c r="O113" i="36"/>
  <c r="P113" i="36" s="1"/>
  <c r="Q113" i="36" s="1"/>
  <c r="O66" i="36"/>
  <c r="P66" i="36" s="1"/>
  <c r="Q66" i="36" s="1"/>
  <c r="O252" i="36"/>
  <c r="P252" i="36" s="1"/>
  <c r="Q252" i="36" s="1"/>
  <c r="O243" i="36"/>
  <c r="P243" i="36" s="1"/>
  <c r="Q243" i="36" s="1"/>
  <c r="O130" i="36"/>
  <c r="P130" i="36" s="1"/>
  <c r="Q130" i="36" s="1"/>
  <c r="O256" i="36"/>
  <c r="P256" i="36" s="1"/>
  <c r="Q256" i="36" s="1"/>
  <c r="O194" i="36"/>
  <c r="P194" i="36" s="1"/>
  <c r="Q194" i="36" s="1"/>
  <c r="O307" i="36"/>
  <c r="P307" i="36" s="1"/>
  <c r="Q307" i="36" s="1"/>
  <c r="O85" i="36"/>
  <c r="P85" i="36" s="1"/>
  <c r="Q85" i="36" s="1"/>
  <c r="O10" i="36"/>
  <c r="P10" i="36" s="1"/>
  <c r="Q10" i="36" s="1"/>
  <c r="O53" i="36"/>
  <c r="P53" i="36" s="1"/>
  <c r="Q53" i="36" s="1"/>
  <c r="O188" i="36"/>
  <c r="P188" i="36" s="1"/>
  <c r="Q188" i="36" s="1"/>
  <c r="O285" i="36"/>
  <c r="P285" i="36" s="1"/>
  <c r="Q285" i="36" s="1"/>
  <c r="O274" i="36"/>
  <c r="P274" i="36" s="1"/>
  <c r="Q274" i="36" s="1"/>
  <c r="O309" i="36"/>
  <c r="P309" i="36" s="1"/>
  <c r="Q309" i="36" s="1"/>
  <c r="O222" i="36"/>
  <c r="P222" i="36" s="1"/>
  <c r="Q222" i="36" s="1"/>
  <c r="O219" i="36"/>
  <c r="P219" i="36" s="1"/>
  <c r="Q219" i="36" s="1"/>
  <c r="O32" i="36"/>
  <c r="P32" i="36" s="1"/>
  <c r="Q32" i="36" s="1"/>
  <c r="O178" i="36"/>
  <c r="P178" i="36" s="1"/>
  <c r="Q178" i="36" s="1"/>
  <c r="O139" i="36"/>
  <c r="P139" i="36" s="1"/>
  <c r="Q139" i="36" s="1"/>
  <c r="O62" i="36"/>
  <c r="P62" i="36" s="1"/>
  <c r="Q62" i="36" s="1"/>
  <c r="O314" i="36"/>
  <c r="P314" i="36" s="1"/>
  <c r="Q314" i="36" s="1"/>
  <c r="O233" i="36"/>
  <c r="P233" i="36" s="1"/>
  <c r="Q233" i="36" s="1"/>
  <c r="O95" i="36"/>
  <c r="P95" i="36" s="1"/>
  <c r="Q95" i="36" s="1"/>
  <c r="O231" i="36"/>
  <c r="P231" i="36" s="1"/>
  <c r="Q231" i="36" s="1"/>
  <c r="O108" i="36"/>
  <c r="P108" i="36" s="1"/>
  <c r="Q108" i="36" s="1"/>
  <c r="O76" i="36"/>
  <c r="P76" i="36" s="1"/>
  <c r="Q76" i="36" s="1"/>
  <c r="O255" i="36"/>
  <c r="P255" i="36" s="1"/>
  <c r="Q255" i="36" s="1"/>
  <c r="O173" i="36"/>
  <c r="P173" i="36" s="1"/>
  <c r="Q173" i="36" s="1"/>
  <c r="O153" i="36"/>
  <c r="P153" i="36" s="1"/>
  <c r="Q153" i="36" s="1"/>
  <c r="O273" i="36"/>
  <c r="P273" i="36" s="1"/>
  <c r="Q273" i="36" s="1"/>
  <c r="O122" i="36"/>
  <c r="P122" i="36" s="1"/>
  <c r="Q122" i="36" s="1"/>
  <c r="O26" i="36"/>
  <c r="P26" i="36" s="1"/>
  <c r="Q26" i="36" s="1"/>
  <c r="O245" i="36"/>
  <c r="P245" i="36" s="1"/>
  <c r="Q245" i="36" s="1"/>
  <c r="O236" i="36"/>
  <c r="P236" i="36" s="1"/>
  <c r="Q236" i="36" s="1"/>
  <c r="O185" i="36"/>
  <c r="P185" i="36" s="1"/>
  <c r="Q185" i="36" s="1"/>
  <c r="O220" i="36"/>
  <c r="P220" i="36" s="1"/>
  <c r="Q220" i="36" s="1"/>
  <c r="O199" i="36"/>
  <c r="P199" i="36" s="1"/>
  <c r="Q199" i="36" s="1"/>
  <c r="O237" i="36"/>
  <c r="P237" i="36" s="1"/>
  <c r="Q237" i="36" s="1"/>
  <c r="O291" i="36"/>
  <c r="P291" i="36" s="1"/>
  <c r="Q291" i="36" s="1"/>
  <c r="O276" i="36"/>
  <c r="P276" i="36" s="1"/>
  <c r="Q276" i="36" s="1"/>
  <c r="O54" i="36"/>
  <c r="P54" i="36" s="1"/>
  <c r="Q54" i="36" s="1"/>
  <c r="O148" i="36"/>
  <c r="P148" i="36" s="1"/>
  <c r="Q148" i="36" s="1"/>
  <c r="O65" i="36"/>
  <c r="P65" i="36" s="1"/>
  <c r="Q65" i="36" s="1"/>
  <c r="O17" i="36"/>
  <c r="P17" i="36" s="1"/>
  <c r="Q17" i="36" s="1"/>
  <c r="O22" i="36"/>
  <c r="P22" i="36" s="1"/>
  <c r="Q22" i="36" s="1"/>
  <c r="O290" i="36"/>
  <c r="P290" i="36" s="1"/>
  <c r="Q290" i="36" s="1"/>
  <c r="O36" i="36"/>
  <c r="P36" i="36" s="1"/>
  <c r="Q36" i="36" s="1"/>
  <c r="O149" i="36"/>
  <c r="P149" i="36" s="1"/>
  <c r="Q149" i="36" s="1"/>
  <c r="O190" i="36"/>
  <c r="P190" i="36" s="1"/>
  <c r="Q190" i="36" s="1"/>
  <c r="O80" i="36"/>
  <c r="P80" i="36" s="1"/>
  <c r="Q80" i="36" s="1"/>
  <c r="O115" i="36"/>
  <c r="P115" i="36" s="1"/>
  <c r="Q115" i="36" s="1"/>
  <c r="O296" i="36"/>
  <c r="P296" i="36" s="1"/>
  <c r="Q296" i="36" s="1"/>
  <c r="O239" i="36"/>
  <c r="P239" i="36" s="1"/>
  <c r="Q239" i="36" s="1"/>
  <c r="O110" i="36"/>
  <c r="P110" i="36" s="1"/>
  <c r="Q110" i="36" s="1"/>
  <c r="O97" i="36"/>
  <c r="P97" i="36" s="1"/>
  <c r="Q97" i="36" s="1"/>
  <c r="O98" i="36"/>
  <c r="P98" i="36" s="1"/>
  <c r="Q98" i="36" s="1"/>
  <c r="O230" i="36"/>
  <c r="P230" i="36" s="1"/>
  <c r="Q230" i="36" s="1"/>
  <c r="O125" i="36"/>
  <c r="P125" i="36" s="1"/>
  <c r="Q125" i="36" s="1"/>
  <c r="O209" i="36"/>
  <c r="P209" i="36" s="1"/>
  <c r="Q209" i="36" s="1"/>
  <c r="O246" i="36"/>
  <c r="P246" i="36" s="1"/>
  <c r="Q246" i="36" s="1"/>
  <c r="O126" i="36"/>
  <c r="P126" i="36" s="1"/>
  <c r="Q126" i="36" s="1"/>
  <c r="O137" i="36"/>
  <c r="P137" i="36" s="1"/>
  <c r="Q137" i="36" s="1"/>
  <c r="O27" i="36"/>
  <c r="P27" i="36" s="1"/>
  <c r="Q27" i="36" s="1"/>
  <c r="O235" i="36"/>
  <c r="P235" i="36" s="1"/>
  <c r="Q235" i="36" s="1"/>
  <c r="O89" i="36"/>
  <c r="P89" i="36" s="1"/>
  <c r="Q89" i="36" s="1"/>
  <c r="O158" i="36"/>
  <c r="P158" i="36" s="1"/>
  <c r="Q158" i="36" s="1"/>
  <c r="O271" i="36"/>
  <c r="P271" i="36" s="1"/>
  <c r="Q271" i="36" s="1"/>
  <c r="O297" i="36"/>
  <c r="P297" i="36" s="1"/>
  <c r="Q297" i="36" s="1"/>
  <c r="O6" i="36"/>
  <c r="P6" i="36" s="1"/>
  <c r="Q6" i="36" s="1"/>
  <c r="O43" i="36"/>
  <c r="P43" i="36" s="1"/>
  <c r="Q43" i="36" s="1"/>
  <c r="O73" i="36"/>
  <c r="P73" i="36" s="1"/>
  <c r="Q73" i="36" s="1"/>
  <c r="O200" i="36"/>
  <c r="P200" i="36" s="1"/>
  <c r="Q200" i="36" s="1"/>
  <c r="O205" i="36"/>
  <c r="P205" i="36" s="1"/>
  <c r="Q205" i="36" s="1"/>
  <c r="O288" i="36"/>
  <c r="P288" i="36" s="1"/>
  <c r="Q288" i="36" s="1"/>
  <c r="O269" i="36"/>
  <c r="P269" i="36" s="1"/>
  <c r="Q269" i="36" s="1"/>
  <c r="O14" i="36"/>
  <c r="P14" i="36" s="1"/>
  <c r="Q14" i="36" s="1"/>
  <c r="O312" i="36"/>
  <c r="P312" i="36" s="1"/>
  <c r="Q312" i="36" s="1"/>
  <c r="O187" i="36"/>
  <c r="P187" i="36" s="1"/>
  <c r="Q187" i="36" s="1"/>
  <c r="O169" i="36"/>
  <c r="P169" i="36" s="1"/>
  <c r="Q169" i="36" s="1"/>
  <c r="O226" i="36"/>
  <c r="P226" i="36" s="1"/>
  <c r="Q226" i="36" s="1"/>
  <c r="O182" i="36"/>
  <c r="P182" i="36" s="1"/>
  <c r="Q182" i="36" s="1"/>
  <c r="O67" i="36"/>
  <c r="P67" i="36" s="1"/>
  <c r="Q67" i="36" s="1"/>
  <c r="O262" i="36"/>
  <c r="P262" i="36" s="1"/>
  <c r="Q262" i="36" s="1"/>
  <c r="O30" i="36"/>
  <c r="P30" i="36" s="1"/>
  <c r="Q30" i="36" s="1"/>
  <c r="O294" i="36"/>
  <c r="P294" i="36" s="1"/>
  <c r="Q294" i="36" s="1"/>
  <c r="O302" i="36"/>
  <c r="P302" i="36" s="1"/>
  <c r="Q302" i="36" s="1"/>
  <c r="O145" i="36"/>
  <c r="P145" i="36" s="1"/>
  <c r="Q145" i="36" s="1"/>
  <c r="O163" i="36"/>
  <c r="P163" i="36" s="1"/>
  <c r="Q163" i="36" s="1"/>
  <c r="O259" i="36"/>
  <c r="P259" i="36" s="1"/>
  <c r="Q259" i="36" s="1"/>
  <c r="O234" i="36"/>
  <c r="P234" i="36" s="1"/>
  <c r="Q234" i="36" s="1"/>
  <c r="O154" i="36"/>
  <c r="P154" i="36" s="1"/>
  <c r="Q154" i="36" s="1"/>
  <c r="O170" i="36"/>
  <c r="P170" i="36" s="1"/>
  <c r="Q170" i="36" s="1"/>
  <c r="O206" i="36"/>
  <c r="P206" i="36" s="1"/>
  <c r="Q206" i="36" s="1"/>
  <c r="O247" i="36"/>
  <c r="P247" i="36" s="1"/>
  <c r="Q247" i="36" s="1"/>
  <c r="O131" i="36"/>
  <c r="P131" i="36" s="1"/>
  <c r="Q131" i="36" s="1"/>
  <c r="O280" i="36"/>
  <c r="P280" i="36" s="1"/>
  <c r="Q280" i="36" s="1"/>
  <c r="O166" i="36"/>
  <c r="P166" i="36" s="1"/>
  <c r="Q166" i="36" s="1"/>
  <c r="O101" i="36"/>
  <c r="P101" i="36" s="1"/>
  <c r="Q101" i="36" s="1"/>
  <c r="O111" i="36"/>
  <c r="P111" i="36" s="1"/>
  <c r="Q111" i="36" s="1"/>
  <c r="O9" i="36"/>
  <c r="P9" i="36" s="1"/>
  <c r="Q9" i="36" s="1"/>
  <c r="O184" i="36"/>
  <c r="P184" i="36" s="1"/>
  <c r="Q184" i="36" s="1"/>
  <c r="O299" i="36"/>
  <c r="P299" i="36" s="1"/>
  <c r="Q299" i="36" s="1"/>
  <c r="O216" i="36"/>
  <c r="P216" i="36" s="1"/>
  <c r="Q216" i="36" s="1"/>
  <c r="O224" i="36"/>
  <c r="P224" i="36" s="1"/>
  <c r="Q224" i="36" s="1"/>
  <c r="O171" i="36"/>
  <c r="P171" i="36" s="1"/>
  <c r="Q171" i="36" s="1"/>
  <c r="O112" i="36"/>
  <c r="P112" i="36" s="1"/>
  <c r="Q112" i="36" s="1"/>
  <c r="O21" i="36"/>
  <c r="P21" i="36" s="1"/>
  <c r="Q21" i="36" s="1"/>
  <c r="O278" i="36"/>
  <c r="P278" i="36" s="1"/>
  <c r="Q278" i="36" s="1"/>
  <c r="O189" i="36"/>
  <c r="P189" i="36" s="1"/>
  <c r="Q189" i="36" s="1"/>
  <c r="O157" i="36"/>
  <c r="P157" i="36" s="1"/>
  <c r="Q157" i="36" s="1"/>
  <c r="O50" i="36"/>
  <c r="P50" i="36" s="1"/>
  <c r="Q50" i="36" s="1"/>
  <c r="O118" i="36"/>
  <c r="P118" i="36" s="1"/>
  <c r="Q118" i="36" s="1"/>
  <c r="O248" i="36"/>
  <c r="P248" i="36" s="1"/>
  <c r="Q248" i="36" s="1"/>
  <c r="O68" i="36"/>
  <c r="P68" i="36" s="1"/>
  <c r="Q68" i="36" s="1"/>
  <c r="O229" i="36"/>
  <c r="P229" i="36" s="1"/>
  <c r="Q229" i="36" s="1"/>
  <c r="O11" i="36"/>
  <c r="P11" i="36" s="1"/>
  <c r="Q11" i="36" s="1"/>
  <c r="O40" i="36"/>
  <c r="P40" i="36" s="1"/>
  <c r="Q40" i="36" s="1"/>
  <c r="O41" i="36"/>
  <c r="P41" i="36" s="1"/>
  <c r="Q41" i="36" s="1"/>
  <c r="O57" i="36"/>
  <c r="P57" i="36" s="1"/>
  <c r="Q57" i="36" s="1"/>
  <c r="O308" i="36"/>
  <c r="P308" i="36" s="1"/>
  <c r="Q308" i="36" s="1"/>
  <c r="O38" i="36"/>
  <c r="P38" i="36" s="1"/>
  <c r="Q38" i="36" s="1"/>
  <c r="O138" i="36"/>
  <c r="P138" i="36" s="1"/>
  <c r="Q138" i="36" s="1"/>
  <c r="O142" i="36"/>
  <c r="P142" i="36" s="1"/>
  <c r="Q142" i="36" s="1"/>
  <c r="O298" i="36"/>
  <c r="P298" i="36" s="1"/>
  <c r="Q298" i="36" s="1"/>
  <c r="O31" i="36"/>
  <c r="P31" i="36" s="1"/>
  <c r="Q31" i="36" s="1"/>
  <c r="O304" i="36"/>
  <c r="P304" i="36" s="1"/>
  <c r="Q304" i="36" s="1"/>
  <c r="O268" i="36"/>
  <c r="P268" i="36" s="1"/>
  <c r="Q268" i="36" s="1"/>
  <c r="O143" i="36"/>
  <c r="P143" i="36" s="1"/>
  <c r="Q143" i="36" s="1"/>
  <c r="O161" i="36"/>
  <c r="P161" i="36" s="1"/>
  <c r="Q161" i="36" s="1"/>
  <c r="O34" i="36"/>
  <c r="P34" i="36" s="1"/>
  <c r="Q34" i="36" s="1"/>
  <c r="O221" i="36"/>
  <c r="P221" i="36" s="1"/>
  <c r="Q221" i="36" s="1"/>
  <c r="O64" i="36"/>
  <c r="P64" i="36" s="1"/>
  <c r="Q64" i="36" s="1"/>
  <c r="O42" i="36"/>
  <c r="P42" i="36" s="1"/>
  <c r="Q42" i="36" s="1"/>
  <c r="O176" i="36"/>
  <c r="P176" i="36" s="1"/>
  <c r="Q176" i="36" s="1"/>
  <c r="O159" i="36"/>
  <c r="P159" i="36" s="1"/>
  <c r="Q159" i="36" s="1"/>
  <c r="O253" i="36"/>
  <c r="P253" i="36" s="1"/>
  <c r="Q253" i="36" s="1"/>
  <c r="O300" i="36"/>
  <c r="P300" i="36" s="1"/>
  <c r="Q300" i="36" s="1"/>
  <c r="O251" i="36"/>
  <c r="P251" i="36" s="1"/>
  <c r="Q251" i="36" s="1"/>
  <c r="O71" i="36"/>
  <c r="P71" i="36" s="1"/>
  <c r="Q71" i="36" s="1"/>
  <c r="O58" i="36"/>
  <c r="P58" i="36" s="1"/>
  <c r="Q58" i="36" s="1"/>
  <c r="O287" i="36"/>
  <c r="P287" i="36" s="1"/>
  <c r="Q287" i="36" s="1"/>
  <c r="O117" i="36"/>
  <c r="P117" i="36" s="1"/>
  <c r="Q117" i="36" s="1"/>
  <c r="O78" i="36"/>
  <c r="P78" i="36" s="1"/>
  <c r="Q78" i="36" s="1"/>
  <c r="O172" i="36"/>
  <c r="P172" i="36" s="1"/>
  <c r="Q172" i="36" s="1"/>
  <c r="O96" i="36"/>
  <c r="P96" i="36" s="1"/>
  <c r="Q96" i="36" s="1"/>
  <c r="O244" i="36"/>
  <c r="P244" i="36" s="1"/>
  <c r="Q244" i="36" s="1"/>
  <c r="O301" i="36"/>
  <c r="P301" i="36" s="1"/>
  <c r="Q301" i="36" s="1"/>
  <c r="O305" i="36"/>
  <c r="P305" i="36" s="1"/>
  <c r="Q305" i="36" s="1"/>
  <c r="O93" i="36"/>
  <c r="P93" i="36" s="1"/>
  <c r="Q93" i="36" s="1"/>
  <c r="O315" i="36"/>
  <c r="P315" i="36" s="1"/>
  <c r="Q315" i="36" s="1"/>
  <c r="O134" i="36"/>
  <c r="P134" i="36" s="1"/>
  <c r="Q134" i="36" s="1"/>
  <c r="O45" i="36"/>
  <c r="P45" i="36" s="1"/>
  <c r="Q45" i="36" s="1"/>
  <c r="O92" i="36"/>
  <c r="P92" i="36" s="1"/>
  <c r="Q92" i="36" s="1"/>
  <c r="O193" i="36"/>
  <c r="P193" i="36" s="1"/>
  <c r="Q193" i="36" s="1"/>
  <c r="O102" i="36"/>
  <c r="P102" i="36" s="1"/>
  <c r="Q102" i="36" s="1"/>
  <c r="O225" i="36"/>
  <c r="P225" i="36" s="1"/>
  <c r="Q225" i="36" s="1"/>
  <c r="O195" i="36"/>
  <c r="P195" i="36" s="1"/>
  <c r="Q195" i="36" s="1"/>
  <c r="O75" i="36"/>
  <c r="P75" i="36" s="1"/>
  <c r="Q75" i="36" s="1"/>
  <c r="O33" i="36"/>
  <c r="P33" i="36" s="1"/>
  <c r="Q33" i="36" s="1"/>
  <c r="O160" i="36"/>
  <c r="P160" i="36" s="1"/>
  <c r="Q160" i="36" s="1"/>
  <c r="O16" i="36"/>
  <c r="P16" i="36" s="1"/>
  <c r="Q16" i="36" s="1"/>
  <c r="O179" i="36"/>
  <c r="P179" i="36" s="1"/>
  <c r="Q179" i="36" s="1"/>
  <c r="O186" i="36"/>
  <c r="P186" i="36" s="1"/>
  <c r="Q186" i="36" s="1"/>
  <c r="O241" i="36"/>
  <c r="P241" i="36" s="1"/>
  <c r="Q241" i="36" s="1"/>
  <c r="O29" i="36"/>
  <c r="P29" i="36" s="1"/>
  <c r="Q29" i="36" s="1"/>
  <c r="O81" i="36"/>
  <c r="P81" i="36" s="1"/>
  <c r="Q81" i="36" s="1"/>
  <c r="O202" i="36"/>
  <c r="P202" i="36" s="1"/>
  <c r="Q202" i="36" s="1"/>
  <c r="O306" i="36"/>
  <c r="P306" i="36" s="1"/>
  <c r="Q306" i="36" s="1"/>
  <c r="O168" i="36"/>
  <c r="P168" i="36" s="1"/>
  <c r="Q168" i="36" s="1"/>
  <c r="O60" i="36"/>
  <c r="P60" i="36" s="1"/>
  <c r="Q60" i="36" s="1"/>
  <c r="O116" i="36"/>
  <c r="P116" i="36" s="1"/>
  <c r="Q116" i="36" s="1"/>
  <c r="O7" i="36"/>
  <c r="P7" i="36" s="1"/>
  <c r="Q7" i="36" s="1"/>
  <c r="O74" i="36"/>
  <c r="P74" i="36" s="1"/>
  <c r="Q74" i="36" s="1"/>
  <c r="O107" i="36"/>
  <c r="P107" i="36" s="1"/>
  <c r="Q107" i="36" s="1"/>
  <c r="O37" i="36"/>
  <c r="P37" i="36" s="1"/>
  <c r="Q37" i="36" s="1"/>
  <c r="O103" i="36"/>
  <c r="P103" i="36" s="1"/>
  <c r="Q103" i="36" s="1"/>
  <c r="O217" i="36"/>
  <c r="P217" i="36" s="1"/>
  <c r="Q217" i="36" s="1"/>
  <c r="O286" i="36"/>
  <c r="P286" i="36" s="1"/>
  <c r="Q286" i="36" s="1"/>
  <c r="O208" i="36"/>
  <c r="P208" i="36" s="1"/>
  <c r="Q208" i="36" s="1"/>
  <c r="O123" i="36"/>
  <c r="P123" i="36" s="1"/>
  <c r="Q123" i="36" s="1"/>
  <c r="O211" i="36"/>
  <c r="P211" i="36" s="1"/>
  <c r="Q211" i="36" s="1"/>
  <c r="O5" i="36"/>
  <c r="P5" i="36" s="1"/>
  <c r="Q5" i="36" s="1"/>
  <c r="O25" i="36"/>
  <c r="P25" i="36" s="1"/>
  <c r="Q25" i="36" s="1"/>
  <c r="O69" i="36"/>
  <c r="P69" i="36" s="1"/>
  <c r="Q69" i="36" s="1"/>
  <c r="O198" i="36"/>
  <c r="P198" i="36" s="1"/>
  <c r="Q198" i="36" s="1"/>
  <c r="O19" i="36"/>
  <c r="P19" i="36" s="1"/>
  <c r="Q19" i="36" s="1"/>
  <c r="O46" i="36"/>
  <c r="P46" i="36" s="1"/>
  <c r="Q46" i="36" s="1"/>
  <c r="O214" i="36"/>
  <c r="P214" i="36" s="1"/>
  <c r="Q214" i="36" s="1"/>
  <c r="O136" i="36"/>
  <c r="P136" i="36" s="1"/>
  <c r="Q136" i="36" s="1"/>
  <c r="O23" i="36"/>
  <c r="P23" i="36" s="1"/>
  <c r="Q23" i="36" s="1"/>
  <c r="O177" i="36"/>
  <c r="P177" i="36" s="1"/>
  <c r="Q177" i="36" s="1"/>
  <c r="O310" i="36"/>
  <c r="P310" i="36" s="1"/>
  <c r="Q310" i="36" s="1"/>
  <c r="O152" i="36"/>
  <c r="P152" i="36" s="1"/>
  <c r="Q152" i="36" s="1"/>
  <c r="O100" i="36"/>
  <c r="P100" i="36" s="1"/>
  <c r="Q100" i="36" s="1"/>
  <c r="O86" i="36"/>
  <c r="P86" i="36" s="1"/>
  <c r="Q86" i="36" s="1"/>
  <c r="O49" i="36"/>
  <c r="P49" i="36" s="1"/>
  <c r="Q49" i="36" s="1"/>
  <c r="O124" i="36"/>
  <c r="P124" i="36" s="1"/>
  <c r="Q124" i="36" s="1"/>
  <c r="O55" i="36"/>
  <c r="P55" i="36" s="1"/>
  <c r="Q55" i="36" s="1"/>
  <c r="O162" i="36"/>
  <c r="P162" i="36" s="1"/>
  <c r="Q162" i="36" s="1"/>
  <c r="O84" i="36"/>
  <c r="P84" i="36" s="1"/>
  <c r="Q84" i="36" s="1"/>
  <c r="O167" i="36"/>
  <c r="P167" i="36" s="1"/>
  <c r="Q167" i="36" s="1"/>
  <c r="O275" i="36"/>
  <c r="P275" i="36" s="1"/>
  <c r="Q275" i="36" s="1"/>
  <c r="O181" i="36"/>
  <c r="P181" i="36" s="1"/>
  <c r="Q181" i="36" s="1"/>
  <c r="O284" i="36"/>
  <c r="P284" i="36" s="1"/>
  <c r="Q284" i="36" s="1"/>
  <c r="O114" i="36"/>
  <c r="P114" i="36" s="1"/>
  <c r="Q114" i="36" s="1"/>
  <c r="O82" i="36"/>
  <c r="P82" i="36" s="1"/>
  <c r="Q82" i="36" s="1"/>
  <c r="O88" i="36"/>
  <c r="P88" i="36" s="1"/>
  <c r="Q88" i="36" s="1"/>
  <c r="O292" i="36"/>
  <c r="P292" i="36" s="1"/>
  <c r="Q292" i="36" s="1"/>
  <c r="O28" i="36"/>
  <c r="P28" i="36" s="1"/>
  <c r="Q28" i="36" s="1"/>
  <c r="O83" i="36"/>
  <c r="P83" i="36" s="1"/>
  <c r="Q83" i="36" s="1"/>
  <c r="O254" i="36"/>
  <c r="P254" i="36" s="1"/>
  <c r="Q254" i="36" s="1"/>
  <c r="O133" i="36"/>
  <c r="P133" i="36" s="1"/>
  <c r="Q133" i="36" s="1"/>
  <c r="O238" i="36"/>
  <c r="P238" i="36" s="1"/>
  <c r="Q238" i="36" s="1"/>
  <c r="O39" i="36"/>
  <c r="P39" i="36" s="1"/>
  <c r="Q39" i="36" s="1"/>
  <c r="O196" i="36"/>
  <c r="P196" i="36" s="1"/>
  <c r="Q196" i="36" s="1"/>
  <c r="O180" i="36"/>
  <c r="P180" i="36" s="1"/>
  <c r="Q180" i="36" s="1"/>
  <c r="O270" i="36"/>
  <c r="P270" i="36" s="1"/>
  <c r="Q270" i="36" s="1"/>
  <c r="O293" i="36"/>
  <c r="P293" i="36" s="1"/>
  <c r="Q293" i="36" s="1"/>
  <c r="O132" i="36"/>
  <c r="P132" i="36" s="1"/>
  <c r="Q132" i="36" s="1"/>
  <c r="O155" i="36"/>
  <c r="P155" i="36" s="1"/>
  <c r="Q155" i="36" s="1"/>
  <c r="O165" i="36"/>
  <c r="P165" i="36" s="1"/>
  <c r="Q165" i="36" s="1"/>
  <c r="O99" i="36"/>
  <c r="P99" i="36" s="1"/>
  <c r="Q99" i="36" s="1"/>
  <c r="O191" i="36"/>
  <c r="P191" i="36" s="1"/>
  <c r="Q191" i="36" s="1"/>
  <c r="O215" i="36"/>
  <c r="P215" i="36" s="1"/>
  <c r="Q215" i="36" s="1"/>
  <c r="O204" i="36"/>
  <c r="P204" i="36" s="1"/>
  <c r="Q204" i="36" s="1"/>
  <c r="O51" i="36"/>
  <c r="P51" i="36" s="1"/>
  <c r="Q51" i="36" s="1"/>
  <c r="O213" i="36"/>
  <c r="P213" i="36" s="1"/>
  <c r="Q213" i="36" s="1"/>
  <c r="O313" i="36"/>
  <c r="P313" i="36" s="1"/>
  <c r="Q313" i="36" s="1"/>
  <c r="O250" i="36"/>
  <c r="P250" i="36" s="1"/>
  <c r="Q250" i="36" s="1"/>
  <c r="O128" i="36"/>
  <c r="P128" i="36" s="1"/>
  <c r="Q128" i="36" s="1"/>
  <c r="O48" i="36"/>
  <c r="P48" i="36" s="1"/>
  <c r="Q48" i="36" s="1"/>
  <c r="O218" i="36"/>
  <c r="P218" i="36" s="1"/>
  <c r="Q218" i="36" s="1"/>
  <c r="O12" i="36"/>
  <c r="P12" i="36" s="1"/>
  <c r="Q12" i="36" s="1"/>
  <c r="O129" i="36"/>
  <c r="P129" i="36" s="1"/>
  <c r="Q129" i="36" s="1"/>
  <c r="O279" i="36"/>
  <c r="P279" i="36" s="1"/>
  <c r="Q279" i="36" s="1"/>
  <c r="O15" i="36"/>
  <c r="P15" i="36" s="1"/>
  <c r="Q15" i="36" s="1"/>
  <c r="O265" i="36"/>
  <c r="P265" i="36" s="1"/>
  <c r="Q265" i="36" s="1"/>
  <c r="O303" i="36"/>
  <c r="P303" i="36" s="1"/>
  <c r="Q303" i="36" s="1"/>
  <c r="O183" i="36"/>
  <c r="P183" i="36" s="1"/>
  <c r="Q183" i="36" s="1"/>
  <c r="O13" i="36"/>
  <c r="P13" i="36" s="1"/>
  <c r="Q13" i="36" s="1"/>
  <c r="O3" i="39" l="1" a="1"/>
  <c r="O3" i="39" s="1"/>
  <c r="P4" i="36"/>
  <c r="P3" i="36" s="1" a="1"/>
  <c r="P3" i="36" s="1"/>
  <c r="O3" i="36" a="1"/>
  <c r="O3" i="36" s="1"/>
  <c r="O3" i="38" a="1"/>
  <c r="O3" i="38" s="1"/>
  <c r="R317" i="36"/>
  <c r="R318" i="36"/>
  <c r="R317" i="37"/>
  <c r="R318" i="39"/>
  <c r="R317" i="39"/>
  <c r="R256" i="39"/>
  <c r="R187" i="39"/>
  <c r="R142" i="39"/>
  <c r="R265" i="39"/>
  <c r="R138" i="39"/>
  <c r="R248" i="39"/>
  <c r="R278" i="39"/>
  <c r="R309" i="39"/>
  <c r="R195" i="39"/>
  <c r="R218" i="39"/>
  <c r="R207" i="39"/>
  <c r="R29" i="39"/>
  <c r="R241" i="39"/>
  <c r="R124" i="39"/>
  <c r="R257" i="39"/>
  <c r="R32" i="39"/>
  <c r="R101" i="39"/>
  <c r="R182" i="39"/>
  <c r="R237" i="39"/>
  <c r="R170" i="39"/>
  <c r="R310" i="39"/>
  <c r="R137" i="39"/>
  <c r="R219" i="39"/>
  <c r="R299" i="39"/>
  <c r="R231" i="39"/>
  <c r="R67" i="39"/>
  <c r="R57" i="39"/>
  <c r="R280" i="39"/>
  <c r="R287" i="39"/>
  <c r="R115" i="39"/>
  <c r="R190" i="39"/>
  <c r="R61" i="39"/>
  <c r="R164" i="39"/>
  <c r="R168" i="39"/>
  <c r="R307" i="39"/>
  <c r="R201" i="39"/>
  <c r="R211" i="39"/>
  <c r="R186" i="39"/>
  <c r="R49" i="39"/>
  <c r="R158" i="39"/>
  <c r="R37" i="39"/>
  <c r="R192" i="39"/>
  <c r="R140" i="39"/>
  <c r="R159" i="39"/>
  <c r="R209" i="39"/>
  <c r="R129" i="39"/>
  <c r="R5" i="39"/>
  <c r="R110" i="39"/>
  <c r="R19" i="39"/>
  <c r="R127" i="39"/>
  <c r="R196" i="39"/>
  <c r="R42" i="39"/>
  <c r="R100" i="39"/>
  <c r="R222" i="39"/>
  <c r="R160" i="39"/>
  <c r="R22" i="39"/>
  <c r="R65" i="39"/>
  <c r="R184" i="39"/>
  <c r="R21" i="39"/>
  <c r="R189" i="39"/>
  <c r="R109" i="39"/>
  <c r="R267" i="39"/>
  <c r="R10" i="39"/>
  <c r="R252" i="39"/>
  <c r="R169" i="39"/>
  <c r="R255" i="39"/>
  <c r="R306" i="39"/>
  <c r="R283" i="39"/>
  <c r="R51" i="39"/>
  <c r="R281" i="39"/>
  <c r="R82" i="39"/>
  <c r="R178" i="39"/>
  <c r="R171" i="39"/>
  <c r="R91" i="39"/>
  <c r="R274" i="39"/>
  <c r="R141" i="39"/>
  <c r="R236" i="39"/>
  <c r="R294" i="39"/>
  <c r="R35" i="39"/>
  <c r="R314" i="39"/>
  <c r="R46" i="39"/>
  <c r="R157" i="39"/>
  <c r="R58" i="39"/>
  <c r="R316" i="39"/>
  <c r="R74" i="39"/>
  <c r="R119" i="39"/>
  <c r="R191" i="39"/>
  <c r="R125" i="39"/>
  <c r="R245" i="39"/>
  <c r="R133" i="39"/>
  <c r="R48" i="39"/>
  <c r="R93" i="39"/>
  <c r="R305" i="39"/>
  <c r="R90" i="39"/>
  <c r="R79" i="39"/>
  <c r="R120" i="39"/>
  <c r="R123" i="39"/>
  <c r="R285" i="39"/>
  <c r="R47" i="39"/>
  <c r="R73" i="39"/>
  <c r="R208" i="39"/>
  <c r="R87" i="39"/>
  <c r="P4" i="39"/>
  <c r="P3" i="39" s="1" a="1"/>
  <c r="P3" i="39" s="1"/>
  <c r="R9" i="39"/>
  <c r="R151" i="39"/>
  <c r="R97" i="39"/>
  <c r="R66" i="39"/>
  <c r="R180" i="39"/>
  <c r="R289" i="39"/>
  <c r="R104" i="39"/>
  <c r="R293" i="39"/>
  <c r="R272" i="39"/>
  <c r="R224" i="39"/>
  <c r="R210" i="39"/>
  <c r="R63" i="39"/>
  <c r="R130" i="39"/>
  <c r="R262" i="39"/>
  <c r="R16" i="39"/>
  <c r="R132" i="39"/>
  <c r="R89" i="39"/>
  <c r="R258" i="39"/>
  <c r="R214" i="39"/>
  <c r="R121" i="39"/>
  <c r="R131" i="39"/>
  <c r="R150" i="39"/>
  <c r="R31" i="39"/>
  <c r="R126" i="39"/>
  <c r="R271" i="39"/>
  <c r="R45" i="39"/>
  <c r="R166" i="39"/>
  <c r="R146" i="39"/>
  <c r="R172" i="39"/>
  <c r="R118" i="39"/>
  <c r="R72" i="39"/>
  <c r="R122" i="39"/>
  <c r="R203" i="39"/>
  <c r="R303" i="39"/>
  <c r="R249" i="39"/>
  <c r="R260" i="39"/>
  <c r="R297" i="39"/>
  <c r="R308" i="39"/>
  <c r="R206" i="39"/>
  <c r="R199" i="39"/>
  <c r="R163" i="39"/>
  <c r="R26" i="39"/>
  <c r="R167" i="39"/>
  <c r="R103" i="39"/>
  <c r="R128" i="39"/>
  <c r="R205" i="39"/>
  <c r="R75" i="39"/>
  <c r="R273" i="39"/>
  <c r="R234" i="39"/>
  <c r="R291" i="39"/>
  <c r="R88" i="39"/>
  <c r="R117" i="39"/>
  <c r="R52" i="39"/>
  <c r="R76" i="39"/>
  <c r="R277" i="39"/>
  <c r="R149" i="39"/>
  <c r="R312" i="39"/>
  <c r="R200" i="39"/>
  <c r="R95" i="39"/>
  <c r="R154" i="39"/>
  <c r="R176" i="39"/>
  <c r="R18" i="39"/>
  <c r="R173" i="39"/>
  <c r="R153" i="39"/>
  <c r="R259" i="39"/>
  <c r="R77" i="39"/>
  <c r="R216" i="39"/>
  <c r="R112" i="39"/>
  <c r="R6" i="39"/>
  <c r="R116" i="39"/>
  <c r="R71" i="39"/>
  <c r="R145" i="39"/>
  <c r="R114" i="39"/>
  <c r="R315" i="39"/>
  <c r="R230" i="39"/>
  <c r="R225" i="39"/>
  <c r="R144" i="39"/>
  <c r="R275" i="39"/>
  <c r="R92" i="39"/>
  <c r="R288" i="39"/>
  <c r="R244" i="39"/>
  <c r="R143" i="39"/>
  <c r="R301" i="39"/>
  <c r="R183" i="39"/>
  <c r="R212" i="39"/>
  <c r="R105" i="39"/>
  <c r="R253" i="39"/>
  <c r="R226" i="39"/>
  <c r="R80" i="39"/>
  <c r="R41" i="39"/>
  <c r="R69" i="39"/>
  <c r="R156" i="39"/>
  <c r="R24" i="39"/>
  <c r="R60" i="39"/>
  <c r="R233" i="39"/>
  <c r="R50" i="39"/>
  <c r="R269" i="39"/>
  <c r="R264" i="39"/>
  <c r="R43" i="39"/>
  <c r="R68" i="39"/>
  <c r="R177" i="39"/>
  <c r="R179" i="39"/>
  <c r="R286" i="39"/>
  <c r="R304" i="39"/>
  <c r="R12" i="39"/>
  <c r="R36" i="39"/>
  <c r="R147" i="39"/>
  <c r="R152" i="39"/>
  <c r="R311" i="39"/>
  <c r="R96" i="39"/>
  <c r="R27" i="39"/>
  <c r="R229" i="39"/>
  <c r="R7" i="39"/>
  <c r="R296" i="39"/>
  <c r="R25" i="39"/>
  <c r="R298" i="39"/>
  <c r="R54" i="39"/>
  <c r="R85" i="39"/>
  <c r="R181" i="39"/>
  <c r="R261" i="39"/>
  <c r="R194" i="39"/>
  <c r="R240" i="39"/>
  <c r="R300" i="39"/>
  <c r="R53" i="39"/>
  <c r="R134" i="39"/>
  <c r="R62" i="39"/>
  <c r="R276" i="39"/>
  <c r="R217" i="39"/>
  <c r="R94" i="39"/>
  <c r="R302" i="39"/>
  <c r="R13" i="39"/>
  <c r="R56" i="39"/>
  <c r="R266" i="39"/>
  <c r="R155" i="39"/>
  <c r="R250" i="39"/>
  <c r="R99" i="39"/>
  <c r="R213" i="39"/>
  <c r="R83" i="39"/>
  <c r="R221" i="39"/>
  <c r="R313" i="39"/>
  <c r="R55" i="39"/>
  <c r="R243" i="39"/>
  <c r="R135" i="39"/>
  <c r="R81" i="39"/>
  <c r="R235" i="39"/>
  <c r="R188" i="39"/>
  <c r="R102" i="39"/>
  <c r="R292" i="39"/>
  <c r="R108" i="39"/>
  <c r="R44" i="39"/>
  <c r="R220" i="39"/>
  <c r="R238" i="39"/>
  <c r="R279" i="39"/>
  <c r="R242" i="39"/>
  <c r="R175" i="39"/>
  <c r="R59" i="39"/>
  <c r="R86" i="39"/>
  <c r="R228" i="39"/>
  <c r="R174" i="39"/>
  <c r="R17" i="39"/>
  <c r="R84" i="39"/>
  <c r="R139" i="39"/>
  <c r="R39" i="39"/>
  <c r="R246" i="39"/>
  <c r="R20" i="39"/>
  <c r="R64" i="39"/>
  <c r="R78" i="39"/>
  <c r="R215" i="39"/>
  <c r="R239" i="39"/>
  <c r="R148" i="39"/>
  <c r="R268" i="39"/>
  <c r="R11" i="39"/>
  <c r="R70" i="39"/>
  <c r="R263" i="39"/>
  <c r="R193" i="39"/>
  <c r="R197" i="39"/>
  <c r="R161" i="39"/>
  <c r="R14" i="39"/>
  <c r="R270" i="39"/>
  <c r="R162" i="39"/>
  <c r="R247" i="39"/>
  <c r="R106" i="39"/>
  <c r="R30" i="39"/>
  <c r="R113" i="39"/>
  <c r="R23" i="39"/>
  <c r="R111" i="39"/>
  <c r="R223" i="39"/>
  <c r="R295" i="39"/>
  <c r="R198" i="39"/>
  <c r="R284" i="39"/>
  <c r="R202" i="39"/>
  <c r="R204" i="39"/>
  <c r="R98" i="39"/>
  <c r="R185" i="39"/>
  <c r="R251" i="39"/>
  <c r="R227" i="39"/>
  <c r="R28" i="39"/>
  <c r="R165" i="39"/>
  <c r="R40" i="39"/>
  <c r="R34" i="39"/>
  <c r="R38" i="39"/>
  <c r="R290" i="39"/>
  <c r="R8" i="39"/>
  <c r="R136" i="39"/>
  <c r="R232" i="39"/>
  <c r="R107" i="39"/>
  <c r="R15" i="39"/>
  <c r="R254" i="39"/>
  <c r="R282" i="39"/>
  <c r="R33" i="39"/>
  <c r="R311" i="38"/>
  <c r="R267" i="38"/>
  <c r="R161" i="38"/>
  <c r="R60" i="38"/>
  <c r="R287" i="38"/>
  <c r="R206" i="38"/>
  <c r="R248" i="38"/>
  <c r="R199" i="38"/>
  <c r="R263" i="38"/>
  <c r="R250" i="38"/>
  <c r="R306" i="38"/>
  <c r="R52" i="38"/>
  <c r="R216" i="38"/>
  <c r="R232" i="38"/>
  <c r="R260" i="38"/>
  <c r="R186" i="38"/>
  <c r="R249" i="38"/>
  <c r="R282" i="38"/>
  <c r="R67" i="38"/>
  <c r="R154" i="38"/>
  <c r="R268" i="38"/>
  <c r="R70" i="38"/>
  <c r="R113" i="38"/>
  <c r="R23" i="38"/>
  <c r="R236" i="38"/>
  <c r="R130" i="38"/>
  <c r="R298" i="38"/>
  <c r="R272" i="38"/>
  <c r="R253" i="38"/>
  <c r="R149" i="38"/>
  <c r="R120" i="38"/>
  <c r="R43" i="38"/>
  <c r="R111" i="38"/>
  <c r="R40" i="38"/>
  <c r="R193" i="38"/>
  <c r="R6" i="38"/>
  <c r="R55" i="38"/>
  <c r="R90" i="38"/>
  <c r="R303" i="38"/>
  <c r="R21" i="38"/>
  <c r="R14" i="38"/>
  <c r="R246" i="38"/>
  <c r="R300" i="38"/>
  <c r="R188" i="38"/>
  <c r="R185" i="38"/>
  <c r="R119" i="38"/>
  <c r="R65" i="38"/>
  <c r="R209" i="38"/>
  <c r="R50" i="38"/>
  <c r="R222" i="38"/>
  <c r="R117" i="38"/>
  <c r="R302" i="38"/>
  <c r="R54" i="38"/>
  <c r="R189" i="38"/>
  <c r="R266" i="38"/>
  <c r="R314" i="38"/>
  <c r="R284" i="38"/>
  <c r="R156" i="38"/>
  <c r="R8" i="38"/>
  <c r="R32" i="38"/>
  <c r="R256" i="38"/>
  <c r="R202" i="38"/>
  <c r="R227" i="38"/>
  <c r="R258" i="38"/>
  <c r="R197" i="38"/>
  <c r="R233" i="38"/>
  <c r="R178" i="38"/>
  <c r="R106" i="38"/>
  <c r="R71" i="38"/>
  <c r="R313" i="38"/>
  <c r="R219" i="38"/>
  <c r="R69" i="38"/>
  <c r="R274" i="38"/>
  <c r="R128" i="38"/>
  <c r="R312" i="38"/>
  <c r="R105" i="38"/>
  <c r="R80" i="38"/>
  <c r="R34" i="38"/>
  <c r="R262" i="38"/>
  <c r="R294" i="38"/>
  <c r="R278" i="38"/>
  <c r="R280" i="38"/>
  <c r="P4" i="38"/>
  <c r="P3" i="38" s="1" a="1"/>
  <c r="P3" i="38" s="1"/>
  <c r="R301" i="38"/>
  <c r="R74" i="38"/>
  <c r="R259" i="38"/>
  <c r="R64" i="38"/>
  <c r="R190" i="38"/>
  <c r="R225" i="38"/>
  <c r="R283" i="38"/>
  <c r="R118" i="38"/>
  <c r="R95" i="38"/>
  <c r="R101" i="38"/>
  <c r="R53" i="38"/>
  <c r="R116" i="38"/>
  <c r="R207" i="38"/>
  <c r="R12" i="38"/>
  <c r="R109" i="38"/>
  <c r="R141" i="38"/>
  <c r="R49" i="38"/>
  <c r="R254" i="38"/>
  <c r="R296" i="38"/>
  <c r="R148" i="38"/>
  <c r="R72" i="38"/>
  <c r="R139" i="38"/>
  <c r="R13" i="38"/>
  <c r="R150" i="38"/>
  <c r="R26" i="38"/>
  <c r="R22" i="38"/>
  <c r="R264" i="38"/>
  <c r="R309" i="38"/>
  <c r="R57" i="38"/>
  <c r="R96" i="38"/>
  <c r="R138" i="38"/>
  <c r="R78" i="38"/>
  <c r="R42" i="38"/>
  <c r="R245" i="38"/>
  <c r="R81" i="38"/>
  <c r="R7" i="38"/>
  <c r="R252" i="38"/>
  <c r="R36" i="38"/>
  <c r="R146" i="38"/>
  <c r="R194" i="38"/>
  <c r="R86" i="38"/>
  <c r="R153" i="38"/>
  <c r="R33" i="38"/>
  <c r="R166" i="38"/>
  <c r="R48" i="38"/>
  <c r="R82" i="38"/>
  <c r="R195" i="38"/>
  <c r="R123" i="38"/>
  <c r="R277" i="38"/>
  <c r="R107" i="38"/>
  <c r="R135" i="38"/>
  <c r="R144" i="38"/>
  <c r="R75" i="38"/>
  <c r="R151" i="38"/>
  <c r="R35" i="38"/>
  <c r="R25" i="38"/>
  <c r="R131" i="38"/>
  <c r="R243" i="38"/>
  <c r="R310" i="38"/>
  <c r="R238" i="38"/>
  <c r="R152" i="38"/>
  <c r="R213" i="38"/>
  <c r="R85" i="38"/>
  <c r="R307" i="38"/>
  <c r="R133" i="38"/>
  <c r="R179" i="38"/>
  <c r="R261" i="38"/>
  <c r="R68" i="38"/>
  <c r="R265" i="38"/>
  <c r="R299" i="38"/>
  <c r="R94" i="38"/>
  <c r="R163" i="38"/>
  <c r="R66" i="38"/>
  <c r="R237" i="38"/>
  <c r="R176" i="38"/>
  <c r="R157" i="38"/>
  <c r="R257" i="38"/>
  <c r="R143" i="38"/>
  <c r="R242" i="38"/>
  <c r="R16" i="38"/>
  <c r="R19" i="38"/>
  <c r="R97" i="38"/>
  <c r="R218" i="38"/>
  <c r="R182" i="38"/>
  <c r="R165" i="38"/>
  <c r="R46" i="38"/>
  <c r="R28" i="38"/>
  <c r="R230" i="38"/>
  <c r="R308" i="38"/>
  <c r="R76" i="38"/>
  <c r="R183" i="38"/>
  <c r="R201" i="38"/>
  <c r="R100" i="38"/>
  <c r="R172" i="38"/>
  <c r="R168" i="38"/>
  <c r="R305" i="38"/>
  <c r="R275" i="38"/>
  <c r="R316" i="38"/>
  <c r="R235" i="38"/>
  <c r="R83" i="38"/>
  <c r="R38" i="38"/>
  <c r="R293" i="38"/>
  <c r="R61" i="38"/>
  <c r="R175" i="38"/>
  <c r="R276" i="38"/>
  <c r="R15" i="38"/>
  <c r="R180" i="38"/>
  <c r="R285" i="38"/>
  <c r="R291" i="38"/>
  <c r="R63" i="38"/>
  <c r="R164" i="38"/>
  <c r="R173" i="38"/>
  <c r="R177" i="38"/>
  <c r="R27" i="38"/>
  <c r="R93" i="38"/>
  <c r="R191" i="38"/>
  <c r="R215" i="38"/>
  <c r="R241" i="38"/>
  <c r="R221" i="38"/>
  <c r="R269" i="38"/>
  <c r="R162" i="38"/>
  <c r="R84" i="38"/>
  <c r="R115" i="38"/>
  <c r="R226" i="38"/>
  <c r="R273" i="38"/>
  <c r="R127" i="38"/>
  <c r="R142" i="38"/>
  <c r="R140" i="38"/>
  <c r="R181" i="38"/>
  <c r="R304" i="38"/>
  <c r="R108" i="38"/>
  <c r="R124" i="38"/>
  <c r="R292" i="38"/>
  <c r="R134" i="38"/>
  <c r="R18" i="38"/>
  <c r="R205" i="38"/>
  <c r="R297" i="38"/>
  <c r="R220" i="38"/>
  <c r="R129" i="38"/>
  <c r="R155" i="38"/>
  <c r="R29" i="38"/>
  <c r="R47" i="38"/>
  <c r="R24" i="38"/>
  <c r="R290" i="38"/>
  <c r="R224" i="38"/>
  <c r="R244" i="38"/>
  <c r="R121" i="38"/>
  <c r="R98" i="38"/>
  <c r="R217" i="38"/>
  <c r="R11" i="38"/>
  <c r="R132" i="38"/>
  <c r="R110" i="38"/>
  <c r="R73" i="38"/>
  <c r="R158" i="38"/>
  <c r="R214" i="38"/>
  <c r="R20" i="38"/>
  <c r="R122" i="38"/>
  <c r="R192" i="38"/>
  <c r="R92" i="38"/>
  <c r="R171" i="38"/>
  <c r="R56" i="38"/>
  <c r="R204" i="38"/>
  <c r="R169" i="38"/>
  <c r="R223" i="38"/>
  <c r="R210" i="38"/>
  <c r="R212" i="38"/>
  <c r="R77" i="38"/>
  <c r="R145" i="38"/>
  <c r="R200" i="38"/>
  <c r="R37" i="38"/>
  <c r="R103" i="38"/>
  <c r="R289" i="38"/>
  <c r="R295" i="38"/>
  <c r="R208" i="38"/>
  <c r="R104" i="38"/>
  <c r="R114" i="38"/>
  <c r="R196" i="38"/>
  <c r="R147" i="38"/>
  <c r="R79" i="38"/>
  <c r="R174" i="38"/>
  <c r="R102" i="38"/>
  <c r="R88" i="38"/>
  <c r="R126" i="38"/>
  <c r="R255" i="38"/>
  <c r="R62" i="38"/>
  <c r="R30" i="38"/>
  <c r="R288" i="38"/>
  <c r="R315" i="38"/>
  <c r="R286" i="38"/>
  <c r="R228" i="38"/>
  <c r="R9" i="38"/>
  <c r="R231" i="38"/>
  <c r="R229" i="38"/>
  <c r="R91" i="38"/>
  <c r="R251" i="38"/>
  <c r="R51" i="38"/>
  <c r="R44" i="38"/>
  <c r="R99" i="38"/>
  <c r="R39" i="38"/>
  <c r="R279" i="38"/>
  <c r="R240" i="38"/>
  <c r="R136" i="38"/>
  <c r="R184" i="38"/>
  <c r="R41" i="38"/>
  <c r="R167" i="38"/>
  <c r="R187" i="38"/>
  <c r="R247" i="38"/>
  <c r="R87" i="38"/>
  <c r="R170" i="38"/>
  <c r="R198" i="38"/>
  <c r="R58" i="38"/>
  <c r="R59" i="38"/>
  <c r="R203" i="38"/>
  <c r="R89" i="38"/>
  <c r="R234" i="38"/>
  <c r="R17" i="38"/>
  <c r="R281" i="38"/>
  <c r="R159" i="38"/>
  <c r="R271" i="38"/>
  <c r="R10" i="38"/>
  <c r="R160" i="38"/>
  <c r="R270" i="38"/>
  <c r="R112" i="38"/>
  <c r="R211" i="38"/>
  <c r="R31" i="38"/>
  <c r="R5" i="38"/>
  <c r="R125" i="38"/>
  <c r="R137" i="38"/>
  <c r="R239" i="38"/>
  <c r="R45" i="38"/>
  <c r="P4" i="37"/>
  <c r="O301" i="37"/>
  <c r="P301" i="37" s="1"/>
  <c r="Q301" i="37" s="1"/>
  <c r="O220" i="37"/>
  <c r="P220" i="37" s="1"/>
  <c r="Q220" i="37" s="1"/>
  <c r="O50" i="37"/>
  <c r="P50" i="37" s="1"/>
  <c r="Q50" i="37" s="1"/>
  <c r="O216" i="37"/>
  <c r="P216" i="37" s="1"/>
  <c r="Q216" i="37" s="1"/>
  <c r="O198" i="37"/>
  <c r="P198" i="37" s="1"/>
  <c r="Q198" i="37" s="1"/>
  <c r="O60" i="37"/>
  <c r="P60" i="37" s="1"/>
  <c r="Q60" i="37" s="1"/>
  <c r="O46" i="37"/>
  <c r="P46" i="37" s="1"/>
  <c r="Q46" i="37" s="1"/>
  <c r="O147" i="37"/>
  <c r="P147" i="37" s="1"/>
  <c r="Q147" i="37" s="1"/>
  <c r="O249" i="37"/>
  <c r="P249" i="37" s="1"/>
  <c r="Q249" i="37" s="1"/>
  <c r="O199" i="37"/>
  <c r="P199" i="37" s="1"/>
  <c r="Q199" i="37" s="1"/>
  <c r="O306" i="37"/>
  <c r="P306" i="37" s="1"/>
  <c r="Q306" i="37" s="1"/>
  <c r="O7" i="37"/>
  <c r="P7" i="37" s="1"/>
  <c r="Q7" i="37" s="1"/>
  <c r="O144" i="37"/>
  <c r="P144" i="37" s="1"/>
  <c r="Q144" i="37" s="1"/>
  <c r="O141" i="37"/>
  <c r="P141" i="37" s="1"/>
  <c r="Q141" i="37" s="1"/>
  <c r="O183" i="37"/>
  <c r="P183" i="37" s="1"/>
  <c r="Q183" i="37" s="1"/>
  <c r="O208" i="37"/>
  <c r="P208" i="37" s="1"/>
  <c r="Q208" i="37" s="1"/>
  <c r="O69" i="37"/>
  <c r="P69" i="37" s="1"/>
  <c r="Q69" i="37" s="1"/>
  <c r="O44" i="37"/>
  <c r="P44" i="37" s="1"/>
  <c r="Q44" i="37" s="1"/>
  <c r="O233" i="37"/>
  <c r="P233" i="37" s="1"/>
  <c r="Q233" i="37" s="1"/>
  <c r="O137" i="37"/>
  <c r="P137" i="37" s="1"/>
  <c r="Q137" i="37" s="1"/>
  <c r="O127" i="37"/>
  <c r="P127" i="37" s="1"/>
  <c r="Q127" i="37" s="1"/>
  <c r="O205" i="37"/>
  <c r="P205" i="37" s="1"/>
  <c r="Q205" i="37" s="1"/>
  <c r="O235" i="37"/>
  <c r="P235" i="37" s="1"/>
  <c r="Q235" i="37" s="1"/>
  <c r="O122" i="37"/>
  <c r="P122" i="37" s="1"/>
  <c r="Q122" i="37" s="1"/>
  <c r="O194" i="37"/>
  <c r="P194" i="37" s="1"/>
  <c r="Q194" i="37" s="1"/>
  <c r="O10" i="37"/>
  <c r="P10" i="37" s="1"/>
  <c r="Q10" i="37" s="1"/>
  <c r="O258" i="37"/>
  <c r="P258" i="37" s="1"/>
  <c r="Q258" i="37" s="1"/>
  <c r="O129" i="37"/>
  <c r="P129" i="37" s="1"/>
  <c r="Q129" i="37" s="1"/>
  <c r="O109" i="37"/>
  <c r="P109" i="37" s="1"/>
  <c r="Q109" i="37" s="1"/>
  <c r="O242" i="37"/>
  <c r="P242" i="37" s="1"/>
  <c r="Q242" i="37" s="1"/>
  <c r="O231" i="37"/>
  <c r="P231" i="37" s="1"/>
  <c r="Q231" i="37" s="1"/>
  <c r="O192" i="37"/>
  <c r="P192" i="37" s="1"/>
  <c r="Q192" i="37" s="1"/>
  <c r="O72" i="37"/>
  <c r="P72" i="37" s="1"/>
  <c r="Q72" i="37" s="1"/>
  <c r="O213" i="37"/>
  <c r="P213" i="37" s="1"/>
  <c r="Q213" i="37" s="1"/>
  <c r="O212" i="37"/>
  <c r="P212" i="37" s="1"/>
  <c r="Q212" i="37" s="1"/>
  <c r="O234" i="37"/>
  <c r="P234" i="37" s="1"/>
  <c r="Q234" i="37" s="1"/>
  <c r="O288" i="37"/>
  <c r="P288" i="37" s="1"/>
  <c r="Q288" i="37" s="1"/>
  <c r="O102" i="37"/>
  <c r="P102" i="37" s="1"/>
  <c r="Q102" i="37" s="1"/>
  <c r="O158" i="37"/>
  <c r="P158" i="37" s="1"/>
  <c r="Q158" i="37" s="1"/>
  <c r="O229" i="37"/>
  <c r="P229" i="37" s="1"/>
  <c r="Q229" i="37" s="1"/>
  <c r="O302" i="37"/>
  <c r="P302" i="37" s="1"/>
  <c r="Q302" i="37" s="1"/>
  <c r="O17" i="37"/>
  <c r="P17" i="37" s="1"/>
  <c r="Q17" i="37" s="1"/>
  <c r="O265" i="37"/>
  <c r="P265" i="37" s="1"/>
  <c r="Q265" i="37" s="1"/>
  <c r="O223" i="37"/>
  <c r="P223" i="37" s="1"/>
  <c r="Q223" i="37" s="1"/>
  <c r="O90" i="37"/>
  <c r="P90" i="37" s="1"/>
  <c r="Q90" i="37" s="1"/>
  <c r="O66" i="37"/>
  <c r="P66" i="37" s="1"/>
  <c r="Q66" i="37" s="1"/>
  <c r="O290" i="37"/>
  <c r="P290" i="37" s="1"/>
  <c r="Q290" i="37" s="1"/>
  <c r="O255" i="37"/>
  <c r="P255" i="37" s="1"/>
  <c r="Q255" i="37" s="1"/>
  <c r="O308" i="37"/>
  <c r="P308" i="37" s="1"/>
  <c r="Q308" i="37" s="1"/>
  <c r="O224" i="37"/>
  <c r="P224" i="37" s="1"/>
  <c r="Q224" i="37" s="1"/>
  <c r="O101" i="37"/>
  <c r="P101" i="37" s="1"/>
  <c r="Q101" i="37" s="1"/>
  <c r="O312" i="37"/>
  <c r="P312" i="37" s="1"/>
  <c r="Q312" i="37" s="1"/>
  <c r="O20" i="37"/>
  <c r="P20" i="37" s="1"/>
  <c r="Q20" i="37" s="1"/>
  <c r="O239" i="37"/>
  <c r="P239" i="37" s="1"/>
  <c r="Q239" i="37" s="1"/>
  <c r="O40" i="37"/>
  <c r="P40" i="37" s="1"/>
  <c r="Q40" i="37" s="1"/>
  <c r="O16" i="37"/>
  <c r="P16" i="37" s="1"/>
  <c r="Q16" i="37" s="1"/>
  <c r="O195" i="37"/>
  <c r="P195" i="37" s="1"/>
  <c r="Q195" i="37" s="1"/>
  <c r="O6" i="37"/>
  <c r="P6" i="37" s="1"/>
  <c r="Q6" i="37" s="1"/>
  <c r="O91" i="37"/>
  <c r="P91" i="37" s="1"/>
  <c r="Q91" i="37" s="1"/>
  <c r="O226" i="37"/>
  <c r="P226" i="37" s="1"/>
  <c r="Q226" i="37" s="1"/>
  <c r="O193" i="37"/>
  <c r="P193" i="37" s="1"/>
  <c r="Q193" i="37" s="1"/>
  <c r="O140" i="37"/>
  <c r="P140" i="37" s="1"/>
  <c r="Q140" i="37" s="1"/>
  <c r="O164" i="37"/>
  <c r="P164" i="37" s="1"/>
  <c r="Q164" i="37" s="1"/>
  <c r="O165" i="37"/>
  <c r="P165" i="37" s="1"/>
  <c r="Q165" i="37" s="1"/>
  <c r="O121" i="37"/>
  <c r="P121" i="37" s="1"/>
  <c r="Q121" i="37" s="1"/>
  <c r="O162" i="37"/>
  <c r="P162" i="37" s="1"/>
  <c r="Q162" i="37" s="1"/>
  <c r="O136" i="37"/>
  <c r="P136" i="37" s="1"/>
  <c r="Q136" i="37" s="1"/>
  <c r="O188" i="37"/>
  <c r="P188" i="37" s="1"/>
  <c r="Q188" i="37" s="1"/>
  <c r="O61" i="37"/>
  <c r="P61" i="37" s="1"/>
  <c r="Q61" i="37" s="1"/>
  <c r="O82" i="37"/>
  <c r="P82" i="37" s="1"/>
  <c r="Q82" i="37" s="1"/>
  <c r="O56" i="37"/>
  <c r="P56" i="37" s="1"/>
  <c r="Q56" i="37" s="1"/>
  <c r="O130" i="37"/>
  <c r="P130" i="37" s="1"/>
  <c r="Q130" i="37" s="1"/>
  <c r="O236" i="37"/>
  <c r="P236" i="37" s="1"/>
  <c r="Q236" i="37" s="1"/>
  <c r="O106" i="37"/>
  <c r="P106" i="37" s="1"/>
  <c r="Q106" i="37" s="1"/>
  <c r="O25" i="37"/>
  <c r="P25" i="37" s="1"/>
  <c r="Q25" i="37" s="1"/>
  <c r="O23" i="37"/>
  <c r="P23" i="37" s="1"/>
  <c r="Q23" i="37" s="1"/>
  <c r="O88" i="37"/>
  <c r="P88" i="37" s="1"/>
  <c r="Q88" i="37" s="1"/>
  <c r="O63" i="37"/>
  <c r="P63" i="37" s="1"/>
  <c r="Q63" i="37" s="1"/>
  <c r="O112" i="37"/>
  <c r="P112" i="37" s="1"/>
  <c r="Q112" i="37" s="1"/>
  <c r="O202" i="37"/>
  <c r="P202" i="37" s="1"/>
  <c r="Q202" i="37" s="1"/>
  <c r="O53" i="37"/>
  <c r="P53" i="37" s="1"/>
  <c r="Q53" i="37" s="1"/>
  <c r="O86" i="37"/>
  <c r="P86" i="37" s="1"/>
  <c r="Q86" i="37" s="1"/>
  <c r="O274" i="37"/>
  <c r="P274" i="37" s="1"/>
  <c r="Q274" i="37" s="1"/>
  <c r="O83" i="37"/>
  <c r="P83" i="37" s="1"/>
  <c r="Q83" i="37" s="1"/>
  <c r="O178" i="37"/>
  <c r="P178" i="37" s="1"/>
  <c r="Q178" i="37" s="1"/>
  <c r="O135" i="37"/>
  <c r="P135" i="37" s="1"/>
  <c r="Q135" i="37" s="1"/>
  <c r="O120" i="37"/>
  <c r="P120" i="37" s="1"/>
  <c r="Q120" i="37" s="1"/>
  <c r="O13" i="37"/>
  <c r="P13" i="37" s="1"/>
  <c r="Q13" i="37" s="1"/>
  <c r="O124" i="37"/>
  <c r="P124" i="37" s="1"/>
  <c r="Q124" i="37" s="1"/>
  <c r="O304" i="37"/>
  <c r="P304" i="37" s="1"/>
  <c r="Q304" i="37" s="1"/>
  <c r="O24" i="37"/>
  <c r="P24" i="37" s="1"/>
  <c r="Q24" i="37" s="1"/>
  <c r="O189" i="37"/>
  <c r="P189" i="37" s="1"/>
  <c r="Q189" i="37" s="1"/>
  <c r="O89" i="37"/>
  <c r="P89" i="37" s="1"/>
  <c r="Q89" i="37" s="1"/>
  <c r="O87" i="37"/>
  <c r="P87" i="37" s="1"/>
  <c r="Q87" i="37" s="1"/>
  <c r="O93" i="37"/>
  <c r="P93" i="37" s="1"/>
  <c r="Q93" i="37" s="1"/>
  <c r="O166" i="37"/>
  <c r="P166" i="37" s="1"/>
  <c r="Q166" i="37" s="1"/>
  <c r="O45" i="37"/>
  <c r="P45" i="37" s="1"/>
  <c r="Q45" i="37" s="1"/>
  <c r="O79" i="37"/>
  <c r="P79" i="37" s="1"/>
  <c r="Q79" i="37" s="1"/>
  <c r="O43" i="37"/>
  <c r="P43" i="37" s="1"/>
  <c r="Q43" i="37" s="1"/>
  <c r="O259" i="37"/>
  <c r="P259" i="37" s="1"/>
  <c r="Q259" i="37" s="1"/>
  <c r="O139" i="37"/>
  <c r="P139" i="37" s="1"/>
  <c r="Q139" i="37" s="1"/>
  <c r="O299" i="37"/>
  <c r="P299" i="37" s="1"/>
  <c r="Q299" i="37" s="1"/>
  <c r="O277" i="37"/>
  <c r="P277" i="37" s="1"/>
  <c r="Q277" i="37" s="1"/>
  <c r="O163" i="37"/>
  <c r="P163" i="37" s="1"/>
  <c r="Q163" i="37" s="1"/>
  <c r="O37" i="37"/>
  <c r="P37" i="37" s="1"/>
  <c r="Q37" i="37" s="1"/>
  <c r="O34" i="37"/>
  <c r="P34" i="37" s="1"/>
  <c r="Q34" i="37" s="1"/>
  <c r="O263" i="37"/>
  <c r="P263" i="37" s="1"/>
  <c r="Q263" i="37" s="1"/>
  <c r="O253" i="37"/>
  <c r="P253" i="37" s="1"/>
  <c r="Q253" i="37" s="1"/>
  <c r="O84" i="37"/>
  <c r="P84" i="37" s="1"/>
  <c r="Q84" i="37" s="1"/>
  <c r="O257" i="37"/>
  <c r="P257" i="37" s="1"/>
  <c r="Q257" i="37" s="1"/>
  <c r="O118" i="37"/>
  <c r="P118" i="37" s="1"/>
  <c r="Q118" i="37" s="1"/>
  <c r="O128" i="37"/>
  <c r="P128" i="37" s="1"/>
  <c r="Q128" i="37" s="1"/>
  <c r="O99" i="37"/>
  <c r="P99" i="37" s="1"/>
  <c r="Q99" i="37" s="1"/>
  <c r="O116" i="37"/>
  <c r="P116" i="37" s="1"/>
  <c r="Q116" i="37" s="1"/>
  <c r="O155" i="37"/>
  <c r="P155" i="37" s="1"/>
  <c r="Q155" i="37" s="1"/>
  <c r="O281" i="37"/>
  <c r="P281" i="37" s="1"/>
  <c r="Q281" i="37" s="1"/>
  <c r="O245" i="37"/>
  <c r="P245" i="37" s="1"/>
  <c r="Q245" i="37" s="1"/>
  <c r="O214" i="37"/>
  <c r="P214" i="37" s="1"/>
  <c r="Q214" i="37" s="1"/>
  <c r="O31" i="37"/>
  <c r="P31" i="37" s="1"/>
  <c r="Q31" i="37" s="1"/>
  <c r="O19" i="37"/>
  <c r="P19" i="37" s="1"/>
  <c r="Q19" i="37" s="1"/>
  <c r="O78" i="37"/>
  <c r="P78" i="37" s="1"/>
  <c r="Q78" i="37" s="1"/>
  <c r="O305" i="37"/>
  <c r="P305" i="37" s="1"/>
  <c r="Q305" i="37" s="1"/>
  <c r="O177" i="37"/>
  <c r="P177" i="37" s="1"/>
  <c r="Q177" i="37" s="1"/>
  <c r="O110" i="37"/>
  <c r="P110" i="37" s="1"/>
  <c r="Q110" i="37" s="1"/>
  <c r="O14" i="37"/>
  <c r="P14" i="37" s="1"/>
  <c r="Q14" i="37" s="1"/>
  <c r="O170" i="37"/>
  <c r="P170" i="37" s="1"/>
  <c r="Q170" i="37" s="1"/>
  <c r="O252" i="37"/>
  <c r="P252" i="37" s="1"/>
  <c r="Q252" i="37" s="1"/>
  <c r="O161" i="37"/>
  <c r="P161" i="37" s="1"/>
  <c r="Q161" i="37" s="1"/>
  <c r="O152" i="37"/>
  <c r="P152" i="37" s="1"/>
  <c r="Q152" i="37" s="1"/>
  <c r="O65" i="37"/>
  <c r="P65" i="37" s="1"/>
  <c r="Q65" i="37" s="1"/>
  <c r="O15" i="37"/>
  <c r="P15" i="37" s="1"/>
  <c r="Q15" i="37" s="1"/>
  <c r="O289" i="37"/>
  <c r="P289" i="37" s="1"/>
  <c r="Q289" i="37" s="1"/>
  <c r="O55" i="37"/>
  <c r="P55" i="37" s="1"/>
  <c r="Q55" i="37" s="1"/>
  <c r="O256" i="37"/>
  <c r="P256" i="37" s="1"/>
  <c r="Q256" i="37" s="1"/>
  <c r="O200" i="37"/>
  <c r="P200" i="37" s="1"/>
  <c r="Q200" i="37" s="1"/>
  <c r="O74" i="37"/>
  <c r="P74" i="37" s="1"/>
  <c r="Q74" i="37" s="1"/>
  <c r="O174" i="37"/>
  <c r="P174" i="37" s="1"/>
  <c r="Q174" i="37" s="1"/>
  <c r="O62" i="37"/>
  <c r="P62" i="37" s="1"/>
  <c r="Q62" i="37" s="1"/>
  <c r="O270" i="37"/>
  <c r="P270" i="37" s="1"/>
  <c r="Q270" i="37" s="1"/>
  <c r="O244" i="37"/>
  <c r="P244" i="37" s="1"/>
  <c r="Q244" i="37" s="1"/>
  <c r="O279" i="37"/>
  <c r="P279" i="37" s="1"/>
  <c r="Q279" i="37" s="1"/>
  <c r="O41" i="37"/>
  <c r="P41" i="37" s="1"/>
  <c r="Q41" i="37" s="1"/>
  <c r="O113" i="37"/>
  <c r="P113" i="37" s="1"/>
  <c r="Q113" i="37" s="1"/>
  <c r="O153" i="37"/>
  <c r="P153" i="37" s="1"/>
  <c r="Q153" i="37" s="1"/>
  <c r="O310" i="37"/>
  <c r="P310" i="37" s="1"/>
  <c r="Q310" i="37" s="1"/>
  <c r="O313" i="37"/>
  <c r="P313" i="37" s="1"/>
  <c r="Q313" i="37" s="1"/>
  <c r="O297" i="37"/>
  <c r="P297" i="37" s="1"/>
  <c r="Q297" i="37" s="1"/>
  <c r="O294" i="37"/>
  <c r="P294" i="37" s="1"/>
  <c r="Q294" i="37" s="1"/>
  <c r="O278" i="37"/>
  <c r="P278" i="37" s="1"/>
  <c r="Q278" i="37" s="1"/>
  <c r="O96" i="37"/>
  <c r="P96" i="37" s="1"/>
  <c r="Q96" i="37" s="1"/>
  <c r="O246" i="37"/>
  <c r="P246" i="37" s="1"/>
  <c r="Q246" i="37" s="1"/>
  <c r="O217" i="37"/>
  <c r="P217" i="37" s="1"/>
  <c r="Q217" i="37" s="1"/>
  <c r="O181" i="37"/>
  <c r="P181" i="37" s="1"/>
  <c r="Q181" i="37" s="1"/>
  <c r="O264" i="37"/>
  <c r="P264" i="37" s="1"/>
  <c r="Q264" i="37" s="1"/>
  <c r="O70" i="37"/>
  <c r="P70" i="37" s="1"/>
  <c r="Q70" i="37" s="1"/>
  <c r="O307" i="37"/>
  <c r="P307" i="37" s="1"/>
  <c r="Q307" i="37" s="1"/>
  <c r="O268" i="37"/>
  <c r="P268" i="37" s="1"/>
  <c r="Q268" i="37" s="1"/>
  <c r="O172" i="37"/>
  <c r="P172" i="37" s="1"/>
  <c r="Q172" i="37" s="1"/>
  <c r="O300" i="37"/>
  <c r="P300" i="37" s="1"/>
  <c r="Q300" i="37" s="1"/>
  <c r="O75" i="37"/>
  <c r="P75" i="37" s="1"/>
  <c r="Q75" i="37" s="1"/>
  <c r="O251" i="37"/>
  <c r="P251" i="37" s="1"/>
  <c r="Q251" i="37" s="1"/>
  <c r="O160" i="37"/>
  <c r="P160" i="37" s="1"/>
  <c r="Q160" i="37" s="1"/>
  <c r="O47" i="37"/>
  <c r="P47" i="37" s="1"/>
  <c r="Q47" i="37" s="1"/>
  <c r="O117" i="37"/>
  <c r="P117" i="37" s="1"/>
  <c r="Q117" i="37" s="1"/>
  <c r="O169" i="37"/>
  <c r="P169" i="37" s="1"/>
  <c r="Q169" i="37" s="1"/>
  <c r="O228" i="37"/>
  <c r="P228" i="37" s="1"/>
  <c r="Q228" i="37" s="1"/>
  <c r="O39" i="37"/>
  <c r="P39" i="37" s="1"/>
  <c r="Q39" i="37" s="1"/>
  <c r="O85" i="37"/>
  <c r="P85" i="37" s="1"/>
  <c r="Q85" i="37" s="1"/>
  <c r="O296" i="37"/>
  <c r="P296" i="37" s="1"/>
  <c r="Q296" i="37" s="1"/>
  <c r="O219" i="37"/>
  <c r="P219" i="37" s="1"/>
  <c r="Q219" i="37" s="1"/>
  <c r="O232" i="37"/>
  <c r="P232" i="37" s="1"/>
  <c r="Q232" i="37" s="1"/>
  <c r="O33" i="37"/>
  <c r="P33" i="37" s="1"/>
  <c r="Q33" i="37" s="1"/>
  <c r="O292" i="37"/>
  <c r="P292" i="37" s="1"/>
  <c r="Q292" i="37" s="1"/>
  <c r="O291" i="37"/>
  <c r="P291" i="37" s="1"/>
  <c r="Q291" i="37" s="1"/>
  <c r="O227" i="37"/>
  <c r="P227" i="37" s="1"/>
  <c r="Q227" i="37" s="1"/>
  <c r="O18" i="37"/>
  <c r="P18" i="37" s="1"/>
  <c r="Q18" i="37" s="1"/>
  <c r="O154" i="37"/>
  <c r="P154" i="37" s="1"/>
  <c r="Q154" i="37" s="1"/>
  <c r="O133" i="37"/>
  <c r="P133" i="37" s="1"/>
  <c r="Q133" i="37" s="1"/>
  <c r="O204" i="37"/>
  <c r="P204" i="37" s="1"/>
  <c r="Q204" i="37" s="1"/>
  <c r="O142" i="37"/>
  <c r="P142" i="37" s="1"/>
  <c r="Q142" i="37" s="1"/>
  <c r="O94" i="37"/>
  <c r="P94" i="37" s="1"/>
  <c r="Q94" i="37" s="1"/>
  <c r="O138" i="37"/>
  <c r="P138" i="37" s="1"/>
  <c r="Q138" i="37" s="1"/>
  <c r="O171" i="37"/>
  <c r="P171" i="37" s="1"/>
  <c r="Q171" i="37" s="1"/>
  <c r="O38" i="37"/>
  <c r="P38" i="37" s="1"/>
  <c r="Q38" i="37" s="1"/>
  <c r="O156" i="37"/>
  <c r="P156" i="37" s="1"/>
  <c r="Q156" i="37" s="1"/>
  <c r="O9" i="37"/>
  <c r="P9" i="37" s="1"/>
  <c r="Q9" i="37" s="1"/>
  <c r="O175" i="37"/>
  <c r="P175" i="37" s="1"/>
  <c r="Q175" i="37" s="1"/>
  <c r="O131" i="37"/>
  <c r="P131" i="37" s="1"/>
  <c r="Q131" i="37" s="1"/>
  <c r="O182" i="37"/>
  <c r="P182" i="37" s="1"/>
  <c r="Q182" i="37" s="1"/>
  <c r="O52" i="37"/>
  <c r="P52" i="37" s="1"/>
  <c r="Q52" i="37" s="1"/>
  <c r="O215" i="37"/>
  <c r="P215" i="37" s="1"/>
  <c r="Q215" i="37" s="1"/>
  <c r="O35" i="37"/>
  <c r="P35" i="37" s="1"/>
  <c r="Q35" i="37" s="1"/>
  <c r="O295" i="37"/>
  <c r="P295" i="37" s="1"/>
  <c r="Q295" i="37" s="1"/>
  <c r="O51" i="37"/>
  <c r="P51" i="37" s="1"/>
  <c r="Q51" i="37" s="1"/>
  <c r="O311" i="37"/>
  <c r="P311" i="37" s="1"/>
  <c r="Q311" i="37" s="1"/>
  <c r="O196" i="37"/>
  <c r="P196" i="37" s="1"/>
  <c r="Q196" i="37" s="1"/>
  <c r="O285" i="37"/>
  <c r="P285" i="37" s="1"/>
  <c r="Q285" i="37" s="1"/>
  <c r="O42" i="37"/>
  <c r="P42" i="37" s="1"/>
  <c r="Q42" i="37" s="1"/>
  <c r="O68" i="37"/>
  <c r="P68" i="37" s="1"/>
  <c r="Q68" i="37" s="1"/>
  <c r="O272" i="37"/>
  <c r="P272" i="37" s="1"/>
  <c r="Q272" i="37" s="1"/>
  <c r="O179" i="37"/>
  <c r="P179" i="37" s="1"/>
  <c r="Q179" i="37" s="1"/>
  <c r="O5" i="37"/>
  <c r="P5" i="37" s="1"/>
  <c r="Q5" i="37" s="1"/>
  <c r="O48" i="37"/>
  <c r="P48" i="37" s="1"/>
  <c r="Q48" i="37" s="1"/>
  <c r="O207" i="37"/>
  <c r="P207" i="37" s="1"/>
  <c r="Q207" i="37" s="1"/>
  <c r="O134" i="37"/>
  <c r="P134" i="37" s="1"/>
  <c r="Q134" i="37" s="1"/>
  <c r="O197" i="37"/>
  <c r="P197" i="37" s="1"/>
  <c r="Q197" i="37" s="1"/>
  <c r="O247" i="37"/>
  <c r="P247" i="37" s="1"/>
  <c r="Q247" i="37" s="1"/>
  <c r="O114" i="37"/>
  <c r="P114" i="37" s="1"/>
  <c r="Q114" i="37" s="1"/>
  <c r="O22" i="37"/>
  <c r="P22" i="37" s="1"/>
  <c r="Q22" i="37" s="1"/>
  <c r="O173" i="37"/>
  <c r="P173" i="37" s="1"/>
  <c r="Q173" i="37" s="1"/>
  <c r="O230" i="37"/>
  <c r="P230" i="37" s="1"/>
  <c r="Q230" i="37" s="1"/>
  <c r="O176" i="37"/>
  <c r="P176" i="37" s="1"/>
  <c r="Q176" i="37" s="1"/>
  <c r="O8" i="37"/>
  <c r="P8" i="37" s="1"/>
  <c r="Q8" i="37" s="1"/>
  <c r="O280" i="37"/>
  <c r="P280" i="37" s="1"/>
  <c r="Q280" i="37" s="1"/>
  <c r="O105" i="37"/>
  <c r="P105" i="37" s="1"/>
  <c r="Q105" i="37" s="1"/>
  <c r="O303" i="37"/>
  <c r="P303" i="37" s="1"/>
  <c r="Q303" i="37" s="1"/>
  <c r="O26" i="37"/>
  <c r="P26" i="37" s="1"/>
  <c r="Q26" i="37" s="1"/>
  <c r="O218" i="37"/>
  <c r="P218" i="37" s="1"/>
  <c r="Q218" i="37" s="1"/>
  <c r="O241" i="37"/>
  <c r="P241" i="37" s="1"/>
  <c r="Q241" i="37" s="1"/>
  <c r="O27" i="37"/>
  <c r="P27" i="37" s="1"/>
  <c r="Q27" i="37" s="1"/>
  <c r="O12" i="37"/>
  <c r="P12" i="37" s="1"/>
  <c r="Q12" i="37" s="1"/>
  <c r="O146" i="37"/>
  <c r="P146" i="37" s="1"/>
  <c r="Q146" i="37" s="1"/>
  <c r="O260" i="37"/>
  <c r="P260" i="37" s="1"/>
  <c r="Q260" i="37" s="1"/>
  <c r="O30" i="37"/>
  <c r="P30" i="37" s="1"/>
  <c r="Q30" i="37" s="1"/>
  <c r="O209" i="37"/>
  <c r="P209" i="37" s="1"/>
  <c r="Q209" i="37" s="1"/>
  <c r="O149" i="37"/>
  <c r="P149" i="37" s="1"/>
  <c r="Q149" i="37" s="1"/>
  <c r="O283" i="37"/>
  <c r="P283" i="37" s="1"/>
  <c r="Q283" i="37" s="1"/>
  <c r="O275" i="37"/>
  <c r="P275" i="37" s="1"/>
  <c r="Q275" i="37" s="1"/>
  <c r="O167" i="37"/>
  <c r="P167" i="37" s="1"/>
  <c r="Q167" i="37" s="1"/>
  <c r="O287" i="37"/>
  <c r="P287" i="37" s="1"/>
  <c r="Q287" i="37" s="1"/>
  <c r="O298" i="37"/>
  <c r="P298" i="37" s="1"/>
  <c r="Q298" i="37" s="1"/>
  <c r="O77" i="37"/>
  <c r="P77" i="37" s="1"/>
  <c r="Q77" i="37" s="1"/>
  <c r="O222" i="37"/>
  <c r="P222" i="37" s="1"/>
  <c r="Q222" i="37" s="1"/>
  <c r="O97" i="37"/>
  <c r="P97" i="37" s="1"/>
  <c r="Q97" i="37" s="1"/>
  <c r="O240" i="37"/>
  <c r="P240" i="37" s="1"/>
  <c r="Q240" i="37" s="1"/>
  <c r="O132" i="37"/>
  <c r="P132" i="37" s="1"/>
  <c r="Q132" i="37" s="1"/>
  <c r="O186" i="37"/>
  <c r="P186" i="37" s="1"/>
  <c r="Q186" i="37" s="1"/>
  <c r="O185" i="37"/>
  <c r="P185" i="37" s="1"/>
  <c r="Q185" i="37" s="1"/>
  <c r="O54" i="37"/>
  <c r="P54" i="37" s="1"/>
  <c r="Q54" i="37" s="1"/>
  <c r="O316" i="37"/>
  <c r="P316" i="37" s="1"/>
  <c r="Q316" i="37" s="1"/>
  <c r="O145" i="37"/>
  <c r="P145" i="37" s="1"/>
  <c r="Q145" i="37" s="1"/>
  <c r="O95" i="37"/>
  <c r="P95" i="37" s="1"/>
  <c r="Q95" i="37" s="1"/>
  <c r="O271" i="37"/>
  <c r="P271" i="37" s="1"/>
  <c r="Q271" i="37" s="1"/>
  <c r="O64" i="37"/>
  <c r="P64" i="37" s="1"/>
  <c r="Q64" i="37" s="1"/>
  <c r="O29" i="37"/>
  <c r="P29" i="37" s="1"/>
  <c r="Q29" i="37" s="1"/>
  <c r="O123" i="37"/>
  <c r="P123" i="37" s="1"/>
  <c r="Q123" i="37" s="1"/>
  <c r="O125" i="37"/>
  <c r="P125" i="37" s="1"/>
  <c r="Q125" i="37" s="1"/>
  <c r="O58" i="37"/>
  <c r="P58" i="37" s="1"/>
  <c r="Q58" i="37" s="1"/>
  <c r="O261" i="37"/>
  <c r="P261" i="37" s="1"/>
  <c r="Q261" i="37" s="1"/>
  <c r="O203" i="37"/>
  <c r="P203" i="37" s="1"/>
  <c r="Q203" i="37" s="1"/>
  <c r="O168" i="37"/>
  <c r="P168" i="37" s="1"/>
  <c r="Q168" i="37" s="1"/>
  <c r="O254" i="37"/>
  <c r="P254" i="37" s="1"/>
  <c r="Q254" i="37" s="1"/>
  <c r="O11" i="37"/>
  <c r="P11" i="37" s="1"/>
  <c r="Q11" i="37" s="1"/>
  <c r="O98" i="37"/>
  <c r="P98" i="37" s="1"/>
  <c r="Q98" i="37" s="1"/>
  <c r="O266" i="37"/>
  <c r="P266" i="37" s="1"/>
  <c r="Q266" i="37" s="1"/>
  <c r="O49" i="37"/>
  <c r="P49" i="37" s="1"/>
  <c r="Q49" i="37" s="1"/>
  <c r="O282" i="37"/>
  <c r="P282" i="37" s="1"/>
  <c r="Q282" i="37" s="1"/>
  <c r="O36" i="37"/>
  <c r="P36" i="37" s="1"/>
  <c r="Q36" i="37" s="1"/>
  <c r="O309" i="37"/>
  <c r="P309" i="37" s="1"/>
  <c r="Q309" i="37" s="1"/>
  <c r="O250" i="37"/>
  <c r="P250" i="37" s="1"/>
  <c r="Q250" i="37" s="1"/>
  <c r="O184" i="37"/>
  <c r="P184" i="37" s="1"/>
  <c r="Q184" i="37" s="1"/>
  <c r="O314" i="37"/>
  <c r="P314" i="37" s="1"/>
  <c r="Q314" i="37" s="1"/>
  <c r="O59" i="37"/>
  <c r="P59" i="37" s="1"/>
  <c r="Q59" i="37" s="1"/>
  <c r="O151" i="37"/>
  <c r="P151" i="37" s="1"/>
  <c r="Q151" i="37" s="1"/>
  <c r="O71" i="37"/>
  <c r="P71" i="37" s="1"/>
  <c r="Q71" i="37" s="1"/>
  <c r="O57" i="37"/>
  <c r="P57" i="37" s="1"/>
  <c r="Q57" i="37" s="1"/>
  <c r="O80" i="37"/>
  <c r="P80" i="37" s="1"/>
  <c r="Q80" i="37" s="1"/>
  <c r="O157" i="37"/>
  <c r="P157" i="37" s="1"/>
  <c r="Q157" i="37" s="1"/>
  <c r="O28" i="37"/>
  <c r="P28" i="37" s="1"/>
  <c r="Q28" i="37" s="1"/>
  <c r="O108" i="37"/>
  <c r="P108" i="37" s="1"/>
  <c r="Q108" i="37" s="1"/>
  <c r="O273" i="37"/>
  <c r="P273" i="37" s="1"/>
  <c r="Q273" i="37" s="1"/>
  <c r="O248" i="37"/>
  <c r="P248" i="37" s="1"/>
  <c r="Q248" i="37" s="1"/>
  <c r="O210" i="37"/>
  <c r="P210" i="37" s="1"/>
  <c r="Q210" i="37" s="1"/>
  <c r="O143" i="37"/>
  <c r="P143" i="37" s="1"/>
  <c r="Q143" i="37" s="1"/>
  <c r="O150" i="37"/>
  <c r="P150" i="37" s="1"/>
  <c r="Q150" i="37" s="1"/>
  <c r="O100" i="37"/>
  <c r="P100" i="37" s="1"/>
  <c r="Q100" i="37" s="1"/>
  <c r="O76" i="37"/>
  <c r="P76" i="37" s="1"/>
  <c r="Q76" i="37" s="1"/>
  <c r="O201" i="37"/>
  <c r="P201" i="37" s="1"/>
  <c r="Q201" i="37" s="1"/>
  <c r="O243" i="37"/>
  <c r="P243" i="37" s="1"/>
  <c r="Q243" i="37" s="1"/>
  <c r="O293" i="37"/>
  <c r="P293" i="37" s="1"/>
  <c r="Q293" i="37" s="1"/>
  <c r="O148" i="37"/>
  <c r="P148" i="37" s="1"/>
  <c r="Q148" i="37" s="1"/>
  <c r="O276" i="37"/>
  <c r="P276" i="37" s="1"/>
  <c r="Q276" i="37" s="1"/>
  <c r="O269" i="37"/>
  <c r="P269" i="37" s="1"/>
  <c r="Q269" i="37" s="1"/>
  <c r="O111" i="37"/>
  <c r="P111" i="37" s="1"/>
  <c r="Q111" i="37" s="1"/>
  <c r="O126" i="37"/>
  <c r="P126" i="37" s="1"/>
  <c r="Q126" i="37" s="1"/>
  <c r="O159" i="37"/>
  <c r="P159" i="37" s="1"/>
  <c r="Q159" i="37" s="1"/>
  <c r="O284" i="37"/>
  <c r="P284" i="37" s="1"/>
  <c r="Q284" i="37" s="1"/>
  <c r="O211" i="37"/>
  <c r="P211" i="37" s="1"/>
  <c r="Q211" i="37" s="1"/>
  <c r="O237" i="37"/>
  <c r="P237" i="37" s="1"/>
  <c r="Q237" i="37" s="1"/>
  <c r="O267" i="37"/>
  <c r="P267" i="37" s="1"/>
  <c r="Q267" i="37" s="1"/>
  <c r="O315" i="37"/>
  <c r="P315" i="37" s="1"/>
  <c r="Q315" i="37" s="1"/>
  <c r="O221" i="37"/>
  <c r="P221" i="37" s="1"/>
  <c r="Q221" i="37" s="1"/>
  <c r="O119" i="37"/>
  <c r="P119" i="37" s="1"/>
  <c r="Q119" i="37" s="1"/>
  <c r="O225" i="37"/>
  <c r="P225" i="37" s="1"/>
  <c r="Q225" i="37" s="1"/>
  <c r="O115" i="37"/>
  <c r="P115" i="37" s="1"/>
  <c r="Q115" i="37" s="1"/>
  <c r="O32" i="37"/>
  <c r="P32" i="37" s="1"/>
  <c r="Q32" i="37" s="1"/>
  <c r="O107" i="37"/>
  <c r="P107" i="37" s="1"/>
  <c r="Q107" i="37" s="1"/>
  <c r="O67" i="37"/>
  <c r="P67" i="37" s="1"/>
  <c r="Q67" i="37" s="1"/>
  <c r="O286" i="37"/>
  <c r="P286" i="37" s="1"/>
  <c r="Q286" i="37" s="1"/>
  <c r="O21" i="37"/>
  <c r="P21" i="37" s="1"/>
  <c r="Q21" i="37" s="1"/>
  <c r="O180" i="37"/>
  <c r="P180" i="37" s="1"/>
  <c r="Q180" i="37" s="1"/>
  <c r="O262" i="37"/>
  <c r="P262" i="37" s="1"/>
  <c r="Q262" i="37" s="1"/>
  <c r="O103" i="37"/>
  <c r="P103" i="37" s="1"/>
  <c r="Q103" i="37" s="1"/>
  <c r="O73" i="37"/>
  <c r="P73" i="37" s="1"/>
  <c r="Q73" i="37" s="1"/>
  <c r="O81" i="37"/>
  <c r="P81" i="37" s="1"/>
  <c r="Q81" i="37" s="1"/>
  <c r="O187" i="37"/>
  <c r="P187" i="37" s="1"/>
  <c r="Q187" i="37" s="1"/>
  <c r="O206" i="37"/>
  <c r="P206" i="37" s="1"/>
  <c r="Q206" i="37" s="1"/>
  <c r="O191" i="37"/>
  <c r="P191" i="37" s="1"/>
  <c r="Q191" i="37" s="1"/>
  <c r="O190" i="37"/>
  <c r="P190" i="37" s="1"/>
  <c r="Q190" i="37" s="1"/>
  <c r="O238" i="37"/>
  <c r="P238" i="37" s="1"/>
  <c r="Q238" i="37" s="1"/>
  <c r="O92" i="37"/>
  <c r="P92" i="37" s="1"/>
  <c r="Q92" i="37" s="1"/>
  <c r="O104" i="37"/>
  <c r="P104" i="37" s="1"/>
  <c r="Q104" i="37" s="1"/>
  <c r="R129" i="36"/>
  <c r="R51" i="36"/>
  <c r="R293" i="36"/>
  <c r="R83" i="36"/>
  <c r="R275" i="36"/>
  <c r="R100" i="36"/>
  <c r="R19" i="36"/>
  <c r="R286" i="36"/>
  <c r="R60" i="36"/>
  <c r="R179" i="36"/>
  <c r="R193" i="36"/>
  <c r="R244" i="36"/>
  <c r="R251" i="36"/>
  <c r="R34" i="36"/>
  <c r="R138" i="36"/>
  <c r="R68" i="36"/>
  <c r="R112" i="36"/>
  <c r="R101" i="36"/>
  <c r="R234" i="36"/>
  <c r="R67" i="36"/>
  <c r="R271" i="36"/>
  <c r="R209" i="36"/>
  <c r="R115" i="36"/>
  <c r="R65" i="36"/>
  <c r="R220" i="36"/>
  <c r="R173" i="36"/>
  <c r="R62" i="36"/>
  <c r="R285" i="36"/>
  <c r="R130" i="36"/>
  <c r="R295" i="36"/>
  <c r="R203" i="36"/>
  <c r="R20" i="36"/>
  <c r="R227" i="36"/>
  <c r="R52" i="36"/>
  <c r="R79" i="36"/>
  <c r="R282" i="36"/>
  <c r="R141" i="36"/>
  <c r="R12" i="36"/>
  <c r="R204" i="36"/>
  <c r="R270" i="36"/>
  <c r="R28" i="36"/>
  <c r="R167" i="36"/>
  <c r="R152" i="36"/>
  <c r="R198" i="36"/>
  <c r="R217" i="36"/>
  <c r="R168" i="36"/>
  <c r="R16" i="36"/>
  <c r="R92" i="36"/>
  <c r="R96" i="36"/>
  <c r="R300" i="36"/>
  <c r="R161" i="36"/>
  <c r="R38" i="36"/>
  <c r="R248" i="36"/>
  <c r="R171" i="36"/>
  <c r="R166" i="36"/>
  <c r="R259" i="36"/>
  <c r="R182" i="36"/>
  <c r="R288" i="36"/>
  <c r="R158" i="36"/>
  <c r="R125" i="36"/>
  <c r="R80" i="36"/>
  <c r="R148" i="36"/>
  <c r="R185" i="36"/>
  <c r="R255" i="36"/>
  <c r="R139" i="36"/>
  <c r="R188" i="36"/>
  <c r="R243" i="36"/>
  <c r="R261" i="36"/>
  <c r="R35" i="36"/>
  <c r="R140" i="36"/>
  <c r="R192" i="36"/>
  <c r="R61" i="36"/>
  <c r="R207" i="36"/>
  <c r="R289" i="36"/>
  <c r="R240" i="36"/>
  <c r="R106" i="36"/>
  <c r="R13" i="36"/>
  <c r="R218" i="36"/>
  <c r="R215" i="36"/>
  <c r="R180" i="36"/>
  <c r="R292" i="36"/>
  <c r="R84" i="36"/>
  <c r="R310" i="36"/>
  <c r="R69" i="36"/>
  <c r="R103" i="36"/>
  <c r="R306" i="36"/>
  <c r="R160" i="36"/>
  <c r="R45" i="36"/>
  <c r="R172" i="36"/>
  <c r="R253" i="36"/>
  <c r="R143" i="36"/>
  <c r="R308" i="36"/>
  <c r="R118" i="36"/>
  <c r="R224" i="36"/>
  <c r="R280" i="36"/>
  <c r="R163" i="36"/>
  <c r="R226" i="36"/>
  <c r="R205" i="36"/>
  <c r="R89" i="36"/>
  <c r="R230" i="36"/>
  <c r="R190" i="36"/>
  <c r="R54" i="36"/>
  <c r="R236" i="36"/>
  <c r="R76" i="36"/>
  <c r="R178" i="36"/>
  <c r="R53" i="36"/>
  <c r="R252" i="36"/>
  <c r="R87" i="36"/>
  <c r="R249" i="36"/>
  <c r="R197" i="36"/>
  <c r="R156" i="36"/>
  <c r="R283" i="36"/>
  <c r="R277" i="36"/>
  <c r="R228" i="36"/>
  <c r="R260" i="36"/>
  <c r="R201" i="36"/>
  <c r="R183" i="36"/>
  <c r="R48" i="36"/>
  <c r="R191" i="36"/>
  <c r="R196" i="36"/>
  <c r="R88" i="36"/>
  <c r="R162" i="36"/>
  <c r="R177" i="36"/>
  <c r="R25" i="36"/>
  <c r="R37" i="36"/>
  <c r="R202" i="36"/>
  <c r="R33" i="36"/>
  <c r="R134" i="36"/>
  <c r="R78" i="36"/>
  <c r="R159" i="36"/>
  <c r="R268" i="36"/>
  <c r="R57" i="36"/>
  <c r="R50" i="36"/>
  <c r="R216" i="36"/>
  <c r="R131" i="36"/>
  <c r="R145" i="36"/>
  <c r="R169" i="36"/>
  <c r="R200" i="36"/>
  <c r="R235" i="36"/>
  <c r="R98" i="36"/>
  <c r="R149" i="36"/>
  <c r="R276" i="36"/>
  <c r="R245" i="36"/>
  <c r="R108" i="36"/>
  <c r="R32" i="36"/>
  <c r="R10" i="36"/>
  <c r="R66" i="36"/>
  <c r="R263" i="36"/>
  <c r="R258" i="36"/>
  <c r="R63" i="36"/>
  <c r="R119" i="36"/>
  <c r="R104" i="36"/>
  <c r="R266" i="36"/>
  <c r="R105" i="36"/>
  <c r="R70" i="36"/>
  <c r="R164" i="36"/>
  <c r="R303" i="36"/>
  <c r="R128" i="36"/>
  <c r="R99" i="36"/>
  <c r="R39" i="36"/>
  <c r="R82" i="36"/>
  <c r="R55" i="36"/>
  <c r="R23" i="36"/>
  <c r="R5" i="36"/>
  <c r="R107" i="36"/>
  <c r="R81" i="36"/>
  <c r="R75" i="36"/>
  <c r="R315" i="36"/>
  <c r="R117" i="36"/>
  <c r="R176" i="36"/>
  <c r="R304" i="36"/>
  <c r="R41" i="36"/>
  <c r="R157" i="36"/>
  <c r="R299" i="36"/>
  <c r="R247" i="36"/>
  <c r="R302" i="36"/>
  <c r="R187" i="36"/>
  <c r="R73" i="36"/>
  <c r="R27" i="36"/>
  <c r="R97" i="36"/>
  <c r="R36" i="36"/>
  <c r="R26" i="36"/>
  <c r="R231" i="36"/>
  <c r="R219" i="36"/>
  <c r="R85" i="36"/>
  <c r="R113" i="36"/>
  <c r="R174" i="36"/>
  <c r="R272" i="36"/>
  <c r="R18" i="36"/>
  <c r="R257" i="36"/>
  <c r="R232" i="36"/>
  <c r="R151" i="36"/>
  <c r="R120" i="36"/>
  <c r="R175" i="36"/>
  <c r="R267" i="36"/>
  <c r="R265" i="36"/>
  <c r="R250" i="36"/>
  <c r="R165" i="36"/>
  <c r="R238" i="36"/>
  <c r="R114" i="36"/>
  <c r="R124" i="36"/>
  <c r="R136" i="36"/>
  <c r="R211" i="36"/>
  <c r="R74" i="36"/>
  <c r="R29" i="36"/>
  <c r="R195" i="36"/>
  <c r="R93" i="36"/>
  <c r="R287" i="36"/>
  <c r="R42" i="36"/>
  <c r="R31" i="36"/>
  <c r="R40" i="36"/>
  <c r="R189" i="36"/>
  <c r="R184" i="36"/>
  <c r="R206" i="36"/>
  <c r="R294" i="36"/>
  <c r="R312" i="36"/>
  <c r="R43" i="36"/>
  <c r="R137" i="36"/>
  <c r="R110" i="36"/>
  <c r="R290" i="36"/>
  <c r="R291" i="36"/>
  <c r="R122" i="36"/>
  <c r="R95" i="36"/>
  <c r="R222" i="36"/>
  <c r="R307" i="36"/>
  <c r="R91" i="36"/>
  <c r="R109" i="36"/>
  <c r="R121" i="36"/>
  <c r="R24" i="36"/>
  <c r="R77" i="36"/>
  <c r="R150" i="36"/>
  <c r="R144" i="36"/>
  <c r="R72" i="36"/>
  <c r="R94" i="36"/>
  <c r="R15" i="36"/>
  <c r="R313" i="36"/>
  <c r="R155" i="36"/>
  <c r="R133" i="36"/>
  <c r="R284" i="36"/>
  <c r="R49" i="36"/>
  <c r="R214" i="36"/>
  <c r="R123" i="36"/>
  <c r="R7" i="36"/>
  <c r="R241" i="36"/>
  <c r="R225" i="36"/>
  <c r="R305" i="36"/>
  <c r="R58" i="36"/>
  <c r="R64" i="36"/>
  <c r="R298" i="36"/>
  <c r="R11" i="36"/>
  <c r="R278" i="36"/>
  <c r="R9" i="36"/>
  <c r="R170" i="36"/>
  <c r="R30" i="36"/>
  <c r="R14" i="36"/>
  <c r="R6" i="36"/>
  <c r="R126" i="36"/>
  <c r="R239" i="36"/>
  <c r="R22" i="36"/>
  <c r="R237" i="36"/>
  <c r="R273" i="36"/>
  <c r="R233" i="36"/>
  <c r="R309" i="36"/>
  <c r="R194" i="36"/>
  <c r="R8" i="36"/>
  <c r="R281" i="36"/>
  <c r="R311" i="36"/>
  <c r="R316" i="36"/>
  <c r="R135" i="36"/>
  <c r="R47" i="36"/>
  <c r="R242" i="36"/>
  <c r="R212" i="36"/>
  <c r="R90" i="36"/>
  <c r="R279" i="36"/>
  <c r="R213" i="36"/>
  <c r="R132" i="36"/>
  <c r="R254" i="36"/>
  <c r="R181" i="36"/>
  <c r="R86" i="36"/>
  <c r="R46" i="36"/>
  <c r="R208" i="36"/>
  <c r="R116" i="36"/>
  <c r="R186" i="36"/>
  <c r="R102" i="36"/>
  <c r="R301" i="36"/>
  <c r="R71" i="36"/>
  <c r="R221" i="36"/>
  <c r="R142" i="36"/>
  <c r="R229" i="36"/>
  <c r="R21" i="36"/>
  <c r="R111" i="36"/>
  <c r="R154" i="36"/>
  <c r="R262" i="36"/>
  <c r="R269" i="36"/>
  <c r="R297" i="36"/>
  <c r="R246" i="36"/>
  <c r="R296" i="36"/>
  <c r="R17" i="36"/>
  <c r="R199" i="36"/>
  <c r="R153" i="36"/>
  <c r="R314" i="36"/>
  <c r="R274" i="36"/>
  <c r="R256" i="36"/>
  <c r="R56" i="36"/>
  <c r="R146" i="36"/>
  <c r="R264" i="36"/>
  <c r="R127" i="36"/>
  <c r="R223" i="36"/>
  <c r="R59" i="36"/>
  <c r="R210" i="36"/>
  <c r="R147" i="36"/>
  <c r="R44" i="36"/>
  <c r="Q4" i="36" l="1"/>
  <c r="Q3" i="36" s="1" a="1"/>
  <c r="Q3" i="36" s="1"/>
  <c r="O3" i="37" a="1"/>
  <c r="O3" i="37" s="1"/>
  <c r="P3" i="37" a="1"/>
  <c r="P3" i="37" s="1"/>
  <c r="Q4" i="39"/>
  <c r="Q3" i="39" s="1" a="1"/>
  <c r="Q3" i="39" s="1"/>
  <c r="Q4" i="38"/>
  <c r="Q3" i="38" s="1" a="1"/>
  <c r="Q3" i="38" s="1"/>
  <c r="R81" i="37"/>
  <c r="R206" i="37"/>
  <c r="R111" i="37"/>
  <c r="R250" i="37"/>
  <c r="R42" i="37"/>
  <c r="R286" i="37"/>
  <c r="R315" i="37"/>
  <c r="R269" i="37"/>
  <c r="R150" i="37"/>
  <c r="R80" i="37"/>
  <c r="R309" i="37"/>
  <c r="R168" i="37"/>
  <c r="R271" i="37"/>
  <c r="R240" i="37"/>
  <c r="R283" i="37"/>
  <c r="R8" i="37"/>
  <c r="R134" i="37"/>
  <c r="R285" i="37"/>
  <c r="R182" i="37"/>
  <c r="R94" i="37"/>
  <c r="R292" i="37"/>
  <c r="R169" i="37"/>
  <c r="R268" i="37"/>
  <c r="R278" i="37"/>
  <c r="R279" i="37"/>
  <c r="R55" i="37"/>
  <c r="R14" i="37"/>
  <c r="R245" i="37"/>
  <c r="R84" i="37"/>
  <c r="R139" i="37"/>
  <c r="R89" i="37"/>
  <c r="R178" i="37"/>
  <c r="R88" i="37"/>
  <c r="R61" i="37"/>
  <c r="R193" i="37"/>
  <c r="R20" i="37"/>
  <c r="R90" i="37"/>
  <c r="R288" i="37"/>
  <c r="R109" i="37"/>
  <c r="R127" i="37"/>
  <c r="R144" i="37"/>
  <c r="R107" i="37"/>
  <c r="R221" i="37"/>
  <c r="R157" i="37"/>
  <c r="R197" i="37"/>
  <c r="R187" i="37"/>
  <c r="R67" i="37"/>
  <c r="R267" i="37"/>
  <c r="R276" i="37"/>
  <c r="R143" i="37"/>
  <c r="R57" i="37"/>
  <c r="R36" i="37"/>
  <c r="R203" i="37"/>
  <c r="R95" i="37"/>
  <c r="R97" i="37"/>
  <c r="R149" i="37"/>
  <c r="R176" i="37"/>
  <c r="R207" i="37"/>
  <c r="R196" i="37"/>
  <c r="R131" i="37"/>
  <c r="R142" i="37"/>
  <c r="R33" i="37"/>
  <c r="R117" i="37"/>
  <c r="R307" i="37"/>
  <c r="R294" i="37"/>
  <c r="R244" i="37"/>
  <c r="R289" i="37"/>
  <c r="R110" i="37"/>
  <c r="R281" i="37"/>
  <c r="R253" i="37"/>
  <c r="R259" i="37"/>
  <c r="R189" i="37"/>
  <c r="R83" i="37"/>
  <c r="R23" i="37"/>
  <c r="R188" i="37"/>
  <c r="R226" i="37"/>
  <c r="R312" i="37"/>
  <c r="R223" i="37"/>
  <c r="R234" i="37"/>
  <c r="R129" i="37"/>
  <c r="R137" i="37"/>
  <c r="R7" i="37"/>
  <c r="R198" i="37"/>
  <c r="R104" i="37"/>
  <c r="R71" i="37"/>
  <c r="R222" i="37"/>
  <c r="R48" i="37"/>
  <c r="R232" i="37"/>
  <c r="R297" i="37"/>
  <c r="R155" i="37"/>
  <c r="R274" i="37"/>
  <c r="R91" i="37"/>
  <c r="R265" i="37"/>
  <c r="R216" i="37"/>
  <c r="R92" i="37"/>
  <c r="R73" i="37"/>
  <c r="R32" i="37"/>
  <c r="R211" i="37"/>
  <c r="R293" i="37"/>
  <c r="R248" i="37"/>
  <c r="R151" i="37"/>
  <c r="R49" i="37"/>
  <c r="R58" i="37"/>
  <c r="R316" i="37"/>
  <c r="R77" i="37"/>
  <c r="R30" i="37"/>
  <c r="R218" i="37"/>
  <c r="R173" i="37"/>
  <c r="R5" i="37"/>
  <c r="R51" i="37"/>
  <c r="R9" i="37"/>
  <c r="R133" i="37"/>
  <c r="R219" i="37"/>
  <c r="R160" i="37"/>
  <c r="R264" i="37"/>
  <c r="R313" i="37"/>
  <c r="R62" i="37"/>
  <c r="R65" i="37"/>
  <c r="R305" i="37"/>
  <c r="R116" i="37"/>
  <c r="R34" i="37"/>
  <c r="R79" i="37"/>
  <c r="R304" i="37"/>
  <c r="R86" i="37"/>
  <c r="R106" i="37"/>
  <c r="R162" i="37"/>
  <c r="R6" i="37"/>
  <c r="R224" i="37"/>
  <c r="R17" i="37"/>
  <c r="R213" i="37"/>
  <c r="R10" i="37"/>
  <c r="R44" i="37"/>
  <c r="R199" i="37"/>
  <c r="R50" i="37"/>
  <c r="R210" i="37"/>
  <c r="R282" i="37"/>
  <c r="R209" i="37"/>
  <c r="R311" i="37"/>
  <c r="R47" i="37"/>
  <c r="R15" i="37"/>
  <c r="R263" i="37"/>
  <c r="R25" i="37"/>
  <c r="R101" i="37"/>
  <c r="R212" i="37"/>
  <c r="R306" i="37"/>
  <c r="R238" i="37"/>
  <c r="R103" i="37"/>
  <c r="R115" i="37"/>
  <c r="R284" i="37"/>
  <c r="R243" i="37"/>
  <c r="R273" i="37"/>
  <c r="R59" i="37"/>
  <c r="R266" i="37"/>
  <c r="R125" i="37"/>
  <c r="R54" i="37"/>
  <c r="R298" i="37"/>
  <c r="R260" i="37"/>
  <c r="R26" i="37"/>
  <c r="R22" i="37"/>
  <c r="R179" i="37"/>
  <c r="R295" i="37"/>
  <c r="R156" i="37"/>
  <c r="R154" i="37"/>
  <c r="R296" i="37"/>
  <c r="R251" i="37"/>
  <c r="R181" i="37"/>
  <c r="R310" i="37"/>
  <c r="R174" i="37"/>
  <c r="R152" i="37"/>
  <c r="R78" i="37"/>
  <c r="R99" i="37"/>
  <c r="R37" i="37"/>
  <c r="R45" i="37"/>
  <c r="R124" i="37"/>
  <c r="R53" i="37"/>
  <c r="R236" i="37"/>
  <c r="R121" i="37"/>
  <c r="R195" i="37"/>
  <c r="R308" i="37"/>
  <c r="R302" i="37"/>
  <c r="R72" i="37"/>
  <c r="R194" i="37"/>
  <c r="R69" i="37"/>
  <c r="R249" i="37"/>
  <c r="R220" i="37"/>
  <c r="R148" i="37"/>
  <c r="R261" i="37"/>
  <c r="R241" i="37"/>
  <c r="R175" i="37"/>
  <c r="R70" i="37"/>
  <c r="R177" i="37"/>
  <c r="R24" i="37"/>
  <c r="R233" i="37"/>
  <c r="R190" i="37"/>
  <c r="R262" i="37"/>
  <c r="R225" i="37"/>
  <c r="R159" i="37"/>
  <c r="R201" i="37"/>
  <c r="R108" i="37"/>
  <c r="R314" i="37"/>
  <c r="R98" i="37"/>
  <c r="R123" i="37"/>
  <c r="R185" i="37"/>
  <c r="R287" i="37"/>
  <c r="R146" i="37"/>
  <c r="R303" i="37"/>
  <c r="R114" i="37"/>
  <c r="R272" i="37"/>
  <c r="R35" i="37"/>
  <c r="R38" i="37"/>
  <c r="R18" i="37"/>
  <c r="R85" i="37"/>
  <c r="R75" i="37"/>
  <c r="R217" i="37"/>
  <c r="R153" i="37"/>
  <c r="R74" i="37"/>
  <c r="R161" i="37"/>
  <c r="R19" i="37"/>
  <c r="R128" i="37"/>
  <c r="R163" i="37"/>
  <c r="R166" i="37"/>
  <c r="R13" i="37"/>
  <c r="R202" i="37"/>
  <c r="R130" i="37"/>
  <c r="R165" i="37"/>
  <c r="R16" i="37"/>
  <c r="R255" i="37"/>
  <c r="R229" i="37"/>
  <c r="R192" i="37"/>
  <c r="R122" i="37"/>
  <c r="R208" i="37"/>
  <c r="R147" i="37"/>
  <c r="R301" i="37"/>
  <c r="R237" i="37"/>
  <c r="R145" i="37"/>
  <c r="R230" i="37"/>
  <c r="R204" i="37"/>
  <c r="R270" i="37"/>
  <c r="R43" i="37"/>
  <c r="R136" i="37"/>
  <c r="R258" i="37"/>
  <c r="R191" i="37"/>
  <c r="R180" i="37"/>
  <c r="R119" i="37"/>
  <c r="R126" i="37"/>
  <c r="R76" i="37"/>
  <c r="R28" i="37"/>
  <c r="R184" i="37"/>
  <c r="R11" i="37"/>
  <c r="R29" i="37"/>
  <c r="R186" i="37"/>
  <c r="R167" i="37"/>
  <c r="R12" i="37"/>
  <c r="R105" i="37"/>
  <c r="R247" i="37"/>
  <c r="R68" i="37"/>
  <c r="R215" i="37"/>
  <c r="R171" i="37"/>
  <c r="R227" i="37"/>
  <c r="R39" i="37"/>
  <c r="R300" i="37"/>
  <c r="R246" i="37"/>
  <c r="R113" i="37"/>
  <c r="R200" i="37"/>
  <c r="R252" i="37"/>
  <c r="R31" i="37"/>
  <c r="R118" i="37"/>
  <c r="R277" i="37"/>
  <c r="R93" i="37"/>
  <c r="R120" i="37"/>
  <c r="R112" i="37"/>
  <c r="R56" i="37"/>
  <c r="R164" i="37"/>
  <c r="R40" i="37"/>
  <c r="R290" i="37"/>
  <c r="R158" i="37"/>
  <c r="R231" i="37"/>
  <c r="R235" i="37"/>
  <c r="R183" i="37"/>
  <c r="R46" i="37"/>
  <c r="Q4" i="37"/>
  <c r="Q3" i="37" s="1" a="1"/>
  <c r="Q3" i="37" s="1"/>
  <c r="R21" i="37"/>
  <c r="R100" i="37"/>
  <c r="R254" i="37"/>
  <c r="R64" i="37"/>
  <c r="R132" i="37"/>
  <c r="R275" i="37"/>
  <c r="R27" i="37"/>
  <c r="R280" i="37"/>
  <c r="R52" i="37"/>
  <c r="R138" i="37"/>
  <c r="R291" i="37"/>
  <c r="R228" i="37"/>
  <c r="R172" i="37"/>
  <c r="R96" i="37"/>
  <c r="R41" i="37"/>
  <c r="R256" i="37"/>
  <c r="R170" i="37"/>
  <c r="R214" i="37"/>
  <c r="R257" i="37"/>
  <c r="R299" i="37"/>
  <c r="R87" i="37"/>
  <c r="R135" i="37"/>
  <c r="R63" i="37"/>
  <c r="R82" i="37"/>
  <c r="R140" i="37"/>
  <c r="R239" i="37"/>
  <c r="R66" i="37"/>
  <c r="R102" i="37"/>
  <c r="R242" i="37"/>
  <c r="R205" i="37"/>
  <c r="R141" i="37"/>
  <c r="R60" i="37"/>
  <c r="R4" i="36" l="1"/>
  <c r="R3" i="36" s="1" a="1"/>
  <c r="R3" i="36" s="1"/>
  <c r="R4" i="39"/>
  <c r="R3" i="39" s="1" a="1"/>
  <c r="R3" i="39" s="1"/>
  <c r="R4" i="38"/>
  <c r="R3" i="38" s="1" a="1"/>
  <c r="R3" i="38" s="1"/>
  <c r="R4" i="37"/>
  <c r="R3" i="37" s="1" a="1"/>
  <c r="R3" i="37" s="1"/>
  <c r="S318" i="36" l="1"/>
  <c r="T318" i="36" s="1"/>
  <c r="U318" i="36" s="1"/>
  <c r="V318" i="36" s="1"/>
  <c r="S317" i="36"/>
  <c r="T317" i="36" s="1"/>
  <c r="U317" i="36" s="1"/>
  <c r="V317" i="36" s="1"/>
  <c r="S318" i="37"/>
  <c r="T318" i="37" s="1"/>
  <c r="U318" i="37" s="1"/>
  <c r="V318" i="37" s="1"/>
  <c r="S317" i="37"/>
  <c r="T317" i="37" s="1"/>
  <c r="U317" i="37" s="1"/>
  <c r="V317" i="37" s="1"/>
  <c r="S317" i="38"/>
  <c r="T317" i="38" s="1"/>
  <c r="U317" i="38" s="1"/>
  <c r="V317" i="38" s="1"/>
  <c r="S318" i="38"/>
  <c r="T318" i="38" s="1"/>
  <c r="U318" i="38" s="1"/>
  <c r="V318" i="38" s="1"/>
  <c r="S318" i="39"/>
  <c r="T318" i="39" s="1"/>
  <c r="U318" i="39" s="1"/>
  <c r="S317" i="39"/>
  <c r="T317" i="39" s="1"/>
  <c r="U317" i="39" s="1"/>
  <c r="V317" i="39" s="1"/>
  <c r="S4" i="36"/>
  <c r="S274" i="36"/>
  <c r="T274" i="36" s="1"/>
  <c r="U274" i="36" s="1"/>
  <c r="S77" i="36"/>
  <c r="T77" i="36" s="1"/>
  <c r="U77" i="36" s="1"/>
  <c r="S5" i="36"/>
  <c r="T5" i="36" s="1"/>
  <c r="U5" i="36" s="1"/>
  <c r="S264" i="36"/>
  <c r="T264" i="36" s="1"/>
  <c r="U264" i="36" s="1"/>
  <c r="S170" i="36"/>
  <c r="T170" i="36" s="1"/>
  <c r="U170" i="36" s="1"/>
  <c r="S114" i="36"/>
  <c r="T114" i="36" s="1"/>
  <c r="U114" i="36" s="1"/>
  <c r="S153" i="36"/>
  <c r="T153" i="36" s="1"/>
  <c r="U153" i="36" s="1"/>
  <c r="S109" i="36"/>
  <c r="T109" i="36" s="1"/>
  <c r="U109" i="36" s="1"/>
  <c r="S174" i="36"/>
  <c r="T174" i="36" s="1"/>
  <c r="U174" i="36" s="1"/>
  <c r="S96" i="36"/>
  <c r="T96" i="36" s="1"/>
  <c r="U96" i="36" s="1"/>
  <c r="S279" i="36"/>
  <c r="T279" i="36" s="1"/>
  <c r="U279" i="36" s="1"/>
  <c r="S95" i="36"/>
  <c r="T95" i="36" s="1"/>
  <c r="U95" i="36" s="1"/>
  <c r="S139" i="36"/>
  <c r="T139" i="36" s="1"/>
  <c r="U139" i="36" s="1"/>
  <c r="S239" i="36"/>
  <c r="T239" i="36" s="1"/>
  <c r="U239" i="36" s="1"/>
  <c r="S97" i="36"/>
  <c r="T97" i="36" s="1"/>
  <c r="U97" i="36" s="1"/>
  <c r="S59" i="36"/>
  <c r="T59" i="36" s="1"/>
  <c r="U59" i="36" s="1"/>
  <c r="S108" i="36"/>
  <c r="T108" i="36" s="1"/>
  <c r="U108" i="36" s="1"/>
  <c r="S86" i="36"/>
  <c r="T86" i="36" s="1"/>
  <c r="U86" i="36" s="1"/>
  <c r="S36" i="36"/>
  <c r="T36" i="36" s="1"/>
  <c r="U36" i="36" s="1"/>
  <c r="S242" i="36"/>
  <c r="T242" i="36" s="1"/>
  <c r="U242" i="36" s="1"/>
  <c r="S26" i="36"/>
  <c r="T26" i="36" s="1"/>
  <c r="U26" i="36" s="1"/>
  <c r="S261" i="36"/>
  <c r="T261" i="36" s="1"/>
  <c r="U261" i="36" s="1"/>
  <c r="S167" i="36"/>
  <c r="T167" i="36" s="1"/>
  <c r="U167" i="36" s="1"/>
  <c r="S282" i="36"/>
  <c r="T282" i="36" s="1"/>
  <c r="U282" i="36" s="1"/>
  <c r="S249" i="36"/>
  <c r="T249" i="36" s="1"/>
  <c r="U249" i="36" s="1"/>
  <c r="S21" i="36"/>
  <c r="T21" i="36" s="1"/>
  <c r="U21" i="36" s="1"/>
  <c r="S189" i="36"/>
  <c r="T189" i="36" s="1"/>
  <c r="U189" i="36" s="1"/>
  <c r="S82" i="36"/>
  <c r="T82" i="36" s="1"/>
  <c r="U82" i="36" s="1"/>
  <c r="S154" i="36"/>
  <c r="T154" i="36" s="1"/>
  <c r="U154" i="36" s="1"/>
  <c r="S58" i="36"/>
  <c r="T58" i="36" s="1"/>
  <c r="U58" i="36" s="1"/>
  <c r="S272" i="36"/>
  <c r="T272" i="36" s="1"/>
  <c r="U272" i="36" s="1"/>
  <c r="S142" i="36"/>
  <c r="T142" i="36" s="1"/>
  <c r="U142" i="36" s="1"/>
  <c r="S307" i="36"/>
  <c r="T307" i="36" s="1"/>
  <c r="U307" i="36" s="1"/>
  <c r="S302" i="36"/>
  <c r="T302" i="36" s="1"/>
  <c r="U302" i="36" s="1"/>
  <c r="S152" i="36"/>
  <c r="T152" i="36" s="1"/>
  <c r="U152" i="36" s="1"/>
  <c r="S316" i="36"/>
  <c r="T316" i="36" s="1"/>
  <c r="U316" i="36" s="1"/>
  <c r="S124" i="36"/>
  <c r="T124" i="36" s="1"/>
  <c r="U124" i="36" s="1"/>
  <c r="S147" i="36"/>
  <c r="T147" i="36" s="1"/>
  <c r="U147" i="36" s="1"/>
  <c r="S241" i="36"/>
  <c r="T241" i="36" s="1"/>
  <c r="U241" i="36" s="1"/>
  <c r="S73" i="36"/>
  <c r="T73" i="36" s="1"/>
  <c r="U73" i="36" s="1"/>
  <c r="S199" i="36"/>
  <c r="T199" i="36" s="1"/>
  <c r="U199" i="36" s="1"/>
  <c r="S64" i="36"/>
  <c r="T64" i="36" s="1"/>
  <c r="U64" i="36" s="1"/>
  <c r="S211" i="36"/>
  <c r="T211" i="36" s="1"/>
  <c r="U211" i="36" s="1"/>
  <c r="S159" i="36"/>
  <c r="T159" i="36" s="1"/>
  <c r="U159" i="36" s="1"/>
  <c r="S213" i="36"/>
  <c r="T213" i="36" s="1"/>
  <c r="U213" i="36" s="1"/>
  <c r="S117" i="36"/>
  <c r="T117" i="36" s="1"/>
  <c r="U117" i="36" s="1"/>
  <c r="S146" i="36"/>
  <c r="T146" i="36" s="1"/>
  <c r="U146" i="36" s="1"/>
  <c r="S8" i="36"/>
  <c r="T8" i="36" s="1"/>
  <c r="U8" i="36" s="1"/>
  <c r="S290" i="36"/>
  <c r="T290" i="36" s="1"/>
  <c r="U290" i="36" s="1"/>
  <c r="S157" i="36"/>
  <c r="T157" i="36" s="1"/>
  <c r="U157" i="36" s="1"/>
  <c r="S263" i="36"/>
  <c r="T263" i="36" s="1"/>
  <c r="U263" i="36" s="1"/>
  <c r="S288" i="36"/>
  <c r="T288" i="36" s="1"/>
  <c r="U288" i="36" s="1"/>
  <c r="S306" i="36"/>
  <c r="T306" i="36" s="1"/>
  <c r="U306" i="36" s="1"/>
  <c r="S180" i="36"/>
  <c r="T180" i="36" s="1"/>
  <c r="U180" i="36" s="1"/>
  <c r="S130" i="36"/>
  <c r="T130" i="36" s="1"/>
  <c r="U130" i="36" s="1"/>
  <c r="S202" i="36"/>
  <c r="T202" i="36" s="1"/>
  <c r="U202" i="36" s="1"/>
  <c r="S259" i="36"/>
  <c r="T259" i="36" s="1"/>
  <c r="U259" i="36" s="1"/>
  <c r="S149" i="36"/>
  <c r="T149" i="36" s="1"/>
  <c r="U149" i="36" s="1"/>
  <c r="S280" i="36"/>
  <c r="T280" i="36" s="1"/>
  <c r="U280" i="36" s="1"/>
  <c r="S19" i="36"/>
  <c r="T19" i="36" s="1"/>
  <c r="U19" i="36" s="1"/>
  <c r="S185" i="36"/>
  <c r="T185" i="36" s="1"/>
  <c r="U185" i="36" s="1"/>
  <c r="S173" i="36"/>
  <c r="T173" i="36" s="1"/>
  <c r="U173" i="36" s="1"/>
  <c r="S190" i="36"/>
  <c r="T190" i="36" s="1"/>
  <c r="U190" i="36" s="1"/>
  <c r="S16" i="36"/>
  <c r="T16" i="36" s="1"/>
  <c r="U16" i="36" s="1"/>
  <c r="S215" i="36"/>
  <c r="T215" i="36" s="1"/>
  <c r="U215" i="36" s="1"/>
  <c r="S57" i="36"/>
  <c r="T57" i="36" s="1"/>
  <c r="U57" i="36" s="1"/>
  <c r="S186" i="36"/>
  <c r="T186" i="36" s="1"/>
  <c r="U186" i="36" s="1"/>
  <c r="S135" i="36"/>
  <c r="T135" i="36" s="1"/>
  <c r="U135" i="36" s="1"/>
  <c r="S136" i="36"/>
  <c r="T136" i="36" s="1"/>
  <c r="U136" i="36" s="1"/>
  <c r="S128" i="36"/>
  <c r="T128" i="36" s="1"/>
  <c r="U128" i="36" s="1"/>
  <c r="S102" i="36"/>
  <c r="T102" i="36" s="1"/>
  <c r="U102" i="36" s="1"/>
  <c r="S225" i="36"/>
  <c r="T225" i="36" s="1"/>
  <c r="U225" i="36" s="1"/>
  <c r="S113" i="36"/>
  <c r="T113" i="36" s="1"/>
  <c r="U113" i="36" s="1"/>
  <c r="S47" i="36"/>
  <c r="T47" i="36" s="1"/>
  <c r="U47" i="36" s="1"/>
  <c r="S110" i="36"/>
  <c r="T110" i="36" s="1"/>
  <c r="U110" i="36" s="1"/>
  <c r="S119" i="36"/>
  <c r="T119" i="36" s="1"/>
  <c r="U119" i="36" s="1"/>
  <c r="S223" i="36"/>
  <c r="T223" i="36" s="1"/>
  <c r="U223" i="36" s="1"/>
  <c r="S194" i="36"/>
  <c r="T194" i="36" s="1"/>
  <c r="U194" i="36" s="1"/>
  <c r="S120" i="36"/>
  <c r="T120" i="36" s="1"/>
  <c r="U120" i="36" s="1"/>
  <c r="S221" i="36"/>
  <c r="T221" i="36" s="1"/>
  <c r="U221" i="36" s="1"/>
  <c r="S294" i="36"/>
  <c r="T294" i="36" s="1"/>
  <c r="U294" i="36" s="1"/>
  <c r="S23" i="36"/>
  <c r="T23" i="36" s="1"/>
  <c r="U23" i="36" s="1"/>
  <c r="S297" i="36"/>
  <c r="T297" i="36" s="1"/>
  <c r="U297" i="36" s="1"/>
  <c r="S123" i="36"/>
  <c r="T123" i="36" s="1"/>
  <c r="U123" i="36" s="1"/>
  <c r="S250" i="36"/>
  <c r="T250" i="36" s="1"/>
  <c r="U250" i="36" s="1"/>
  <c r="S76" i="36"/>
  <c r="T76" i="36" s="1"/>
  <c r="U76" i="36" s="1"/>
  <c r="S273" i="36"/>
  <c r="T273" i="36" s="1"/>
  <c r="U273" i="36" s="1"/>
  <c r="S107" i="36"/>
  <c r="T107" i="36" s="1"/>
  <c r="U107" i="36" s="1"/>
  <c r="S256" i="36"/>
  <c r="T256" i="36" s="1"/>
  <c r="U256" i="36" s="1"/>
  <c r="S22" i="36"/>
  <c r="T22" i="36" s="1"/>
  <c r="U22" i="36" s="1"/>
  <c r="S312" i="36"/>
  <c r="T312" i="36" s="1"/>
  <c r="U312" i="36" s="1"/>
  <c r="S304" i="36"/>
  <c r="T304" i="36" s="1"/>
  <c r="U304" i="36" s="1"/>
  <c r="S10" i="36"/>
  <c r="T10" i="36" s="1"/>
  <c r="U10" i="36" s="1"/>
  <c r="S300" i="36"/>
  <c r="T300" i="36" s="1"/>
  <c r="U300" i="36" s="1"/>
  <c r="S106" i="36"/>
  <c r="T106" i="36" s="1"/>
  <c r="U106" i="36" s="1"/>
  <c r="S203" i="36"/>
  <c r="T203" i="36" s="1"/>
  <c r="U203" i="36" s="1"/>
  <c r="S140" i="36"/>
  <c r="T140" i="36" s="1"/>
  <c r="U140" i="36" s="1"/>
  <c r="S220" i="36"/>
  <c r="T220" i="36" s="1"/>
  <c r="U220" i="36" s="1"/>
  <c r="S162" i="36"/>
  <c r="T162" i="36" s="1"/>
  <c r="U162" i="36" s="1"/>
  <c r="S171" i="36"/>
  <c r="T171" i="36" s="1"/>
  <c r="U171" i="36" s="1"/>
  <c r="S235" i="36"/>
  <c r="T235" i="36" s="1"/>
  <c r="U235" i="36" s="1"/>
  <c r="S143" i="36"/>
  <c r="T143" i="36" s="1"/>
  <c r="U143" i="36" s="1"/>
  <c r="S275" i="36"/>
  <c r="T275" i="36" s="1"/>
  <c r="U275" i="36" s="1"/>
  <c r="S158" i="36"/>
  <c r="T158" i="36" s="1"/>
  <c r="U158" i="36" s="1"/>
  <c r="S226" i="36"/>
  <c r="T226" i="36" s="1"/>
  <c r="U226" i="36" s="1"/>
  <c r="S217" i="36"/>
  <c r="T217" i="36" s="1"/>
  <c r="U217" i="36" s="1"/>
  <c r="S265" i="36"/>
  <c r="T265" i="36" s="1"/>
  <c r="U265" i="36" s="1"/>
  <c r="S246" i="36"/>
  <c r="T246" i="36" s="1"/>
  <c r="U246" i="36" s="1"/>
  <c r="S18" i="36"/>
  <c r="T18" i="36" s="1"/>
  <c r="U18" i="36" s="1"/>
  <c r="S41" i="36"/>
  <c r="T41" i="36" s="1"/>
  <c r="U41" i="36" s="1"/>
  <c r="S284" i="36"/>
  <c r="T284" i="36" s="1"/>
  <c r="U284" i="36" s="1"/>
  <c r="S296" i="36"/>
  <c r="T296" i="36" s="1"/>
  <c r="U296" i="36" s="1"/>
  <c r="S74" i="36"/>
  <c r="T74" i="36" s="1"/>
  <c r="U74" i="36" s="1"/>
  <c r="S25" i="36"/>
  <c r="T25" i="36" s="1"/>
  <c r="U25" i="36" s="1"/>
  <c r="S52" i="36"/>
  <c r="T52" i="36" s="1"/>
  <c r="U52" i="36" s="1"/>
  <c r="S271" i="36"/>
  <c r="T271" i="36" s="1"/>
  <c r="U271" i="36" s="1"/>
  <c r="S68" i="36"/>
  <c r="T68" i="36" s="1"/>
  <c r="U68" i="36" s="1"/>
  <c r="S303" i="36"/>
  <c r="T303" i="36" s="1"/>
  <c r="U303" i="36" s="1"/>
  <c r="S33" i="36"/>
  <c r="T33" i="36" s="1"/>
  <c r="U33" i="36" s="1"/>
  <c r="S227" i="36"/>
  <c r="T227" i="36" s="1"/>
  <c r="U227" i="36" s="1"/>
  <c r="S27" i="36"/>
  <c r="T27" i="36" s="1"/>
  <c r="U27" i="36" s="1"/>
  <c r="S181" i="36"/>
  <c r="T181" i="36" s="1"/>
  <c r="U181" i="36" s="1"/>
  <c r="S145" i="36"/>
  <c r="T145" i="36" s="1"/>
  <c r="U145" i="36" s="1"/>
  <c r="S29" i="36"/>
  <c r="T29" i="36" s="1"/>
  <c r="U29" i="36" s="1"/>
  <c r="S191" i="36"/>
  <c r="T191" i="36" s="1"/>
  <c r="U191" i="36" s="1"/>
  <c r="S305" i="36"/>
  <c r="T305" i="36" s="1"/>
  <c r="U305" i="36" s="1"/>
  <c r="S212" i="36"/>
  <c r="T212" i="36" s="1"/>
  <c r="U212" i="36" s="1"/>
  <c r="S216" i="36"/>
  <c r="T216" i="36" s="1"/>
  <c r="U216" i="36" s="1"/>
  <c r="S24" i="36"/>
  <c r="T24" i="36" s="1"/>
  <c r="U24" i="36" s="1"/>
  <c r="S176" i="36"/>
  <c r="T176" i="36" s="1"/>
  <c r="U176" i="36" s="1"/>
  <c r="S15" i="36"/>
  <c r="T15" i="36" s="1"/>
  <c r="U15" i="36" s="1"/>
  <c r="S245" i="36"/>
  <c r="T245" i="36" s="1"/>
  <c r="U245" i="36" s="1"/>
  <c r="S155" i="36"/>
  <c r="T155" i="36" s="1"/>
  <c r="U155" i="36" s="1"/>
  <c r="S160" i="36"/>
  <c r="T160" i="36" s="1"/>
  <c r="U160" i="36" s="1"/>
  <c r="S197" i="36"/>
  <c r="T197" i="36" s="1"/>
  <c r="U197" i="36" s="1"/>
  <c r="S83" i="36"/>
  <c r="T83" i="36" s="1"/>
  <c r="U83" i="36" s="1"/>
  <c r="S100" i="36"/>
  <c r="T100" i="36" s="1"/>
  <c r="U100" i="36" s="1"/>
  <c r="S179" i="36"/>
  <c r="T179" i="36" s="1"/>
  <c r="U179" i="36" s="1"/>
  <c r="S70" i="36"/>
  <c r="T70" i="36" s="1"/>
  <c r="U70" i="36" s="1"/>
  <c r="S209" i="36"/>
  <c r="T209" i="36" s="1"/>
  <c r="U209" i="36" s="1"/>
  <c r="S178" i="36"/>
  <c r="T178" i="36" s="1"/>
  <c r="U178" i="36" s="1"/>
  <c r="S166" i="36"/>
  <c r="T166" i="36" s="1"/>
  <c r="U166" i="36" s="1"/>
  <c r="S311" i="36"/>
  <c r="T311" i="36" s="1"/>
  <c r="U311" i="36" s="1"/>
  <c r="S165" i="36"/>
  <c r="T165" i="36" s="1"/>
  <c r="U165" i="36" s="1"/>
  <c r="S308" i="36"/>
  <c r="T308" i="36" s="1"/>
  <c r="U308" i="36" s="1"/>
  <c r="S116" i="36"/>
  <c r="T116" i="36" s="1"/>
  <c r="U116" i="36" s="1"/>
  <c r="S72" i="36"/>
  <c r="T72" i="36" s="1"/>
  <c r="U72" i="36" s="1"/>
  <c r="S247" i="36"/>
  <c r="T247" i="36" s="1"/>
  <c r="U247" i="36" s="1"/>
  <c r="S233" i="36"/>
  <c r="T233" i="36" s="1"/>
  <c r="U233" i="36" s="1"/>
  <c r="S43" i="36"/>
  <c r="T43" i="36" s="1"/>
  <c r="U43" i="36" s="1"/>
  <c r="S131" i="36"/>
  <c r="T131" i="36" s="1"/>
  <c r="U131" i="36" s="1"/>
  <c r="S17" i="36"/>
  <c r="T17" i="36" s="1"/>
  <c r="U17" i="36" s="1"/>
  <c r="S30" i="36"/>
  <c r="T30" i="36" s="1"/>
  <c r="U30" i="36" s="1"/>
  <c r="S299" i="36"/>
  <c r="T299" i="36" s="1"/>
  <c r="U299" i="36" s="1"/>
  <c r="S301" i="36"/>
  <c r="T301" i="36" s="1"/>
  <c r="U301" i="36" s="1"/>
  <c r="S40" i="36"/>
  <c r="T40" i="36" s="1"/>
  <c r="U40" i="36" s="1"/>
  <c r="S39" i="36"/>
  <c r="T39" i="36" s="1"/>
  <c r="U39" i="36" s="1"/>
  <c r="S254" i="36"/>
  <c r="T254" i="36" s="1"/>
  <c r="U254" i="36" s="1"/>
  <c r="S133" i="36"/>
  <c r="T133" i="36" s="1"/>
  <c r="U133" i="36" s="1"/>
  <c r="S267" i="36"/>
  <c r="T267" i="36" s="1"/>
  <c r="U267" i="36" s="1"/>
  <c r="S224" i="36"/>
  <c r="T224" i="36" s="1"/>
  <c r="U224" i="36" s="1"/>
  <c r="S14" i="36"/>
  <c r="T14" i="36" s="1"/>
  <c r="U14" i="36" s="1"/>
  <c r="S55" i="36"/>
  <c r="T55" i="36" s="1"/>
  <c r="U55" i="36" s="1"/>
  <c r="S314" i="36"/>
  <c r="T314" i="36" s="1"/>
  <c r="U314" i="36" s="1"/>
  <c r="S298" i="36"/>
  <c r="T298" i="36" s="1"/>
  <c r="U298" i="36" s="1"/>
  <c r="S206" i="36"/>
  <c r="T206" i="36" s="1"/>
  <c r="U206" i="36" s="1"/>
  <c r="S78" i="36"/>
  <c r="T78" i="36" s="1"/>
  <c r="U78" i="36" s="1"/>
  <c r="S134" i="36"/>
  <c r="T134" i="36" s="1"/>
  <c r="U134" i="36" s="1"/>
  <c r="S12" i="36"/>
  <c r="T12" i="36" s="1"/>
  <c r="U12" i="36" s="1"/>
  <c r="S289" i="36"/>
  <c r="T289" i="36" s="1"/>
  <c r="U289" i="36" s="1"/>
  <c r="S62" i="36"/>
  <c r="T62" i="36" s="1"/>
  <c r="U62" i="36" s="1"/>
  <c r="S148" i="36"/>
  <c r="T148" i="36" s="1"/>
  <c r="U148" i="36" s="1"/>
  <c r="S101" i="36"/>
  <c r="T101" i="36" s="1"/>
  <c r="U101" i="36" s="1"/>
  <c r="S201" i="36"/>
  <c r="T201" i="36" s="1"/>
  <c r="U201" i="36" s="1"/>
  <c r="S38" i="36"/>
  <c r="T38" i="36" s="1"/>
  <c r="U38" i="36" s="1"/>
  <c r="S169" i="36"/>
  <c r="T169" i="36" s="1"/>
  <c r="U169" i="36" s="1"/>
  <c r="S13" i="36"/>
  <c r="T13" i="36" s="1"/>
  <c r="U13" i="36" s="1"/>
  <c r="S129" i="36"/>
  <c r="T129" i="36" s="1"/>
  <c r="U129" i="36" s="1"/>
  <c r="S182" i="36"/>
  <c r="T182" i="36" s="1"/>
  <c r="U182" i="36" s="1"/>
  <c r="S112" i="36"/>
  <c r="T112" i="36" s="1"/>
  <c r="U112" i="36" s="1"/>
  <c r="S118" i="36"/>
  <c r="T118" i="36" s="1"/>
  <c r="U118" i="36" s="1"/>
  <c r="S204" i="36"/>
  <c r="T204" i="36" s="1"/>
  <c r="U204" i="36" s="1"/>
  <c r="S126" i="36"/>
  <c r="T126" i="36" s="1"/>
  <c r="U126" i="36" s="1"/>
  <c r="S46" i="36"/>
  <c r="T46" i="36" s="1"/>
  <c r="U46" i="36" s="1"/>
  <c r="S122" i="36"/>
  <c r="T122" i="36" s="1"/>
  <c r="U122" i="36" s="1"/>
  <c r="S276" i="36"/>
  <c r="T276" i="36" s="1"/>
  <c r="U276" i="36" s="1"/>
  <c r="S6" i="36"/>
  <c r="T6" i="36" s="1"/>
  <c r="U6" i="36" s="1"/>
  <c r="S184" i="36"/>
  <c r="T184" i="36" s="1"/>
  <c r="U184" i="36" s="1"/>
  <c r="S9" i="36"/>
  <c r="T9" i="36" s="1"/>
  <c r="U9" i="36" s="1"/>
  <c r="S200" i="36"/>
  <c r="T200" i="36" s="1"/>
  <c r="U200" i="36" s="1"/>
  <c r="S266" i="36"/>
  <c r="T266" i="36" s="1"/>
  <c r="U266" i="36" s="1"/>
  <c r="S94" i="36"/>
  <c r="T94" i="36" s="1"/>
  <c r="U94" i="36" s="1"/>
  <c r="S172" i="36"/>
  <c r="T172" i="36" s="1"/>
  <c r="U172" i="36" s="1"/>
  <c r="S258" i="36"/>
  <c r="T258" i="36" s="1"/>
  <c r="U258" i="36" s="1"/>
  <c r="S7" i="36"/>
  <c r="T7" i="36" s="1"/>
  <c r="U7" i="36" s="1"/>
  <c r="S205" i="36"/>
  <c r="T205" i="36" s="1"/>
  <c r="U205" i="36" s="1"/>
  <c r="S61" i="36"/>
  <c r="T61" i="36" s="1"/>
  <c r="U61" i="36" s="1"/>
  <c r="S125" i="36"/>
  <c r="T125" i="36" s="1"/>
  <c r="U125" i="36" s="1"/>
  <c r="S87" i="36"/>
  <c r="T87" i="36" s="1"/>
  <c r="U87" i="36" s="1"/>
  <c r="S50" i="36"/>
  <c r="T50" i="36" s="1"/>
  <c r="U50" i="36" s="1"/>
  <c r="S192" i="36"/>
  <c r="T192" i="36" s="1"/>
  <c r="U192" i="36" s="1"/>
  <c r="S248" i="36"/>
  <c r="T248" i="36" s="1"/>
  <c r="U248" i="36" s="1"/>
  <c r="S292" i="36"/>
  <c r="T292" i="36" s="1"/>
  <c r="U292" i="36" s="1"/>
  <c r="S278" i="36"/>
  <c r="T278" i="36" s="1"/>
  <c r="U278" i="36" s="1"/>
  <c r="S207" i="36"/>
  <c r="T207" i="36" s="1"/>
  <c r="U207" i="36" s="1"/>
  <c r="S137" i="36"/>
  <c r="T137" i="36" s="1"/>
  <c r="U137" i="36" s="1"/>
  <c r="S11" i="36"/>
  <c r="T11" i="36" s="1"/>
  <c r="U11" i="36" s="1"/>
  <c r="S269" i="36"/>
  <c r="T269" i="36" s="1"/>
  <c r="U269" i="36" s="1"/>
  <c r="S268" i="36"/>
  <c r="T268" i="36" s="1"/>
  <c r="U268" i="36" s="1"/>
  <c r="S85" i="36"/>
  <c r="T85" i="36" s="1"/>
  <c r="U85" i="36" s="1"/>
  <c r="S295" i="36"/>
  <c r="T295" i="36" s="1"/>
  <c r="U295" i="36" s="1"/>
  <c r="S175" i="36"/>
  <c r="T175" i="36" s="1"/>
  <c r="U175" i="36" s="1"/>
  <c r="S115" i="36"/>
  <c r="T115" i="36" s="1"/>
  <c r="U115" i="36" s="1"/>
  <c r="S92" i="36"/>
  <c r="T92" i="36" s="1"/>
  <c r="U92" i="36" s="1"/>
  <c r="S177" i="36"/>
  <c r="T177" i="36" s="1"/>
  <c r="U177" i="36" s="1"/>
  <c r="S161" i="36"/>
  <c r="T161" i="36" s="1"/>
  <c r="U161" i="36" s="1"/>
  <c r="S32" i="36"/>
  <c r="T32" i="36" s="1"/>
  <c r="U32" i="36" s="1"/>
  <c r="S236" i="36"/>
  <c r="T236" i="36" s="1"/>
  <c r="U236" i="36" s="1"/>
  <c r="S67" i="36"/>
  <c r="T67" i="36" s="1"/>
  <c r="U67" i="36" s="1"/>
  <c r="S262" i="36"/>
  <c r="T262" i="36" s="1"/>
  <c r="U262" i="36" s="1"/>
  <c r="S188" i="36"/>
  <c r="T188" i="36" s="1"/>
  <c r="U188" i="36" s="1"/>
  <c r="S53" i="36"/>
  <c r="T53" i="36" s="1"/>
  <c r="U53" i="36" s="1"/>
  <c r="S80" i="36"/>
  <c r="T80" i="36" s="1"/>
  <c r="U80" i="36" s="1"/>
  <c r="S240" i="36"/>
  <c r="T240" i="36" s="1"/>
  <c r="U240" i="36" s="1"/>
  <c r="S60" i="36"/>
  <c r="T60" i="36" s="1"/>
  <c r="U60" i="36" s="1"/>
  <c r="S183" i="36"/>
  <c r="T183" i="36" s="1"/>
  <c r="U183" i="36" s="1"/>
  <c r="S214" i="36"/>
  <c r="T214" i="36" s="1"/>
  <c r="U214" i="36" s="1"/>
  <c r="S187" i="36"/>
  <c r="T187" i="36" s="1"/>
  <c r="U187" i="36" s="1"/>
  <c r="S44" i="36"/>
  <c r="T44" i="36" s="1"/>
  <c r="U44" i="36" s="1"/>
  <c r="S90" i="36"/>
  <c r="T90" i="36" s="1"/>
  <c r="U90" i="36" s="1"/>
  <c r="S31" i="36"/>
  <c r="T31" i="36" s="1"/>
  <c r="U31" i="36" s="1"/>
  <c r="S103" i="36"/>
  <c r="T103" i="36" s="1"/>
  <c r="U103" i="36" s="1"/>
  <c r="S49" i="36"/>
  <c r="T49" i="36" s="1"/>
  <c r="U49" i="36" s="1"/>
  <c r="S238" i="36"/>
  <c r="T238" i="36" s="1"/>
  <c r="U238" i="36" s="1"/>
  <c r="S228" i="36"/>
  <c r="T228" i="36" s="1"/>
  <c r="U228" i="36" s="1"/>
  <c r="S71" i="36"/>
  <c r="T71" i="36" s="1"/>
  <c r="U71" i="36" s="1"/>
  <c r="S313" i="36"/>
  <c r="T313" i="36" s="1"/>
  <c r="U313" i="36" s="1"/>
  <c r="S48" i="36"/>
  <c r="T48" i="36" s="1"/>
  <c r="U48" i="36" s="1"/>
  <c r="S281" i="36"/>
  <c r="T281" i="36" s="1"/>
  <c r="U281" i="36" s="1"/>
  <c r="S231" i="36"/>
  <c r="T231" i="36" s="1"/>
  <c r="U231" i="36" s="1"/>
  <c r="S28" i="36"/>
  <c r="T28" i="36" s="1"/>
  <c r="U28" i="36" s="1"/>
  <c r="S291" i="36"/>
  <c r="T291" i="36" s="1"/>
  <c r="U291" i="36" s="1"/>
  <c r="S99" i="36"/>
  <c r="T99" i="36" s="1"/>
  <c r="U99" i="36" s="1"/>
  <c r="S65" i="36"/>
  <c r="T65" i="36" s="1"/>
  <c r="U65" i="36" s="1"/>
  <c r="S287" i="36"/>
  <c r="T287" i="36" s="1"/>
  <c r="U287" i="36" s="1"/>
  <c r="S89" i="36"/>
  <c r="T89" i="36" s="1"/>
  <c r="U89" i="36" s="1"/>
  <c r="S229" i="36"/>
  <c r="T229" i="36" s="1"/>
  <c r="U229" i="36" s="1"/>
  <c r="S121" i="36"/>
  <c r="T121" i="36" s="1"/>
  <c r="U121" i="36" s="1"/>
  <c r="S257" i="36"/>
  <c r="T257" i="36" s="1"/>
  <c r="U257" i="36" s="1"/>
  <c r="S81" i="36"/>
  <c r="T81" i="36" s="1"/>
  <c r="U81" i="36" s="1"/>
  <c r="S230" i="36"/>
  <c r="T230" i="36" s="1"/>
  <c r="U230" i="36" s="1"/>
  <c r="S34" i="36"/>
  <c r="T34" i="36" s="1"/>
  <c r="U34" i="36" s="1"/>
  <c r="S255" i="36"/>
  <c r="T255" i="36" s="1"/>
  <c r="U255" i="36" s="1"/>
  <c r="S196" i="36"/>
  <c r="T196" i="36" s="1"/>
  <c r="U196" i="36" s="1"/>
  <c r="S198" i="36"/>
  <c r="T198" i="36" s="1"/>
  <c r="U198" i="36" s="1"/>
  <c r="S315" i="36"/>
  <c r="T315" i="36" s="1"/>
  <c r="U315" i="36" s="1"/>
  <c r="S253" i="36"/>
  <c r="T253" i="36" s="1"/>
  <c r="U253" i="36" s="1"/>
  <c r="S286" i="36"/>
  <c r="T286" i="36" s="1"/>
  <c r="U286" i="36" s="1"/>
  <c r="S88" i="36"/>
  <c r="T88" i="36" s="1"/>
  <c r="U88" i="36" s="1"/>
  <c r="S285" i="36"/>
  <c r="T285" i="36" s="1"/>
  <c r="U285" i="36" s="1"/>
  <c r="S37" i="36"/>
  <c r="T37" i="36" s="1"/>
  <c r="U37" i="36" s="1"/>
  <c r="S141" i="36"/>
  <c r="T141" i="36" s="1"/>
  <c r="U141" i="36" s="1"/>
  <c r="S260" i="36"/>
  <c r="T260" i="36" s="1"/>
  <c r="U260" i="36" s="1"/>
  <c r="S35" i="36"/>
  <c r="T35" i="36" s="1"/>
  <c r="U35" i="36" s="1"/>
  <c r="S234" i="36"/>
  <c r="T234" i="36" s="1"/>
  <c r="U234" i="36" s="1"/>
  <c r="S56" i="36"/>
  <c r="T56" i="36" s="1"/>
  <c r="U56" i="36" s="1"/>
  <c r="S150" i="36"/>
  <c r="T150" i="36" s="1"/>
  <c r="U150" i="36" s="1"/>
  <c r="S75" i="36"/>
  <c r="T75" i="36" s="1"/>
  <c r="U75" i="36" s="1"/>
  <c r="S210" i="36"/>
  <c r="T210" i="36" s="1"/>
  <c r="U210" i="36" s="1"/>
  <c r="S309" i="36"/>
  <c r="T309" i="36" s="1"/>
  <c r="U309" i="36" s="1"/>
  <c r="S195" i="36"/>
  <c r="T195" i="36" s="1"/>
  <c r="U195" i="36" s="1"/>
  <c r="S193" i="36"/>
  <c r="T193" i="36" s="1"/>
  <c r="U193" i="36" s="1"/>
  <c r="S144" i="36"/>
  <c r="T144" i="36" s="1"/>
  <c r="U144" i="36" s="1"/>
  <c r="S232" i="36"/>
  <c r="T232" i="36" s="1"/>
  <c r="U232" i="36" s="1"/>
  <c r="S163" i="36"/>
  <c r="T163" i="36" s="1"/>
  <c r="U163" i="36" s="1"/>
  <c r="S132" i="36"/>
  <c r="T132" i="36" s="1"/>
  <c r="U132" i="36" s="1"/>
  <c r="S310" i="36"/>
  <c r="T310" i="36" s="1"/>
  <c r="U310" i="36" s="1"/>
  <c r="S237" i="36"/>
  <c r="T237" i="36" s="1"/>
  <c r="U237" i="36" s="1"/>
  <c r="S293" i="36"/>
  <c r="T293" i="36" s="1"/>
  <c r="U293" i="36" s="1"/>
  <c r="S42" i="36"/>
  <c r="T42" i="36" s="1"/>
  <c r="U42" i="36" s="1"/>
  <c r="S164" i="36"/>
  <c r="T164" i="36" s="1"/>
  <c r="U164" i="36" s="1"/>
  <c r="S111" i="36"/>
  <c r="T111" i="36" s="1"/>
  <c r="U111" i="36" s="1"/>
  <c r="S151" i="36"/>
  <c r="T151" i="36" s="1"/>
  <c r="U151" i="36" s="1"/>
  <c r="S45" i="36"/>
  <c r="T45" i="36" s="1"/>
  <c r="U45" i="36" s="1"/>
  <c r="S208" i="36"/>
  <c r="T208" i="36" s="1"/>
  <c r="U208" i="36" s="1"/>
  <c r="S91" i="36"/>
  <c r="T91" i="36" s="1"/>
  <c r="U91" i="36" s="1"/>
  <c r="S219" i="36"/>
  <c r="T219" i="36" s="1"/>
  <c r="U219" i="36" s="1"/>
  <c r="S105" i="36"/>
  <c r="T105" i="36" s="1"/>
  <c r="U105" i="36" s="1"/>
  <c r="S218" i="36"/>
  <c r="T218" i="36" s="1"/>
  <c r="U218" i="36" s="1"/>
  <c r="S244" i="36"/>
  <c r="T244" i="36" s="1"/>
  <c r="U244" i="36" s="1"/>
  <c r="S168" i="36"/>
  <c r="T168" i="36" s="1"/>
  <c r="U168" i="36" s="1"/>
  <c r="S283" i="36"/>
  <c r="T283" i="36" s="1"/>
  <c r="U283" i="36" s="1"/>
  <c r="S270" i="36"/>
  <c r="T270" i="36" s="1"/>
  <c r="U270" i="36" s="1"/>
  <c r="S63" i="36"/>
  <c r="T63" i="36" s="1"/>
  <c r="U63" i="36" s="1"/>
  <c r="S69" i="36"/>
  <c r="T69" i="36" s="1"/>
  <c r="U69" i="36" s="1"/>
  <c r="S66" i="36"/>
  <c r="T66" i="36" s="1"/>
  <c r="U66" i="36" s="1"/>
  <c r="S277" i="36"/>
  <c r="T277" i="36" s="1"/>
  <c r="U277" i="36" s="1"/>
  <c r="S138" i="36"/>
  <c r="T138" i="36" s="1"/>
  <c r="U138" i="36" s="1"/>
  <c r="S252" i="36"/>
  <c r="T252" i="36" s="1"/>
  <c r="U252" i="36" s="1"/>
  <c r="S79" i="36"/>
  <c r="T79" i="36" s="1"/>
  <c r="U79" i="36" s="1"/>
  <c r="S156" i="36"/>
  <c r="T156" i="36" s="1"/>
  <c r="U156" i="36" s="1"/>
  <c r="S243" i="36"/>
  <c r="T243" i="36" s="1"/>
  <c r="U243" i="36" s="1"/>
  <c r="S251" i="36"/>
  <c r="T251" i="36" s="1"/>
  <c r="U251" i="36" s="1"/>
  <c r="S93" i="36"/>
  <c r="T93" i="36" s="1"/>
  <c r="U93" i="36" s="1"/>
  <c r="S127" i="36"/>
  <c r="T127" i="36" s="1"/>
  <c r="U127" i="36" s="1"/>
  <c r="S222" i="36"/>
  <c r="T222" i="36" s="1"/>
  <c r="U222" i="36" s="1"/>
  <c r="S104" i="36"/>
  <c r="T104" i="36" s="1"/>
  <c r="U104" i="36" s="1"/>
  <c r="S51" i="36"/>
  <c r="T51" i="36" s="1"/>
  <c r="U51" i="36" s="1"/>
  <c r="S54" i="36"/>
  <c r="T54" i="36" s="1"/>
  <c r="U54" i="36" s="1"/>
  <c r="S98" i="36"/>
  <c r="T98" i="36" s="1"/>
  <c r="U98" i="36" s="1"/>
  <c r="S84" i="36"/>
  <c r="T84" i="36" s="1"/>
  <c r="U84" i="36" s="1"/>
  <c r="S20" i="36"/>
  <c r="T20" i="36" s="1"/>
  <c r="U20" i="36" s="1"/>
  <c r="T4" i="36" l="1"/>
  <c r="T3" i="36" s="1" a="1"/>
  <c r="T3" i="36" s="1"/>
  <c r="S3" i="36" a="1"/>
  <c r="S3" i="36" s="1"/>
  <c r="V318" i="39"/>
  <c r="S4" i="37"/>
  <c r="S4" i="38"/>
  <c r="S290" i="39"/>
  <c r="T290" i="39" s="1"/>
  <c r="U290" i="39" s="1"/>
  <c r="S250" i="39"/>
  <c r="T250" i="39" s="1"/>
  <c r="U250" i="39" s="1"/>
  <c r="S146" i="39"/>
  <c r="T146" i="39" s="1"/>
  <c r="U146" i="39" s="1"/>
  <c r="S15" i="39"/>
  <c r="T15" i="39" s="1"/>
  <c r="U15" i="39" s="1"/>
  <c r="S279" i="39"/>
  <c r="T279" i="39" s="1"/>
  <c r="U279" i="39" s="1"/>
  <c r="S9" i="39"/>
  <c r="T9" i="39" s="1"/>
  <c r="U9" i="39" s="1"/>
  <c r="S197" i="39"/>
  <c r="T197" i="39" s="1"/>
  <c r="U197" i="39" s="1"/>
  <c r="S92" i="39"/>
  <c r="T92" i="39" s="1"/>
  <c r="U92" i="39" s="1"/>
  <c r="S159" i="39"/>
  <c r="T159" i="39" s="1"/>
  <c r="U159" i="39" s="1"/>
  <c r="S66" i="39"/>
  <c r="T66" i="39" s="1"/>
  <c r="U66" i="39" s="1"/>
  <c r="S181" i="39"/>
  <c r="T181" i="39" s="1"/>
  <c r="U181" i="39" s="1"/>
  <c r="S312" i="39"/>
  <c r="T312" i="39" s="1"/>
  <c r="U312" i="39" s="1"/>
  <c r="S87" i="39"/>
  <c r="T87" i="39" s="1"/>
  <c r="U87" i="39" s="1"/>
  <c r="S232" i="39"/>
  <c r="T232" i="39" s="1"/>
  <c r="U232" i="39" s="1"/>
  <c r="S165" i="39"/>
  <c r="T165" i="39" s="1"/>
  <c r="U165" i="39" s="1"/>
  <c r="S81" i="39"/>
  <c r="T81" i="39" s="1"/>
  <c r="U81" i="39" s="1"/>
  <c r="S103" i="39"/>
  <c r="T103" i="39" s="1"/>
  <c r="U103" i="39" s="1"/>
  <c r="S283" i="39"/>
  <c r="T283" i="39" s="1"/>
  <c r="U283" i="39" s="1"/>
  <c r="S223" i="39"/>
  <c r="T223" i="39" s="1"/>
  <c r="U223" i="39" s="1"/>
  <c r="S177" i="39"/>
  <c r="T177" i="39" s="1"/>
  <c r="U177" i="39" s="1"/>
  <c r="S294" i="39"/>
  <c r="T294" i="39" s="1"/>
  <c r="U294" i="39" s="1"/>
  <c r="S69" i="39"/>
  <c r="T69" i="39" s="1"/>
  <c r="U69" i="39" s="1"/>
  <c r="S70" i="39"/>
  <c r="T70" i="39" s="1"/>
  <c r="U70" i="39" s="1"/>
  <c r="S105" i="39"/>
  <c r="T105" i="39" s="1"/>
  <c r="U105" i="39" s="1"/>
  <c r="S192" i="39"/>
  <c r="T192" i="39" s="1"/>
  <c r="U192" i="39" s="1"/>
  <c r="S104" i="39"/>
  <c r="T104" i="39" s="1"/>
  <c r="U104" i="39" s="1"/>
  <c r="S91" i="39"/>
  <c r="T91" i="39" s="1"/>
  <c r="U91" i="39" s="1"/>
  <c r="S67" i="39"/>
  <c r="T67" i="39" s="1"/>
  <c r="U67" i="39" s="1"/>
  <c r="S183" i="39"/>
  <c r="T183" i="39" s="1"/>
  <c r="U183" i="39" s="1"/>
  <c r="S166" i="39"/>
  <c r="T166" i="39" s="1"/>
  <c r="U166" i="39" s="1"/>
  <c r="S124" i="39"/>
  <c r="T124" i="39" s="1"/>
  <c r="U124" i="39" s="1"/>
  <c r="S96" i="39"/>
  <c r="T96" i="39" s="1"/>
  <c r="U96" i="39" s="1"/>
  <c r="S214" i="39"/>
  <c r="T214" i="39" s="1"/>
  <c r="U214" i="39" s="1"/>
  <c r="S190" i="39"/>
  <c r="T190" i="39" s="1"/>
  <c r="U190" i="39" s="1"/>
  <c r="S276" i="39"/>
  <c r="T276" i="39" s="1"/>
  <c r="U276" i="39" s="1"/>
  <c r="S244" i="39"/>
  <c r="T244" i="39" s="1"/>
  <c r="U244" i="39" s="1"/>
  <c r="S203" i="39"/>
  <c r="T203" i="39" s="1"/>
  <c r="U203" i="39" s="1"/>
  <c r="S247" i="39"/>
  <c r="T247" i="39" s="1"/>
  <c r="U247" i="39" s="1"/>
  <c r="S13" i="39"/>
  <c r="T13" i="39" s="1"/>
  <c r="U13" i="39" s="1"/>
  <c r="S16" i="39"/>
  <c r="T16" i="39" s="1"/>
  <c r="U16" i="39" s="1"/>
  <c r="S40" i="39"/>
  <c r="T40" i="39" s="1"/>
  <c r="U40" i="39" s="1"/>
  <c r="S235" i="39"/>
  <c r="T235" i="39" s="1"/>
  <c r="U235" i="39" s="1"/>
  <c r="S265" i="39"/>
  <c r="T265" i="39" s="1"/>
  <c r="U265" i="39" s="1"/>
  <c r="S239" i="39"/>
  <c r="T239" i="39" s="1"/>
  <c r="U239" i="39" s="1"/>
  <c r="S230" i="39"/>
  <c r="T230" i="39" s="1"/>
  <c r="U230" i="39" s="1"/>
  <c r="S61" i="39"/>
  <c r="T61" i="39" s="1"/>
  <c r="U61" i="39" s="1"/>
  <c r="S287" i="39"/>
  <c r="T287" i="39" s="1"/>
  <c r="U287" i="39" s="1"/>
  <c r="S296" i="39"/>
  <c r="T296" i="39" s="1"/>
  <c r="U296" i="39" s="1"/>
  <c r="S273" i="39"/>
  <c r="T273" i="39" s="1"/>
  <c r="U273" i="39" s="1"/>
  <c r="S252" i="39"/>
  <c r="T252" i="39" s="1"/>
  <c r="U252" i="39" s="1"/>
  <c r="S28" i="39"/>
  <c r="T28" i="39" s="1"/>
  <c r="U28" i="39" s="1"/>
  <c r="S185" i="39"/>
  <c r="T185" i="39" s="1"/>
  <c r="U185" i="39" s="1"/>
  <c r="S99" i="39"/>
  <c r="T99" i="39" s="1"/>
  <c r="U99" i="39" s="1"/>
  <c r="S196" i="39"/>
  <c r="T196" i="39" s="1"/>
  <c r="U196" i="39" s="1"/>
  <c r="S161" i="39"/>
  <c r="T161" i="39" s="1"/>
  <c r="U161" i="39" s="1"/>
  <c r="S233" i="39"/>
  <c r="T233" i="39" s="1"/>
  <c r="U233" i="39" s="1"/>
  <c r="S306" i="39"/>
  <c r="T306" i="39" s="1"/>
  <c r="U306" i="39" s="1"/>
  <c r="S145" i="39"/>
  <c r="T145" i="39" s="1"/>
  <c r="U145" i="39" s="1"/>
  <c r="S84" i="39"/>
  <c r="T84" i="39" s="1"/>
  <c r="U84" i="39" s="1"/>
  <c r="S176" i="39"/>
  <c r="T176" i="39" s="1"/>
  <c r="U176" i="39" s="1"/>
  <c r="S186" i="39"/>
  <c r="T186" i="39" s="1"/>
  <c r="U186" i="39" s="1"/>
  <c r="S97" i="39"/>
  <c r="T97" i="39" s="1"/>
  <c r="U97" i="39" s="1"/>
  <c r="S178" i="39"/>
  <c r="T178" i="39" s="1"/>
  <c r="U178" i="39" s="1"/>
  <c r="S182" i="39"/>
  <c r="T182" i="39" s="1"/>
  <c r="U182" i="39" s="1"/>
  <c r="S225" i="39"/>
  <c r="T225" i="39" s="1"/>
  <c r="U225" i="39" s="1"/>
  <c r="S271" i="39"/>
  <c r="T271" i="39" s="1"/>
  <c r="U271" i="39" s="1"/>
  <c r="S248" i="39"/>
  <c r="T248" i="39" s="1"/>
  <c r="U248" i="39" s="1"/>
  <c r="S179" i="39"/>
  <c r="T179" i="39" s="1"/>
  <c r="U179" i="39" s="1"/>
  <c r="S191" i="39"/>
  <c r="T191" i="39" s="1"/>
  <c r="U191" i="39" s="1"/>
  <c r="S237" i="39"/>
  <c r="T237" i="39" s="1"/>
  <c r="U237" i="39" s="1"/>
  <c r="S194" i="39"/>
  <c r="T194" i="39" s="1"/>
  <c r="U194" i="39" s="1"/>
  <c r="S72" i="39"/>
  <c r="T72" i="39" s="1"/>
  <c r="U72" i="39" s="1"/>
  <c r="S245" i="39"/>
  <c r="T245" i="39" s="1"/>
  <c r="U245" i="39" s="1"/>
  <c r="S208" i="39"/>
  <c r="T208" i="39" s="1"/>
  <c r="U208" i="39" s="1"/>
  <c r="S140" i="39"/>
  <c r="T140" i="39" s="1"/>
  <c r="U140" i="39" s="1"/>
  <c r="S207" i="39"/>
  <c r="T207" i="39" s="1"/>
  <c r="U207" i="39" s="1"/>
  <c r="S215" i="39"/>
  <c r="T215" i="39" s="1"/>
  <c r="U215" i="39" s="1"/>
  <c r="S85" i="39"/>
  <c r="T85" i="39" s="1"/>
  <c r="U85" i="39" s="1"/>
  <c r="S210" i="39"/>
  <c r="T210" i="39" s="1"/>
  <c r="U210" i="39" s="1"/>
  <c r="S251" i="39"/>
  <c r="T251" i="39" s="1"/>
  <c r="U251" i="39" s="1"/>
  <c r="S313" i="39"/>
  <c r="T313" i="39" s="1"/>
  <c r="U313" i="39" s="1"/>
  <c r="S78" i="39"/>
  <c r="T78" i="39" s="1"/>
  <c r="U78" i="39" s="1"/>
  <c r="S238" i="39"/>
  <c r="T238" i="39" s="1"/>
  <c r="U238" i="39" s="1"/>
  <c r="S173" i="39"/>
  <c r="T173" i="39" s="1"/>
  <c r="U173" i="39" s="1"/>
  <c r="S310" i="39"/>
  <c r="T310" i="39" s="1"/>
  <c r="U310" i="39" s="1"/>
  <c r="S98" i="39"/>
  <c r="T98" i="39" s="1"/>
  <c r="U98" i="39" s="1"/>
  <c r="S304" i="39"/>
  <c r="T304" i="39" s="1"/>
  <c r="U304" i="39" s="1"/>
  <c r="S163" i="39"/>
  <c r="T163" i="39" s="1"/>
  <c r="U163" i="39" s="1"/>
  <c r="S189" i="39"/>
  <c r="T189" i="39" s="1"/>
  <c r="U189" i="39" s="1"/>
  <c r="S263" i="39"/>
  <c r="T263" i="39" s="1"/>
  <c r="U263" i="39" s="1"/>
  <c r="S204" i="39"/>
  <c r="T204" i="39" s="1"/>
  <c r="U204" i="39" s="1"/>
  <c r="S53" i="39"/>
  <c r="T53" i="39" s="1"/>
  <c r="U53" i="39" s="1"/>
  <c r="S45" i="39"/>
  <c r="T45" i="39" s="1"/>
  <c r="U45" i="39" s="1"/>
  <c r="S307" i="39"/>
  <c r="T307" i="39" s="1"/>
  <c r="U307" i="39" s="1"/>
  <c r="S64" i="39"/>
  <c r="T64" i="39" s="1"/>
  <c r="U64" i="39" s="1"/>
  <c r="S275" i="39"/>
  <c r="T275" i="39" s="1"/>
  <c r="U275" i="39" s="1"/>
  <c r="S21" i="39"/>
  <c r="T21" i="39" s="1"/>
  <c r="U21" i="39" s="1"/>
  <c r="S33" i="39"/>
  <c r="T33" i="39" s="1"/>
  <c r="U33" i="39" s="1"/>
  <c r="S59" i="39"/>
  <c r="T59" i="39" s="1"/>
  <c r="U59" i="39" s="1"/>
  <c r="S52" i="39"/>
  <c r="T52" i="39" s="1"/>
  <c r="U52" i="39" s="1"/>
  <c r="S256" i="39"/>
  <c r="T256" i="39" s="1"/>
  <c r="U256" i="39" s="1"/>
  <c r="S90" i="39"/>
  <c r="T90" i="39" s="1"/>
  <c r="U90" i="39" s="1"/>
  <c r="S281" i="39"/>
  <c r="T281" i="39" s="1"/>
  <c r="U281" i="39" s="1"/>
  <c r="S32" i="39"/>
  <c r="T32" i="39" s="1"/>
  <c r="U32" i="39" s="1"/>
  <c r="S114" i="39"/>
  <c r="T114" i="39" s="1"/>
  <c r="U114" i="39" s="1"/>
  <c r="S120" i="39"/>
  <c r="T120" i="39" s="1"/>
  <c r="U120" i="39" s="1"/>
  <c r="S148" i="39"/>
  <c r="T148" i="39" s="1"/>
  <c r="U148" i="39" s="1"/>
  <c r="S60" i="39"/>
  <c r="T60" i="39" s="1"/>
  <c r="U60" i="39" s="1"/>
  <c r="S236" i="39"/>
  <c r="T236" i="39" s="1"/>
  <c r="U236" i="39" s="1"/>
  <c r="S257" i="39"/>
  <c r="T257" i="39" s="1"/>
  <c r="U257" i="39" s="1"/>
  <c r="S7" i="39"/>
  <c r="T7" i="39" s="1"/>
  <c r="U7" i="39" s="1"/>
  <c r="S116" i="39"/>
  <c r="T116" i="39" s="1"/>
  <c r="U116" i="39" s="1"/>
  <c r="S150" i="39"/>
  <c r="T150" i="39" s="1"/>
  <c r="U150" i="39" s="1"/>
  <c r="S46" i="39"/>
  <c r="T46" i="39" s="1"/>
  <c r="U46" i="39" s="1"/>
  <c r="S47" i="39"/>
  <c r="T47" i="39" s="1"/>
  <c r="U47" i="39" s="1"/>
  <c r="S164" i="39"/>
  <c r="T164" i="39" s="1"/>
  <c r="U164" i="39" s="1"/>
  <c r="S19" i="39"/>
  <c r="T19" i="39" s="1"/>
  <c r="U19" i="39" s="1"/>
  <c r="S20" i="39"/>
  <c r="T20" i="39" s="1"/>
  <c r="U20" i="39" s="1"/>
  <c r="S25" i="39"/>
  <c r="T25" i="39" s="1"/>
  <c r="U25" i="39" s="1"/>
  <c r="S73" i="39"/>
  <c r="T73" i="39" s="1"/>
  <c r="U73" i="39" s="1"/>
  <c r="S152" i="39"/>
  <c r="T152" i="39" s="1"/>
  <c r="U152" i="39" s="1"/>
  <c r="S54" i="39"/>
  <c r="T54" i="39" s="1"/>
  <c r="U54" i="39" s="1"/>
  <c r="S44" i="39"/>
  <c r="T44" i="39" s="1"/>
  <c r="U44" i="39" s="1"/>
  <c r="S262" i="39"/>
  <c r="T262" i="39" s="1"/>
  <c r="U262" i="39" s="1"/>
  <c r="S227" i="39"/>
  <c r="T227" i="39" s="1"/>
  <c r="U227" i="39" s="1"/>
  <c r="S174" i="39"/>
  <c r="T174" i="39" s="1"/>
  <c r="U174" i="39" s="1"/>
  <c r="S24" i="39"/>
  <c r="T24" i="39" s="1"/>
  <c r="U24" i="39" s="1"/>
  <c r="S308" i="39"/>
  <c r="T308" i="39" s="1"/>
  <c r="U308" i="39" s="1"/>
  <c r="S22" i="39"/>
  <c r="T22" i="39" s="1"/>
  <c r="U22" i="39" s="1"/>
  <c r="S302" i="39"/>
  <c r="T302" i="39" s="1"/>
  <c r="U302" i="39" s="1"/>
  <c r="S202" i="39"/>
  <c r="T202" i="39" s="1"/>
  <c r="U202" i="39" s="1"/>
  <c r="S50" i="39"/>
  <c r="T50" i="39" s="1"/>
  <c r="U50" i="39" s="1"/>
  <c r="S63" i="39"/>
  <c r="T63" i="39" s="1"/>
  <c r="U63" i="39" s="1"/>
  <c r="S299" i="39"/>
  <c r="T299" i="39" s="1"/>
  <c r="U299" i="39" s="1"/>
  <c r="S108" i="39"/>
  <c r="T108" i="39" s="1"/>
  <c r="U108" i="39" s="1"/>
  <c r="S112" i="39"/>
  <c r="T112" i="39" s="1"/>
  <c r="U112" i="39" s="1"/>
  <c r="S160" i="39"/>
  <c r="T160" i="39" s="1"/>
  <c r="U160" i="39" s="1"/>
  <c r="S254" i="39"/>
  <c r="T254" i="39" s="1"/>
  <c r="U254" i="39" s="1"/>
  <c r="S135" i="39"/>
  <c r="T135" i="39" s="1"/>
  <c r="U135" i="39" s="1"/>
  <c r="S167" i="39"/>
  <c r="T167" i="39" s="1"/>
  <c r="U167" i="39" s="1"/>
  <c r="S95" i="39"/>
  <c r="T95" i="39" s="1"/>
  <c r="U95" i="39" s="1"/>
  <c r="S93" i="39"/>
  <c r="T93" i="39" s="1"/>
  <c r="U93" i="39" s="1"/>
  <c r="S267" i="39"/>
  <c r="T267" i="39" s="1"/>
  <c r="U267" i="39" s="1"/>
  <c r="S29" i="39"/>
  <c r="T29" i="39" s="1"/>
  <c r="U29" i="39" s="1"/>
  <c r="S6" i="39"/>
  <c r="T6" i="39" s="1"/>
  <c r="U6" i="39" s="1"/>
  <c r="S125" i="39"/>
  <c r="T125" i="39" s="1"/>
  <c r="U125" i="39" s="1"/>
  <c r="S246" i="39"/>
  <c r="T246" i="39" s="1"/>
  <c r="U246" i="39" s="1"/>
  <c r="S76" i="39"/>
  <c r="T76" i="39" s="1"/>
  <c r="U76" i="39" s="1"/>
  <c r="S171" i="39"/>
  <c r="T171" i="39" s="1"/>
  <c r="U171" i="39" s="1"/>
  <c r="S142" i="39"/>
  <c r="T142" i="39" s="1"/>
  <c r="U142" i="39" s="1"/>
  <c r="S27" i="39"/>
  <c r="T27" i="39" s="1"/>
  <c r="U27" i="39" s="1"/>
  <c r="S154" i="39"/>
  <c r="T154" i="39" s="1"/>
  <c r="U154" i="39" s="1"/>
  <c r="S121" i="39"/>
  <c r="T121" i="39" s="1"/>
  <c r="U121" i="39" s="1"/>
  <c r="S109" i="39"/>
  <c r="T109" i="39" s="1"/>
  <c r="U109" i="39" s="1"/>
  <c r="S305" i="39"/>
  <c r="T305" i="39" s="1"/>
  <c r="U305" i="39" s="1"/>
  <c r="S231" i="39"/>
  <c r="T231" i="39" s="1"/>
  <c r="U231" i="39" s="1"/>
  <c r="S80" i="39"/>
  <c r="T80" i="39" s="1"/>
  <c r="U80" i="39" s="1"/>
  <c r="S129" i="39"/>
  <c r="T129" i="39" s="1"/>
  <c r="U129" i="39" s="1"/>
  <c r="S288" i="39"/>
  <c r="T288" i="39" s="1"/>
  <c r="U288" i="39" s="1"/>
  <c r="S8" i="39"/>
  <c r="T8" i="39" s="1"/>
  <c r="U8" i="39" s="1"/>
  <c r="S316" i="39"/>
  <c r="T316" i="39" s="1"/>
  <c r="U316" i="39" s="1"/>
  <c r="S221" i="39"/>
  <c r="T221" i="39" s="1"/>
  <c r="U221" i="39" s="1"/>
  <c r="S315" i="39"/>
  <c r="T315" i="39" s="1"/>
  <c r="U315" i="39" s="1"/>
  <c r="S158" i="39"/>
  <c r="T158" i="39" s="1"/>
  <c r="U158" i="39" s="1"/>
  <c r="S23" i="39"/>
  <c r="T23" i="39" s="1"/>
  <c r="U23" i="39" s="1"/>
  <c r="S285" i="39"/>
  <c r="T285" i="39" s="1"/>
  <c r="U285" i="39" s="1"/>
  <c r="S55" i="39"/>
  <c r="T55" i="39" s="1"/>
  <c r="U55" i="39" s="1"/>
  <c r="S241" i="39"/>
  <c r="T241" i="39" s="1"/>
  <c r="U241" i="39" s="1"/>
  <c r="S136" i="39"/>
  <c r="T136" i="39" s="1"/>
  <c r="U136" i="39" s="1"/>
  <c r="S180" i="39"/>
  <c r="T180" i="39" s="1"/>
  <c r="U180" i="39" s="1"/>
  <c r="S119" i="39"/>
  <c r="T119" i="39" s="1"/>
  <c r="U119" i="39" s="1"/>
  <c r="S36" i="39"/>
  <c r="T36" i="39" s="1"/>
  <c r="U36" i="39" s="1"/>
  <c r="S168" i="39"/>
  <c r="T168" i="39" s="1"/>
  <c r="U168" i="39" s="1"/>
  <c r="S199" i="39"/>
  <c r="T199" i="39" s="1"/>
  <c r="U199" i="39" s="1"/>
  <c r="S220" i="39"/>
  <c r="T220" i="39" s="1"/>
  <c r="U220" i="39" s="1"/>
  <c r="S234" i="39"/>
  <c r="T234" i="39" s="1"/>
  <c r="U234" i="39" s="1"/>
  <c r="S209" i="39"/>
  <c r="T209" i="39" s="1"/>
  <c r="U209" i="39" s="1"/>
  <c r="S278" i="39"/>
  <c r="T278" i="39" s="1"/>
  <c r="U278" i="39" s="1"/>
  <c r="S5" i="39"/>
  <c r="T5" i="39" s="1"/>
  <c r="U5" i="39" s="1"/>
  <c r="S39" i="39"/>
  <c r="T39" i="39" s="1"/>
  <c r="U39" i="39" s="1"/>
  <c r="S68" i="39"/>
  <c r="T68" i="39" s="1"/>
  <c r="U68" i="39" s="1"/>
  <c r="S222" i="39"/>
  <c r="T222" i="39" s="1"/>
  <c r="U222" i="39" s="1"/>
  <c r="S113" i="39"/>
  <c r="T113" i="39" s="1"/>
  <c r="U113" i="39" s="1"/>
  <c r="S12" i="39"/>
  <c r="T12" i="39" s="1"/>
  <c r="U12" i="39" s="1"/>
  <c r="S172" i="39"/>
  <c r="T172" i="39" s="1"/>
  <c r="U172" i="39" s="1"/>
  <c r="S243" i="39"/>
  <c r="T243" i="39" s="1"/>
  <c r="U243" i="39" s="1"/>
  <c r="S48" i="39"/>
  <c r="T48" i="39" s="1"/>
  <c r="U48" i="39" s="1"/>
  <c r="S38" i="39"/>
  <c r="T38" i="39" s="1"/>
  <c r="U38" i="39" s="1"/>
  <c r="S242" i="39"/>
  <c r="T242" i="39" s="1"/>
  <c r="U242" i="39" s="1"/>
  <c r="S143" i="39"/>
  <c r="T143" i="39" s="1"/>
  <c r="U143" i="39" s="1"/>
  <c r="S249" i="39"/>
  <c r="T249" i="39" s="1"/>
  <c r="U249" i="39" s="1"/>
  <c r="S42" i="39"/>
  <c r="T42" i="39" s="1"/>
  <c r="U42" i="39" s="1"/>
  <c r="S216" i="39"/>
  <c r="T216" i="39" s="1"/>
  <c r="U216" i="39" s="1"/>
  <c r="S198" i="39"/>
  <c r="T198" i="39" s="1"/>
  <c r="U198" i="39" s="1"/>
  <c r="S41" i="39"/>
  <c r="T41" i="39" s="1"/>
  <c r="U41" i="39" s="1"/>
  <c r="S272" i="39"/>
  <c r="T272" i="39" s="1"/>
  <c r="U272" i="39" s="1"/>
  <c r="S187" i="39"/>
  <c r="T187" i="39" s="1"/>
  <c r="U187" i="39" s="1"/>
  <c r="S188" i="39"/>
  <c r="T188" i="39" s="1"/>
  <c r="U188" i="39" s="1"/>
  <c r="S57" i="39"/>
  <c r="T57" i="39" s="1"/>
  <c r="U57" i="39" s="1"/>
  <c r="S107" i="39"/>
  <c r="T107" i="39" s="1"/>
  <c r="U107" i="39" s="1"/>
  <c r="S217" i="39"/>
  <c r="T217" i="39" s="1"/>
  <c r="U217" i="39" s="1"/>
  <c r="S293" i="39"/>
  <c r="T293" i="39" s="1"/>
  <c r="U293" i="39" s="1"/>
  <c r="S149" i="39"/>
  <c r="T149" i="39" s="1"/>
  <c r="U149" i="39" s="1"/>
  <c r="S133" i="39"/>
  <c r="T133" i="39" s="1"/>
  <c r="U133" i="39" s="1"/>
  <c r="S184" i="39"/>
  <c r="T184" i="39" s="1"/>
  <c r="U184" i="39" s="1"/>
  <c r="S309" i="39"/>
  <c r="T309" i="39" s="1"/>
  <c r="U309" i="39" s="1"/>
  <c r="S259" i="39"/>
  <c r="T259" i="39" s="1"/>
  <c r="U259" i="39" s="1"/>
  <c r="S255" i="39"/>
  <c r="T255" i="39" s="1"/>
  <c r="U255" i="39" s="1"/>
  <c r="S139" i="39"/>
  <c r="T139" i="39" s="1"/>
  <c r="U139" i="39" s="1"/>
  <c r="S117" i="39"/>
  <c r="T117" i="39" s="1"/>
  <c r="U117" i="39" s="1"/>
  <c r="S10" i="39"/>
  <c r="T10" i="39" s="1"/>
  <c r="U10" i="39" s="1"/>
  <c r="S175" i="39"/>
  <c r="T175" i="39" s="1"/>
  <c r="U175" i="39" s="1"/>
  <c r="S147" i="39"/>
  <c r="T147" i="39" s="1"/>
  <c r="U147" i="39" s="1"/>
  <c r="S277" i="39"/>
  <c r="T277" i="39" s="1"/>
  <c r="U277" i="39" s="1"/>
  <c r="S224" i="39"/>
  <c r="T224" i="39" s="1"/>
  <c r="U224" i="39" s="1"/>
  <c r="S65" i="39"/>
  <c r="T65" i="39" s="1"/>
  <c r="U65" i="39" s="1"/>
  <c r="S74" i="39"/>
  <c r="T74" i="39" s="1"/>
  <c r="U74" i="39" s="1"/>
  <c r="S101" i="39"/>
  <c r="T101" i="39" s="1"/>
  <c r="U101" i="39" s="1"/>
  <c r="S228" i="39"/>
  <c r="T228" i="39" s="1"/>
  <c r="U228" i="39" s="1"/>
  <c r="S106" i="39"/>
  <c r="T106" i="39" s="1"/>
  <c r="U106" i="39" s="1"/>
  <c r="S134" i="39"/>
  <c r="T134" i="39" s="1"/>
  <c r="U134" i="39" s="1"/>
  <c r="S86" i="39"/>
  <c r="T86" i="39" s="1"/>
  <c r="U86" i="39" s="1"/>
  <c r="S122" i="39"/>
  <c r="T122" i="39" s="1"/>
  <c r="U122" i="39" s="1"/>
  <c r="S128" i="39"/>
  <c r="T128" i="39" s="1"/>
  <c r="U128" i="39" s="1"/>
  <c r="S253" i="39"/>
  <c r="T253" i="39" s="1"/>
  <c r="U253" i="39" s="1"/>
  <c r="S295" i="39"/>
  <c r="T295" i="39" s="1"/>
  <c r="U295" i="39" s="1"/>
  <c r="S75" i="39"/>
  <c r="T75" i="39" s="1"/>
  <c r="U75" i="39" s="1"/>
  <c r="S62" i="39"/>
  <c r="T62" i="39" s="1"/>
  <c r="U62" i="39" s="1"/>
  <c r="S291" i="39"/>
  <c r="T291" i="39" s="1"/>
  <c r="U291" i="39" s="1"/>
  <c r="S110" i="39"/>
  <c r="T110" i="39" s="1"/>
  <c r="U110" i="39" s="1"/>
  <c r="S200" i="39"/>
  <c r="T200" i="39" s="1"/>
  <c r="U200" i="39" s="1"/>
  <c r="S17" i="39"/>
  <c r="T17" i="39" s="1"/>
  <c r="U17" i="39" s="1"/>
  <c r="S37" i="39"/>
  <c r="T37" i="39" s="1"/>
  <c r="U37" i="39" s="1"/>
  <c r="S43" i="39"/>
  <c r="T43" i="39" s="1"/>
  <c r="U43" i="39" s="1"/>
  <c r="S289" i="39"/>
  <c r="T289" i="39" s="1"/>
  <c r="U289" i="39" s="1"/>
  <c r="S274" i="39"/>
  <c r="T274" i="39" s="1"/>
  <c r="U274" i="39" s="1"/>
  <c r="S195" i="39"/>
  <c r="T195" i="39" s="1"/>
  <c r="U195" i="39" s="1"/>
  <c r="S292" i="39"/>
  <c r="T292" i="39" s="1"/>
  <c r="U292" i="39" s="1"/>
  <c r="S144" i="39"/>
  <c r="T144" i="39" s="1"/>
  <c r="U144" i="39" s="1"/>
  <c r="S138" i="39"/>
  <c r="T138" i="39" s="1"/>
  <c r="U138" i="39" s="1"/>
  <c r="S162" i="39"/>
  <c r="T162" i="39" s="1"/>
  <c r="U162" i="39" s="1"/>
  <c r="S118" i="39"/>
  <c r="T118" i="39" s="1"/>
  <c r="U118" i="39" s="1"/>
  <c r="S284" i="39"/>
  <c r="T284" i="39" s="1"/>
  <c r="U284" i="39" s="1"/>
  <c r="S226" i="39"/>
  <c r="T226" i="39" s="1"/>
  <c r="U226" i="39" s="1"/>
  <c r="S314" i="39"/>
  <c r="T314" i="39" s="1"/>
  <c r="U314" i="39" s="1"/>
  <c r="S213" i="39"/>
  <c r="T213" i="39" s="1"/>
  <c r="U213" i="39" s="1"/>
  <c r="S94" i="39"/>
  <c r="T94" i="39" s="1"/>
  <c r="U94" i="39" s="1"/>
  <c r="S77" i="39"/>
  <c r="T77" i="39" s="1"/>
  <c r="U77" i="39" s="1"/>
  <c r="S89" i="39"/>
  <c r="T89" i="39" s="1"/>
  <c r="U89" i="39" s="1"/>
  <c r="S201" i="39"/>
  <c r="T201" i="39" s="1"/>
  <c r="U201" i="39" s="1"/>
  <c r="S126" i="39"/>
  <c r="T126" i="39" s="1"/>
  <c r="U126" i="39" s="1"/>
  <c r="S30" i="39"/>
  <c r="T30" i="39" s="1"/>
  <c r="U30" i="39" s="1"/>
  <c r="S71" i="39"/>
  <c r="T71" i="39" s="1"/>
  <c r="U71" i="39" s="1"/>
  <c r="S58" i="39"/>
  <c r="T58" i="39" s="1"/>
  <c r="U58" i="39" s="1"/>
  <c r="S79" i="39"/>
  <c r="T79" i="39" s="1"/>
  <c r="U79" i="39" s="1"/>
  <c r="S311" i="39"/>
  <c r="T311" i="39" s="1"/>
  <c r="U311" i="39" s="1"/>
  <c r="S132" i="39"/>
  <c r="T132" i="39" s="1"/>
  <c r="U132" i="39" s="1"/>
  <c r="S11" i="39"/>
  <c r="T11" i="39" s="1"/>
  <c r="U11" i="39" s="1"/>
  <c r="S270" i="39"/>
  <c r="T270" i="39" s="1"/>
  <c r="U270" i="39" s="1"/>
  <c r="S300" i="39"/>
  <c r="T300" i="39" s="1"/>
  <c r="U300" i="39" s="1"/>
  <c r="S82" i="39"/>
  <c r="T82" i="39" s="1"/>
  <c r="U82" i="39" s="1"/>
  <c r="S26" i="39"/>
  <c r="T26" i="39" s="1"/>
  <c r="U26" i="39" s="1"/>
  <c r="S157" i="39"/>
  <c r="T157" i="39" s="1"/>
  <c r="U157" i="39" s="1"/>
  <c r="S115" i="39"/>
  <c r="T115" i="39" s="1"/>
  <c r="U115" i="39" s="1"/>
  <c r="S264" i="39"/>
  <c r="T264" i="39" s="1"/>
  <c r="U264" i="39" s="1"/>
  <c r="S205" i="39"/>
  <c r="T205" i="39" s="1"/>
  <c r="U205" i="39" s="1"/>
  <c r="S137" i="39"/>
  <c r="T137" i="39" s="1"/>
  <c r="U137" i="39" s="1"/>
  <c r="S155" i="39"/>
  <c r="T155" i="39" s="1"/>
  <c r="U155" i="39" s="1"/>
  <c r="S260" i="39"/>
  <c r="T260" i="39" s="1"/>
  <c r="U260" i="39" s="1"/>
  <c r="S49" i="39"/>
  <c r="T49" i="39" s="1"/>
  <c r="U49" i="39" s="1"/>
  <c r="S102" i="39"/>
  <c r="T102" i="39" s="1"/>
  <c r="U102" i="39" s="1"/>
  <c r="S269" i="39"/>
  <c r="T269" i="39" s="1"/>
  <c r="U269" i="39" s="1"/>
  <c r="S206" i="39"/>
  <c r="T206" i="39" s="1"/>
  <c r="U206" i="39" s="1"/>
  <c r="S151" i="39"/>
  <c r="T151" i="39" s="1"/>
  <c r="U151" i="39" s="1"/>
  <c r="S219" i="39"/>
  <c r="T219" i="39" s="1"/>
  <c r="U219" i="39" s="1"/>
  <c r="S100" i="39"/>
  <c r="T100" i="39" s="1"/>
  <c r="U100" i="39" s="1"/>
  <c r="S83" i="39"/>
  <c r="T83" i="39" s="1"/>
  <c r="U83" i="39" s="1"/>
  <c r="S153" i="39"/>
  <c r="T153" i="39" s="1"/>
  <c r="U153" i="39" s="1"/>
  <c r="S282" i="39"/>
  <c r="T282" i="39" s="1"/>
  <c r="U282" i="39" s="1"/>
  <c r="S14" i="39"/>
  <c r="T14" i="39" s="1"/>
  <c r="U14" i="39" s="1"/>
  <c r="S258" i="39"/>
  <c r="T258" i="39" s="1"/>
  <c r="U258" i="39" s="1"/>
  <c r="S111" i="39"/>
  <c r="T111" i="39" s="1"/>
  <c r="U111" i="39" s="1"/>
  <c r="S212" i="39"/>
  <c r="T212" i="39" s="1"/>
  <c r="U212" i="39" s="1"/>
  <c r="S51" i="39"/>
  <c r="T51" i="39" s="1"/>
  <c r="U51" i="39" s="1"/>
  <c r="S261" i="39"/>
  <c r="T261" i="39" s="1"/>
  <c r="U261" i="39" s="1"/>
  <c r="S240" i="39"/>
  <c r="T240" i="39" s="1"/>
  <c r="U240" i="39" s="1"/>
  <c r="S18" i="39"/>
  <c r="T18" i="39" s="1"/>
  <c r="U18" i="39" s="1"/>
  <c r="S130" i="39"/>
  <c r="T130" i="39" s="1"/>
  <c r="U130" i="39" s="1"/>
  <c r="S218" i="39"/>
  <c r="T218" i="39" s="1"/>
  <c r="U218" i="39" s="1"/>
  <c r="S169" i="39"/>
  <c r="T169" i="39" s="1"/>
  <c r="U169" i="39" s="1"/>
  <c r="S268" i="39"/>
  <c r="T268" i="39" s="1"/>
  <c r="U268" i="39" s="1"/>
  <c r="S88" i="39"/>
  <c r="T88" i="39" s="1"/>
  <c r="U88" i="39" s="1"/>
  <c r="S35" i="39"/>
  <c r="T35" i="39" s="1"/>
  <c r="U35" i="39" s="1"/>
  <c r="S34" i="39"/>
  <c r="T34" i="39" s="1"/>
  <c r="U34" i="39" s="1"/>
  <c r="S286" i="39"/>
  <c r="T286" i="39" s="1"/>
  <c r="U286" i="39" s="1"/>
  <c r="S123" i="39"/>
  <c r="T123" i="39" s="1"/>
  <c r="U123" i="39" s="1"/>
  <c r="S229" i="39"/>
  <c r="T229" i="39" s="1"/>
  <c r="U229" i="39" s="1"/>
  <c r="S193" i="39"/>
  <c r="T193" i="39" s="1"/>
  <c r="U193" i="39" s="1"/>
  <c r="S298" i="39"/>
  <c r="T298" i="39" s="1"/>
  <c r="U298" i="39" s="1"/>
  <c r="S127" i="39"/>
  <c r="T127" i="39" s="1"/>
  <c r="U127" i="39" s="1"/>
  <c r="S131" i="39"/>
  <c r="T131" i="39" s="1"/>
  <c r="U131" i="39" s="1"/>
  <c r="S141" i="39"/>
  <c r="T141" i="39" s="1"/>
  <c r="U141" i="39" s="1"/>
  <c r="S280" i="39"/>
  <c r="T280" i="39" s="1"/>
  <c r="U280" i="39" s="1"/>
  <c r="S156" i="39"/>
  <c r="T156" i="39" s="1"/>
  <c r="U156" i="39" s="1"/>
  <c r="S303" i="39"/>
  <c r="T303" i="39" s="1"/>
  <c r="U303" i="39" s="1"/>
  <c r="S170" i="39"/>
  <c r="T170" i="39" s="1"/>
  <c r="U170" i="39" s="1"/>
  <c r="S56" i="39"/>
  <c r="T56" i="39" s="1"/>
  <c r="U56" i="39" s="1"/>
  <c r="S31" i="39"/>
  <c r="T31" i="39" s="1"/>
  <c r="U31" i="39" s="1"/>
  <c r="S211" i="39"/>
  <c r="T211" i="39" s="1"/>
  <c r="U211" i="39" s="1"/>
  <c r="S266" i="39"/>
  <c r="T266" i="39" s="1"/>
  <c r="U266" i="39" s="1"/>
  <c r="S301" i="39"/>
  <c r="T301" i="39" s="1"/>
  <c r="U301" i="39" s="1"/>
  <c r="S297" i="39"/>
  <c r="T297" i="39" s="1"/>
  <c r="U297" i="39" s="1"/>
  <c r="S4" i="39"/>
  <c r="S103" i="38"/>
  <c r="T103" i="38" s="1"/>
  <c r="U103" i="38" s="1"/>
  <c r="S39" i="38"/>
  <c r="T39" i="38" s="1"/>
  <c r="U39" i="38" s="1"/>
  <c r="S162" i="38"/>
  <c r="T162" i="38" s="1"/>
  <c r="U162" i="38" s="1"/>
  <c r="S299" i="38"/>
  <c r="T299" i="38" s="1"/>
  <c r="U299" i="38" s="1"/>
  <c r="S306" i="38"/>
  <c r="T306" i="38" s="1"/>
  <c r="U306" i="38" s="1"/>
  <c r="S297" i="38"/>
  <c r="T297" i="38" s="1"/>
  <c r="U297" i="38" s="1"/>
  <c r="S30" i="38"/>
  <c r="T30" i="38" s="1"/>
  <c r="U30" i="38" s="1"/>
  <c r="S205" i="38"/>
  <c r="T205" i="38" s="1"/>
  <c r="U205" i="38" s="1"/>
  <c r="S265" i="38"/>
  <c r="T265" i="38" s="1"/>
  <c r="U265" i="38" s="1"/>
  <c r="S217" i="38"/>
  <c r="T217" i="38" s="1"/>
  <c r="U217" i="38" s="1"/>
  <c r="S95" i="38"/>
  <c r="T95" i="38" s="1"/>
  <c r="U95" i="38" s="1"/>
  <c r="S204" i="38"/>
  <c r="T204" i="38" s="1"/>
  <c r="U204" i="38" s="1"/>
  <c r="S33" i="38"/>
  <c r="T33" i="38" s="1"/>
  <c r="U33" i="38" s="1"/>
  <c r="S206" i="38"/>
  <c r="T206" i="38" s="1"/>
  <c r="U206" i="38" s="1"/>
  <c r="S172" i="38"/>
  <c r="T172" i="38" s="1"/>
  <c r="U172" i="38" s="1"/>
  <c r="S228" i="38"/>
  <c r="T228" i="38" s="1"/>
  <c r="U228" i="38" s="1"/>
  <c r="S84" i="38"/>
  <c r="T84" i="38" s="1"/>
  <c r="U84" i="38" s="1"/>
  <c r="S111" i="38"/>
  <c r="T111" i="38" s="1"/>
  <c r="U111" i="38" s="1"/>
  <c r="S88" i="38"/>
  <c r="T88" i="38" s="1"/>
  <c r="U88" i="38" s="1"/>
  <c r="S304" i="38"/>
  <c r="T304" i="38" s="1"/>
  <c r="U304" i="38" s="1"/>
  <c r="S133" i="38"/>
  <c r="T133" i="38" s="1"/>
  <c r="U133" i="38" s="1"/>
  <c r="S216" i="38"/>
  <c r="T216" i="38" s="1"/>
  <c r="U216" i="38" s="1"/>
  <c r="S169" i="38"/>
  <c r="T169" i="38" s="1"/>
  <c r="U169" i="38" s="1"/>
  <c r="S10" i="38"/>
  <c r="T10" i="38" s="1"/>
  <c r="U10" i="38" s="1"/>
  <c r="S196" i="38"/>
  <c r="T196" i="38" s="1"/>
  <c r="U196" i="38" s="1"/>
  <c r="S164" i="38"/>
  <c r="T164" i="38" s="1"/>
  <c r="U164" i="38" s="1"/>
  <c r="S313" i="38"/>
  <c r="T313" i="38" s="1"/>
  <c r="U313" i="38" s="1"/>
  <c r="S243" i="38"/>
  <c r="T243" i="38" s="1"/>
  <c r="U243" i="38" s="1"/>
  <c r="S64" i="38"/>
  <c r="T64" i="38" s="1"/>
  <c r="U64" i="38" s="1"/>
  <c r="S23" i="38"/>
  <c r="T23" i="38" s="1"/>
  <c r="U23" i="38" s="1"/>
  <c r="S194" i="38"/>
  <c r="T194" i="38" s="1"/>
  <c r="U194" i="38" s="1"/>
  <c r="S128" i="38"/>
  <c r="T128" i="38" s="1"/>
  <c r="U128" i="38" s="1"/>
  <c r="S40" i="38"/>
  <c r="T40" i="38" s="1"/>
  <c r="U40" i="38" s="1"/>
  <c r="S168" i="38"/>
  <c r="T168" i="38" s="1"/>
  <c r="U168" i="38" s="1"/>
  <c r="S12" i="38"/>
  <c r="T12" i="38" s="1"/>
  <c r="U12" i="38" s="1"/>
  <c r="S8" i="38"/>
  <c r="T8" i="38" s="1"/>
  <c r="U8" i="38" s="1"/>
  <c r="S161" i="38"/>
  <c r="T161" i="38" s="1"/>
  <c r="U161" i="38" s="1"/>
  <c r="S75" i="38"/>
  <c r="T75" i="38" s="1"/>
  <c r="U75" i="38" s="1"/>
  <c r="S142" i="38"/>
  <c r="T142" i="38" s="1"/>
  <c r="U142" i="38" s="1"/>
  <c r="S288" i="38"/>
  <c r="T288" i="38" s="1"/>
  <c r="U288" i="38" s="1"/>
  <c r="S215" i="38"/>
  <c r="T215" i="38" s="1"/>
  <c r="U215" i="38" s="1"/>
  <c r="S85" i="38"/>
  <c r="T85" i="38" s="1"/>
  <c r="U85" i="38" s="1"/>
  <c r="S58" i="38"/>
  <c r="T58" i="38" s="1"/>
  <c r="U58" i="38" s="1"/>
  <c r="S193" i="38"/>
  <c r="T193" i="38" s="1"/>
  <c r="U193" i="38" s="1"/>
  <c r="S174" i="38"/>
  <c r="T174" i="38" s="1"/>
  <c r="U174" i="38" s="1"/>
  <c r="S27" i="38"/>
  <c r="T27" i="38" s="1"/>
  <c r="U27" i="38" s="1"/>
  <c r="S280" i="38"/>
  <c r="T280" i="38" s="1"/>
  <c r="U280" i="38" s="1"/>
  <c r="S221" i="38"/>
  <c r="T221" i="38" s="1"/>
  <c r="U221" i="38" s="1"/>
  <c r="S239" i="38"/>
  <c r="T239" i="38" s="1"/>
  <c r="U239" i="38" s="1"/>
  <c r="S98" i="38"/>
  <c r="T98" i="38" s="1"/>
  <c r="U98" i="38" s="1"/>
  <c r="S42" i="38"/>
  <c r="T42" i="38" s="1"/>
  <c r="U42" i="38" s="1"/>
  <c r="S200" i="38"/>
  <c r="T200" i="38" s="1"/>
  <c r="U200" i="38" s="1"/>
  <c r="S257" i="38"/>
  <c r="T257" i="38" s="1"/>
  <c r="U257" i="38" s="1"/>
  <c r="S147" i="38"/>
  <c r="T147" i="38" s="1"/>
  <c r="U147" i="38" s="1"/>
  <c r="S269" i="38"/>
  <c r="T269" i="38" s="1"/>
  <c r="U269" i="38" s="1"/>
  <c r="S113" i="38"/>
  <c r="T113" i="38" s="1"/>
  <c r="U113" i="38" s="1"/>
  <c r="S114" i="38"/>
  <c r="T114" i="38" s="1"/>
  <c r="U114" i="38" s="1"/>
  <c r="S127" i="38"/>
  <c r="T127" i="38" s="1"/>
  <c r="U127" i="38" s="1"/>
  <c r="S152" i="38"/>
  <c r="T152" i="38" s="1"/>
  <c r="U152" i="38" s="1"/>
  <c r="S286" i="38"/>
  <c r="T286" i="38" s="1"/>
  <c r="U286" i="38" s="1"/>
  <c r="S292" i="38"/>
  <c r="T292" i="38" s="1"/>
  <c r="U292" i="38" s="1"/>
  <c r="S159" i="38"/>
  <c r="T159" i="38" s="1"/>
  <c r="U159" i="38" s="1"/>
  <c r="S214" i="38"/>
  <c r="T214" i="38" s="1"/>
  <c r="U214" i="38" s="1"/>
  <c r="S38" i="38"/>
  <c r="T38" i="38" s="1"/>
  <c r="U38" i="38" s="1"/>
  <c r="S266" i="38"/>
  <c r="T266" i="38" s="1"/>
  <c r="U266" i="38" s="1"/>
  <c r="S123" i="38"/>
  <c r="T123" i="38" s="1"/>
  <c r="U123" i="38" s="1"/>
  <c r="S34" i="38"/>
  <c r="T34" i="38" s="1"/>
  <c r="U34" i="38" s="1"/>
  <c r="S52" i="38"/>
  <c r="T52" i="38" s="1"/>
  <c r="U52" i="38" s="1"/>
  <c r="S7" i="38"/>
  <c r="T7" i="38" s="1"/>
  <c r="U7" i="38" s="1"/>
  <c r="S69" i="38"/>
  <c r="T69" i="38" s="1"/>
  <c r="U69" i="38" s="1"/>
  <c r="S43" i="38"/>
  <c r="T43" i="38" s="1"/>
  <c r="U43" i="38" s="1"/>
  <c r="S218" i="38"/>
  <c r="T218" i="38" s="1"/>
  <c r="U218" i="38" s="1"/>
  <c r="S116" i="38"/>
  <c r="T116" i="38" s="1"/>
  <c r="U116" i="38" s="1"/>
  <c r="S284" i="38"/>
  <c r="T284" i="38" s="1"/>
  <c r="U284" i="38" s="1"/>
  <c r="S285" i="38"/>
  <c r="T285" i="38" s="1"/>
  <c r="U285" i="38" s="1"/>
  <c r="S277" i="38"/>
  <c r="T277" i="38" s="1"/>
  <c r="U277" i="38" s="1"/>
  <c r="S80" i="38"/>
  <c r="T80" i="38" s="1"/>
  <c r="U80" i="38" s="1"/>
  <c r="S303" i="38"/>
  <c r="T303" i="38" s="1"/>
  <c r="U303" i="38" s="1"/>
  <c r="S118" i="38"/>
  <c r="T118" i="38" s="1"/>
  <c r="U118" i="38" s="1"/>
  <c r="S212" i="38"/>
  <c r="T212" i="38" s="1"/>
  <c r="U212" i="38" s="1"/>
  <c r="S136" i="38"/>
  <c r="T136" i="38" s="1"/>
  <c r="U136" i="38" s="1"/>
  <c r="S315" i="38"/>
  <c r="T315" i="38" s="1"/>
  <c r="U315" i="38" s="1"/>
  <c r="S203" i="38"/>
  <c r="T203" i="38" s="1"/>
  <c r="U203" i="38" s="1"/>
  <c r="S311" i="38"/>
  <c r="T311" i="38" s="1"/>
  <c r="U311" i="38" s="1"/>
  <c r="S225" i="38"/>
  <c r="T225" i="38" s="1"/>
  <c r="U225" i="38" s="1"/>
  <c r="S245" i="38"/>
  <c r="T245" i="38" s="1"/>
  <c r="U245" i="38" s="1"/>
  <c r="S256" i="38"/>
  <c r="T256" i="38" s="1"/>
  <c r="U256" i="38" s="1"/>
  <c r="S155" i="38"/>
  <c r="T155" i="38" s="1"/>
  <c r="U155" i="38" s="1"/>
  <c r="S223" i="38"/>
  <c r="T223" i="38" s="1"/>
  <c r="U223" i="38" s="1"/>
  <c r="S226" i="38"/>
  <c r="T226" i="38" s="1"/>
  <c r="U226" i="38" s="1"/>
  <c r="S249" i="38"/>
  <c r="T249" i="38" s="1"/>
  <c r="U249" i="38" s="1"/>
  <c r="S148" i="38"/>
  <c r="T148" i="38" s="1"/>
  <c r="U148" i="38" s="1"/>
  <c r="S235" i="38"/>
  <c r="T235" i="38" s="1"/>
  <c r="U235" i="38" s="1"/>
  <c r="S183" i="38"/>
  <c r="T183" i="38" s="1"/>
  <c r="U183" i="38" s="1"/>
  <c r="S126" i="38"/>
  <c r="T126" i="38" s="1"/>
  <c r="U126" i="38" s="1"/>
  <c r="S177" i="38"/>
  <c r="T177" i="38" s="1"/>
  <c r="U177" i="38" s="1"/>
  <c r="S310" i="38"/>
  <c r="T310" i="38" s="1"/>
  <c r="U310" i="38" s="1"/>
  <c r="S115" i="38"/>
  <c r="T115" i="38" s="1"/>
  <c r="U115" i="38" s="1"/>
  <c r="S160" i="38"/>
  <c r="T160" i="38" s="1"/>
  <c r="U160" i="38" s="1"/>
  <c r="S208" i="38"/>
  <c r="T208" i="38" s="1"/>
  <c r="U208" i="38" s="1"/>
  <c r="S63" i="38"/>
  <c r="T63" i="38" s="1"/>
  <c r="U63" i="38" s="1"/>
  <c r="S106" i="38"/>
  <c r="T106" i="38" s="1"/>
  <c r="U106" i="38" s="1"/>
  <c r="S207" i="38"/>
  <c r="T207" i="38" s="1"/>
  <c r="U207" i="38" s="1"/>
  <c r="S125" i="38"/>
  <c r="T125" i="38" s="1"/>
  <c r="U125" i="38" s="1"/>
  <c r="S140" i="38"/>
  <c r="T140" i="38" s="1"/>
  <c r="U140" i="38" s="1"/>
  <c r="S57" i="38"/>
  <c r="T57" i="38" s="1"/>
  <c r="U57" i="38" s="1"/>
  <c r="S181" i="38"/>
  <c r="T181" i="38" s="1"/>
  <c r="U181" i="38" s="1"/>
  <c r="S112" i="38"/>
  <c r="T112" i="38" s="1"/>
  <c r="U112" i="38" s="1"/>
  <c r="S289" i="38"/>
  <c r="T289" i="38" s="1"/>
  <c r="U289" i="38" s="1"/>
  <c r="S163" i="38"/>
  <c r="T163" i="38" s="1"/>
  <c r="U163" i="38" s="1"/>
  <c r="S267" i="38"/>
  <c r="T267" i="38" s="1"/>
  <c r="U267" i="38" s="1"/>
  <c r="S37" i="38"/>
  <c r="T37" i="38" s="1"/>
  <c r="U37" i="38" s="1"/>
  <c r="S191" i="38"/>
  <c r="T191" i="38" s="1"/>
  <c r="U191" i="38" s="1"/>
  <c r="S48" i="38"/>
  <c r="T48" i="38" s="1"/>
  <c r="U48" i="38" s="1"/>
  <c r="S108" i="38"/>
  <c r="T108" i="38" s="1"/>
  <c r="U108" i="38" s="1"/>
  <c r="S195" i="38"/>
  <c r="T195" i="38" s="1"/>
  <c r="U195" i="38" s="1"/>
  <c r="S240" i="38"/>
  <c r="T240" i="38" s="1"/>
  <c r="U240" i="38" s="1"/>
  <c r="S132" i="38"/>
  <c r="T132" i="38" s="1"/>
  <c r="U132" i="38" s="1"/>
  <c r="S308" i="38"/>
  <c r="T308" i="38" s="1"/>
  <c r="U308" i="38" s="1"/>
  <c r="S188" i="38"/>
  <c r="T188" i="38" s="1"/>
  <c r="U188" i="38" s="1"/>
  <c r="S82" i="38"/>
  <c r="T82" i="38" s="1"/>
  <c r="U82" i="38" s="1"/>
  <c r="S233" i="38"/>
  <c r="T233" i="38" s="1"/>
  <c r="U233" i="38" s="1"/>
  <c r="S199" i="38"/>
  <c r="T199" i="38" s="1"/>
  <c r="U199" i="38" s="1"/>
  <c r="S309" i="38"/>
  <c r="T309" i="38" s="1"/>
  <c r="U309" i="38" s="1"/>
  <c r="S202" i="38"/>
  <c r="T202" i="38" s="1"/>
  <c r="U202" i="38" s="1"/>
  <c r="S130" i="38"/>
  <c r="T130" i="38" s="1"/>
  <c r="U130" i="38" s="1"/>
  <c r="S19" i="38"/>
  <c r="T19" i="38" s="1"/>
  <c r="U19" i="38" s="1"/>
  <c r="S74" i="38"/>
  <c r="T74" i="38" s="1"/>
  <c r="U74" i="38" s="1"/>
  <c r="S54" i="38"/>
  <c r="T54" i="38" s="1"/>
  <c r="U54" i="38" s="1"/>
  <c r="S15" i="38"/>
  <c r="T15" i="38" s="1"/>
  <c r="U15" i="38" s="1"/>
  <c r="S13" i="38"/>
  <c r="T13" i="38" s="1"/>
  <c r="U13" i="38" s="1"/>
  <c r="S274" i="38"/>
  <c r="T274" i="38" s="1"/>
  <c r="U274" i="38" s="1"/>
  <c r="S55" i="38"/>
  <c r="T55" i="38" s="1"/>
  <c r="U55" i="38" s="1"/>
  <c r="S62" i="38"/>
  <c r="T62" i="38" s="1"/>
  <c r="U62" i="38" s="1"/>
  <c r="S129" i="38"/>
  <c r="T129" i="38" s="1"/>
  <c r="U129" i="38" s="1"/>
  <c r="S182" i="38"/>
  <c r="T182" i="38" s="1"/>
  <c r="U182" i="38" s="1"/>
  <c r="S73" i="38"/>
  <c r="T73" i="38" s="1"/>
  <c r="U73" i="38" s="1"/>
  <c r="S124" i="38"/>
  <c r="T124" i="38" s="1"/>
  <c r="U124" i="38" s="1"/>
  <c r="S36" i="38"/>
  <c r="T36" i="38" s="1"/>
  <c r="U36" i="38" s="1"/>
  <c r="S90" i="38"/>
  <c r="T90" i="38" s="1"/>
  <c r="U90" i="38" s="1"/>
  <c r="S268" i="38"/>
  <c r="T268" i="38" s="1"/>
  <c r="U268" i="38" s="1"/>
  <c r="S79" i="38"/>
  <c r="T79" i="38" s="1"/>
  <c r="U79" i="38" s="1"/>
  <c r="S305" i="38"/>
  <c r="T305" i="38" s="1"/>
  <c r="U305" i="38" s="1"/>
  <c r="S25" i="38"/>
  <c r="T25" i="38" s="1"/>
  <c r="U25" i="38" s="1"/>
  <c r="S16" i="38"/>
  <c r="T16" i="38" s="1"/>
  <c r="U16" i="38" s="1"/>
  <c r="S271" i="38"/>
  <c r="T271" i="38" s="1"/>
  <c r="U271" i="38" s="1"/>
  <c r="S145" i="38"/>
  <c r="T145" i="38" s="1"/>
  <c r="U145" i="38" s="1"/>
  <c r="S276" i="38"/>
  <c r="T276" i="38" s="1"/>
  <c r="U276" i="38" s="1"/>
  <c r="S32" i="38"/>
  <c r="T32" i="38" s="1"/>
  <c r="U32" i="38" s="1"/>
  <c r="S247" i="38"/>
  <c r="T247" i="38" s="1"/>
  <c r="U247" i="38" s="1"/>
  <c r="S187" i="38"/>
  <c r="T187" i="38" s="1"/>
  <c r="U187" i="38" s="1"/>
  <c r="S241" i="38"/>
  <c r="T241" i="38" s="1"/>
  <c r="U241" i="38" s="1"/>
  <c r="S49" i="38"/>
  <c r="T49" i="38" s="1"/>
  <c r="U49" i="38" s="1"/>
  <c r="S131" i="38"/>
  <c r="T131" i="38" s="1"/>
  <c r="U131" i="38" s="1"/>
  <c r="S281" i="38"/>
  <c r="T281" i="38" s="1"/>
  <c r="U281" i="38" s="1"/>
  <c r="S171" i="38"/>
  <c r="T171" i="38" s="1"/>
  <c r="U171" i="38" s="1"/>
  <c r="S35" i="38"/>
  <c r="T35" i="38" s="1"/>
  <c r="U35" i="38" s="1"/>
  <c r="S31" i="38"/>
  <c r="T31" i="38" s="1"/>
  <c r="U31" i="38" s="1"/>
  <c r="S110" i="38"/>
  <c r="T110" i="38" s="1"/>
  <c r="U110" i="38" s="1"/>
  <c r="S173" i="38"/>
  <c r="T173" i="38" s="1"/>
  <c r="U173" i="38" s="1"/>
  <c r="S146" i="38"/>
  <c r="T146" i="38" s="1"/>
  <c r="U146" i="38" s="1"/>
  <c r="S26" i="38"/>
  <c r="T26" i="38" s="1"/>
  <c r="U26" i="38" s="1"/>
  <c r="S264" i="38"/>
  <c r="T264" i="38" s="1"/>
  <c r="U264" i="38" s="1"/>
  <c r="S44" i="38"/>
  <c r="T44" i="38" s="1"/>
  <c r="U44" i="38" s="1"/>
  <c r="S121" i="38"/>
  <c r="T121" i="38" s="1"/>
  <c r="U121" i="38" s="1"/>
  <c r="S176" i="38"/>
  <c r="T176" i="38" s="1"/>
  <c r="U176" i="38" s="1"/>
  <c r="S21" i="38"/>
  <c r="T21" i="38" s="1"/>
  <c r="U21" i="38" s="1"/>
  <c r="S166" i="38"/>
  <c r="T166" i="38" s="1"/>
  <c r="U166" i="38" s="1"/>
  <c r="S314" i="38"/>
  <c r="T314" i="38" s="1"/>
  <c r="U314" i="38" s="1"/>
  <c r="S28" i="38"/>
  <c r="T28" i="38" s="1"/>
  <c r="U28" i="38" s="1"/>
  <c r="S150" i="38"/>
  <c r="T150" i="38" s="1"/>
  <c r="U150" i="38" s="1"/>
  <c r="S156" i="38"/>
  <c r="T156" i="38" s="1"/>
  <c r="U156" i="38" s="1"/>
  <c r="S232" i="38"/>
  <c r="T232" i="38" s="1"/>
  <c r="U232" i="38" s="1"/>
  <c r="S143" i="38"/>
  <c r="T143" i="38" s="1"/>
  <c r="U143" i="38" s="1"/>
  <c r="S278" i="38"/>
  <c r="T278" i="38" s="1"/>
  <c r="U278" i="38" s="1"/>
  <c r="S117" i="38"/>
  <c r="T117" i="38" s="1"/>
  <c r="U117" i="38" s="1"/>
  <c r="S83" i="38"/>
  <c r="T83" i="38" s="1"/>
  <c r="U83" i="38" s="1"/>
  <c r="S296" i="38"/>
  <c r="T296" i="38" s="1"/>
  <c r="U296" i="38" s="1"/>
  <c r="S178" i="38"/>
  <c r="T178" i="38" s="1"/>
  <c r="U178" i="38" s="1"/>
  <c r="S120" i="38"/>
  <c r="T120" i="38" s="1"/>
  <c r="U120" i="38" s="1"/>
  <c r="S242" i="38"/>
  <c r="T242" i="38" s="1"/>
  <c r="U242" i="38" s="1"/>
  <c r="S238" i="38"/>
  <c r="T238" i="38" s="1"/>
  <c r="U238" i="38" s="1"/>
  <c r="S122" i="38"/>
  <c r="T122" i="38" s="1"/>
  <c r="U122" i="38" s="1"/>
  <c r="S201" i="38"/>
  <c r="T201" i="38" s="1"/>
  <c r="U201" i="38" s="1"/>
  <c r="S86" i="38"/>
  <c r="T86" i="38" s="1"/>
  <c r="U86" i="38" s="1"/>
  <c r="S246" i="38"/>
  <c r="T246" i="38" s="1"/>
  <c r="U246" i="38" s="1"/>
  <c r="S263" i="38"/>
  <c r="T263" i="38" s="1"/>
  <c r="U263" i="38" s="1"/>
  <c r="S273" i="38"/>
  <c r="T273" i="38" s="1"/>
  <c r="U273" i="38" s="1"/>
  <c r="S91" i="38"/>
  <c r="T91" i="38" s="1"/>
  <c r="U91" i="38" s="1"/>
  <c r="S252" i="38"/>
  <c r="T252" i="38" s="1"/>
  <c r="U252" i="38" s="1"/>
  <c r="S282" i="38"/>
  <c r="T282" i="38" s="1"/>
  <c r="U282" i="38" s="1"/>
  <c r="S14" i="38"/>
  <c r="T14" i="38" s="1"/>
  <c r="U14" i="38" s="1"/>
  <c r="S104" i="38"/>
  <c r="T104" i="38" s="1"/>
  <c r="U104" i="38" s="1"/>
  <c r="S93" i="38"/>
  <c r="T93" i="38" s="1"/>
  <c r="U93" i="38" s="1"/>
  <c r="S151" i="38"/>
  <c r="T151" i="38" s="1"/>
  <c r="U151" i="38" s="1"/>
  <c r="S197" i="38"/>
  <c r="T197" i="38" s="1"/>
  <c r="U197" i="38" s="1"/>
  <c r="S94" i="38"/>
  <c r="T94" i="38" s="1"/>
  <c r="U94" i="38" s="1"/>
  <c r="S234" i="38"/>
  <c r="T234" i="38" s="1"/>
  <c r="U234" i="38" s="1"/>
  <c r="S295" i="38"/>
  <c r="T295" i="38" s="1"/>
  <c r="U295" i="38" s="1"/>
  <c r="S230" i="38"/>
  <c r="T230" i="38" s="1"/>
  <c r="U230" i="38" s="1"/>
  <c r="S72" i="38"/>
  <c r="T72" i="38" s="1"/>
  <c r="U72" i="38" s="1"/>
  <c r="S65" i="38"/>
  <c r="T65" i="38" s="1"/>
  <c r="U65" i="38" s="1"/>
  <c r="S158" i="38"/>
  <c r="T158" i="38" s="1"/>
  <c r="U158" i="38" s="1"/>
  <c r="S100" i="38"/>
  <c r="T100" i="38" s="1"/>
  <c r="U100" i="38" s="1"/>
  <c r="S67" i="38"/>
  <c r="T67" i="38" s="1"/>
  <c r="U67" i="38" s="1"/>
  <c r="S56" i="38"/>
  <c r="T56" i="38" s="1"/>
  <c r="U56" i="38" s="1"/>
  <c r="S41" i="38"/>
  <c r="T41" i="38" s="1"/>
  <c r="U41" i="38" s="1"/>
  <c r="S283" i="38"/>
  <c r="T283" i="38" s="1"/>
  <c r="U283" i="38" s="1"/>
  <c r="S138" i="38"/>
  <c r="T138" i="38" s="1"/>
  <c r="U138" i="38" s="1"/>
  <c r="S198" i="38"/>
  <c r="T198" i="38" s="1"/>
  <c r="U198" i="38" s="1"/>
  <c r="S192" i="38"/>
  <c r="T192" i="38" s="1"/>
  <c r="U192" i="38" s="1"/>
  <c r="S81" i="38"/>
  <c r="T81" i="38" s="1"/>
  <c r="U81" i="38" s="1"/>
  <c r="S89" i="38"/>
  <c r="T89" i="38" s="1"/>
  <c r="U89" i="38" s="1"/>
  <c r="S244" i="38"/>
  <c r="T244" i="38" s="1"/>
  <c r="U244" i="38" s="1"/>
  <c r="S291" i="38"/>
  <c r="T291" i="38" s="1"/>
  <c r="U291" i="38" s="1"/>
  <c r="S101" i="38"/>
  <c r="T101" i="38" s="1"/>
  <c r="U101" i="38" s="1"/>
  <c r="S294" i="38"/>
  <c r="T294" i="38" s="1"/>
  <c r="U294" i="38" s="1"/>
  <c r="S105" i="38"/>
  <c r="T105" i="38" s="1"/>
  <c r="U105" i="38" s="1"/>
  <c r="S251" i="38"/>
  <c r="T251" i="38" s="1"/>
  <c r="U251" i="38" s="1"/>
  <c r="S224" i="38"/>
  <c r="T224" i="38" s="1"/>
  <c r="U224" i="38" s="1"/>
  <c r="S261" i="38"/>
  <c r="T261" i="38" s="1"/>
  <c r="U261" i="38" s="1"/>
  <c r="S6" i="38"/>
  <c r="T6" i="38" s="1"/>
  <c r="U6" i="38" s="1"/>
  <c r="S153" i="38"/>
  <c r="T153" i="38" s="1"/>
  <c r="U153" i="38" s="1"/>
  <c r="S189" i="38"/>
  <c r="T189" i="38" s="1"/>
  <c r="U189" i="38" s="1"/>
  <c r="S157" i="38"/>
  <c r="T157" i="38" s="1"/>
  <c r="U157" i="38" s="1"/>
  <c r="S139" i="38"/>
  <c r="T139" i="38" s="1"/>
  <c r="U139" i="38" s="1"/>
  <c r="S222" i="38"/>
  <c r="T222" i="38" s="1"/>
  <c r="U222" i="38" s="1"/>
  <c r="S60" i="38"/>
  <c r="T60" i="38" s="1"/>
  <c r="U60" i="38" s="1"/>
  <c r="S179" i="38"/>
  <c r="T179" i="38" s="1"/>
  <c r="U179" i="38" s="1"/>
  <c r="S262" i="38"/>
  <c r="T262" i="38" s="1"/>
  <c r="U262" i="38" s="1"/>
  <c r="S185" i="38"/>
  <c r="T185" i="38" s="1"/>
  <c r="U185" i="38" s="1"/>
  <c r="S316" i="38"/>
  <c r="T316" i="38" s="1"/>
  <c r="U316" i="38" s="1"/>
  <c r="S109" i="38"/>
  <c r="T109" i="38" s="1"/>
  <c r="U109" i="38" s="1"/>
  <c r="S227" i="38"/>
  <c r="T227" i="38" s="1"/>
  <c r="U227" i="38" s="1"/>
  <c r="S298" i="38"/>
  <c r="T298" i="38" s="1"/>
  <c r="U298" i="38" s="1"/>
  <c r="S92" i="38"/>
  <c r="T92" i="38" s="1"/>
  <c r="U92" i="38" s="1"/>
  <c r="S258" i="38"/>
  <c r="T258" i="38" s="1"/>
  <c r="U258" i="38" s="1"/>
  <c r="S50" i="38"/>
  <c r="T50" i="38" s="1"/>
  <c r="U50" i="38" s="1"/>
  <c r="S137" i="38"/>
  <c r="T137" i="38" s="1"/>
  <c r="U137" i="38" s="1"/>
  <c r="S96" i="38"/>
  <c r="T96" i="38" s="1"/>
  <c r="U96" i="38" s="1"/>
  <c r="S213" i="38"/>
  <c r="T213" i="38" s="1"/>
  <c r="U213" i="38" s="1"/>
  <c r="S71" i="38"/>
  <c r="T71" i="38" s="1"/>
  <c r="U71" i="38" s="1"/>
  <c r="S287" i="38"/>
  <c r="T287" i="38" s="1"/>
  <c r="U287" i="38" s="1"/>
  <c r="S66" i="38"/>
  <c r="T66" i="38" s="1"/>
  <c r="U66" i="38" s="1"/>
  <c r="S144" i="38"/>
  <c r="T144" i="38" s="1"/>
  <c r="U144" i="38" s="1"/>
  <c r="S99" i="38"/>
  <c r="T99" i="38" s="1"/>
  <c r="U99" i="38" s="1"/>
  <c r="S68" i="38"/>
  <c r="T68" i="38" s="1"/>
  <c r="U68" i="38" s="1"/>
  <c r="S102" i="38"/>
  <c r="T102" i="38" s="1"/>
  <c r="U102" i="38" s="1"/>
  <c r="S272" i="38"/>
  <c r="T272" i="38" s="1"/>
  <c r="U272" i="38" s="1"/>
  <c r="S22" i="38"/>
  <c r="T22" i="38" s="1"/>
  <c r="U22" i="38" s="1"/>
  <c r="S312" i="38"/>
  <c r="T312" i="38" s="1"/>
  <c r="U312" i="38" s="1"/>
  <c r="S170" i="38"/>
  <c r="T170" i="38" s="1"/>
  <c r="U170" i="38" s="1"/>
  <c r="S210" i="38"/>
  <c r="T210" i="38" s="1"/>
  <c r="U210" i="38" s="1"/>
  <c r="S46" i="38"/>
  <c r="T46" i="38" s="1"/>
  <c r="U46" i="38" s="1"/>
  <c r="S254" i="38"/>
  <c r="T254" i="38" s="1"/>
  <c r="U254" i="38" s="1"/>
  <c r="S5" i="38"/>
  <c r="T5" i="38" s="1"/>
  <c r="U5" i="38" s="1"/>
  <c r="S59" i="38"/>
  <c r="T59" i="38" s="1"/>
  <c r="U59" i="38" s="1"/>
  <c r="S11" i="38"/>
  <c r="T11" i="38" s="1"/>
  <c r="U11" i="38" s="1"/>
  <c r="S165" i="38"/>
  <c r="T165" i="38" s="1"/>
  <c r="U165" i="38" s="1"/>
  <c r="S250" i="38"/>
  <c r="T250" i="38" s="1"/>
  <c r="U250" i="38" s="1"/>
  <c r="S18" i="38"/>
  <c r="T18" i="38" s="1"/>
  <c r="U18" i="38" s="1"/>
  <c r="S231" i="38"/>
  <c r="T231" i="38" s="1"/>
  <c r="U231" i="38" s="1"/>
  <c r="S175" i="38"/>
  <c r="T175" i="38" s="1"/>
  <c r="U175" i="38" s="1"/>
  <c r="S77" i="38"/>
  <c r="T77" i="38" s="1"/>
  <c r="U77" i="38" s="1"/>
  <c r="S87" i="38"/>
  <c r="T87" i="38" s="1"/>
  <c r="U87" i="38" s="1"/>
  <c r="S20" i="38"/>
  <c r="T20" i="38" s="1"/>
  <c r="U20" i="38" s="1"/>
  <c r="S53" i="38"/>
  <c r="T53" i="38" s="1"/>
  <c r="U53" i="38" s="1"/>
  <c r="S51" i="38"/>
  <c r="T51" i="38" s="1"/>
  <c r="U51" i="38" s="1"/>
  <c r="S220" i="38"/>
  <c r="T220" i="38" s="1"/>
  <c r="U220" i="38" s="1"/>
  <c r="S275" i="38"/>
  <c r="T275" i="38" s="1"/>
  <c r="U275" i="38" s="1"/>
  <c r="S209" i="38"/>
  <c r="T209" i="38" s="1"/>
  <c r="U209" i="38" s="1"/>
  <c r="S211" i="38"/>
  <c r="T211" i="38" s="1"/>
  <c r="U211" i="38" s="1"/>
  <c r="S154" i="38"/>
  <c r="T154" i="38" s="1"/>
  <c r="U154" i="38" s="1"/>
  <c r="S229" i="38"/>
  <c r="T229" i="38" s="1"/>
  <c r="U229" i="38" s="1"/>
  <c r="S24" i="38"/>
  <c r="T24" i="38" s="1"/>
  <c r="U24" i="38" s="1"/>
  <c r="S135" i="38"/>
  <c r="T135" i="38" s="1"/>
  <c r="U135" i="38" s="1"/>
  <c r="S186" i="38"/>
  <c r="T186" i="38" s="1"/>
  <c r="U186" i="38" s="1"/>
  <c r="S78" i="38"/>
  <c r="T78" i="38" s="1"/>
  <c r="U78" i="38" s="1"/>
  <c r="S302" i="38"/>
  <c r="T302" i="38" s="1"/>
  <c r="U302" i="38" s="1"/>
  <c r="S237" i="38"/>
  <c r="T237" i="38" s="1"/>
  <c r="U237" i="38" s="1"/>
  <c r="S141" i="38"/>
  <c r="T141" i="38" s="1"/>
  <c r="U141" i="38" s="1"/>
  <c r="S119" i="38"/>
  <c r="T119" i="38" s="1"/>
  <c r="U119" i="38" s="1"/>
  <c r="S180" i="38"/>
  <c r="T180" i="38" s="1"/>
  <c r="U180" i="38" s="1"/>
  <c r="S107" i="38"/>
  <c r="T107" i="38" s="1"/>
  <c r="U107" i="38" s="1"/>
  <c r="S219" i="38"/>
  <c r="T219" i="38" s="1"/>
  <c r="U219" i="38" s="1"/>
  <c r="S260" i="38"/>
  <c r="T260" i="38" s="1"/>
  <c r="U260" i="38" s="1"/>
  <c r="S76" i="38"/>
  <c r="T76" i="38" s="1"/>
  <c r="U76" i="38" s="1"/>
  <c r="S190" i="38"/>
  <c r="T190" i="38" s="1"/>
  <c r="U190" i="38" s="1"/>
  <c r="S253" i="38"/>
  <c r="T253" i="38" s="1"/>
  <c r="U253" i="38" s="1"/>
  <c r="S236" i="38"/>
  <c r="T236" i="38" s="1"/>
  <c r="U236" i="38" s="1"/>
  <c r="S167" i="38"/>
  <c r="T167" i="38" s="1"/>
  <c r="U167" i="38" s="1"/>
  <c r="S279" i="38"/>
  <c r="T279" i="38" s="1"/>
  <c r="U279" i="38" s="1"/>
  <c r="S290" i="38"/>
  <c r="T290" i="38" s="1"/>
  <c r="U290" i="38" s="1"/>
  <c r="S97" i="38"/>
  <c r="T97" i="38" s="1"/>
  <c r="U97" i="38" s="1"/>
  <c r="S45" i="38"/>
  <c r="T45" i="38" s="1"/>
  <c r="U45" i="38" s="1"/>
  <c r="S293" i="38"/>
  <c r="T293" i="38" s="1"/>
  <c r="U293" i="38" s="1"/>
  <c r="S47" i="38"/>
  <c r="T47" i="38" s="1"/>
  <c r="U47" i="38" s="1"/>
  <c r="S134" i="38"/>
  <c r="T134" i="38" s="1"/>
  <c r="U134" i="38" s="1"/>
  <c r="S70" i="38"/>
  <c r="T70" i="38" s="1"/>
  <c r="U70" i="38" s="1"/>
  <c r="S9" i="38"/>
  <c r="T9" i="38" s="1"/>
  <c r="U9" i="38" s="1"/>
  <c r="S149" i="38"/>
  <c r="T149" i="38" s="1"/>
  <c r="U149" i="38" s="1"/>
  <c r="S61" i="38"/>
  <c r="T61" i="38" s="1"/>
  <c r="U61" i="38" s="1"/>
  <c r="S259" i="38"/>
  <c r="T259" i="38" s="1"/>
  <c r="U259" i="38" s="1"/>
  <c r="S184" i="38"/>
  <c r="T184" i="38" s="1"/>
  <c r="U184" i="38" s="1"/>
  <c r="S17" i="38"/>
  <c r="T17" i="38" s="1"/>
  <c r="U17" i="38" s="1"/>
  <c r="S29" i="38"/>
  <c r="T29" i="38" s="1"/>
  <c r="U29" i="38" s="1"/>
  <c r="S255" i="38"/>
  <c r="T255" i="38" s="1"/>
  <c r="U255" i="38" s="1"/>
  <c r="S270" i="38"/>
  <c r="T270" i="38" s="1"/>
  <c r="U270" i="38" s="1"/>
  <c r="S307" i="38"/>
  <c r="T307" i="38" s="1"/>
  <c r="U307" i="38" s="1"/>
  <c r="S301" i="38"/>
  <c r="T301" i="38" s="1"/>
  <c r="U301" i="38" s="1"/>
  <c r="S248" i="38"/>
  <c r="T248" i="38" s="1"/>
  <c r="U248" i="38" s="1"/>
  <c r="S300" i="38"/>
  <c r="T300" i="38" s="1"/>
  <c r="U300" i="38" s="1"/>
  <c r="S74" i="37"/>
  <c r="T74" i="37" s="1"/>
  <c r="U74" i="37" s="1"/>
  <c r="S307" i="37"/>
  <c r="T307" i="37" s="1"/>
  <c r="U307" i="37" s="1"/>
  <c r="S224" i="37"/>
  <c r="T224" i="37" s="1"/>
  <c r="U224" i="37" s="1"/>
  <c r="S85" i="37"/>
  <c r="T85" i="37" s="1"/>
  <c r="U85" i="37" s="1"/>
  <c r="S275" i="37"/>
  <c r="T275" i="37" s="1"/>
  <c r="U275" i="37" s="1"/>
  <c r="S169" i="37"/>
  <c r="T169" i="37" s="1"/>
  <c r="U169" i="37" s="1"/>
  <c r="S29" i="37"/>
  <c r="T29" i="37" s="1"/>
  <c r="U29" i="37" s="1"/>
  <c r="S190" i="37"/>
  <c r="T190" i="37" s="1"/>
  <c r="U190" i="37" s="1"/>
  <c r="S59" i="37"/>
  <c r="T59" i="37" s="1"/>
  <c r="U59" i="37" s="1"/>
  <c r="S313" i="37"/>
  <c r="T313" i="37" s="1"/>
  <c r="U313" i="37" s="1"/>
  <c r="S127" i="37"/>
  <c r="T127" i="37" s="1"/>
  <c r="U127" i="37" s="1"/>
  <c r="S20" i="37"/>
  <c r="T20" i="37" s="1"/>
  <c r="U20" i="37" s="1"/>
  <c r="S132" i="37"/>
  <c r="T132" i="37" s="1"/>
  <c r="U132" i="37" s="1"/>
  <c r="S130" i="37"/>
  <c r="T130" i="37" s="1"/>
  <c r="U130" i="37" s="1"/>
  <c r="S241" i="37"/>
  <c r="T241" i="37" s="1"/>
  <c r="U241" i="37" s="1"/>
  <c r="S49" i="37"/>
  <c r="T49" i="37" s="1"/>
  <c r="U49" i="37" s="1"/>
  <c r="S276" i="37"/>
  <c r="T276" i="37" s="1"/>
  <c r="U276" i="37" s="1"/>
  <c r="S136" i="37"/>
  <c r="T136" i="37" s="1"/>
  <c r="U136" i="37" s="1"/>
  <c r="S181" i="37"/>
  <c r="T181" i="37" s="1"/>
  <c r="U181" i="37" s="1"/>
  <c r="S129" i="37"/>
  <c r="T129" i="37" s="1"/>
  <c r="U129" i="37" s="1"/>
  <c r="S178" i="37"/>
  <c r="T178" i="37" s="1"/>
  <c r="U178" i="37" s="1"/>
  <c r="S141" i="37"/>
  <c r="T141" i="37" s="1"/>
  <c r="U141" i="37" s="1"/>
  <c r="S12" i="37"/>
  <c r="T12" i="37" s="1"/>
  <c r="U12" i="37" s="1"/>
  <c r="S177" i="37"/>
  <c r="T177" i="37" s="1"/>
  <c r="U177" i="37" s="1"/>
  <c r="S306" i="37"/>
  <c r="T306" i="37" s="1"/>
  <c r="U306" i="37" s="1"/>
  <c r="S294" i="37"/>
  <c r="T294" i="37" s="1"/>
  <c r="U294" i="37" s="1"/>
  <c r="S164" i="37"/>
  <c r="T164" i="37" s="1"/>
  <c r="U164" i="37" s="1"/>
  <c r="S35" i="37"/>
  <c r="T35" i="37" s="1"/>
  <c r="U35" i="37" s="1"/>
  <c r="S152" i="37"/>
  <c r="T152" i="37" s="1"/>
  <c r="U152" i="37" s="1"/>
  <c r="S218" i="37"/>
  <c r="T218" i="37" s="1"/>
  <c r="U218" i="37" s="1"/>
  <c r="S144" i="37"/>
  <c r="T144" i="37" s="1"/>
  <c r="U144" i="37" s="1"/>
  <c r="S118" i="37"/>
  <c r="T118" i="37" s="1"/>
  <c r="U118" i="37" s="1"/>
  <c r="S161" i="37"/>
  <c r="T161" i="37" s="1"/>
  <c r="U161" i="37" s="1"/>
  <c r="S106" i="37"/>
  <c r="T106" i="37" s="1"/>
  <c r="U106" i="37" s="1"/>
  <c r="S281" i="37"/>
  <c r="T281" i="37" s="1"/>
  <c r="U281" i="37" s="1"/>
  <c r="S134" i="37"/>
  <c r="T134" i="37" s="1"/>
  <c r="U134" i="37" s="1"/>
  <c r="S75" i="37"/>
  <c r="T75" i="37" s="1"/>
  <c r="U75" i="37" s="1"/>
  <c r="S304" i="37"/>
  <c r="T304" i="37" s="1"/>
  <c r="U304" i="37" s="1"/>
  <c r="S259" i="37"/>
  <c r="T259" i="37" s="1"/>
  <c r="U259" i="37" s="1"/>
  <c r="S42" i="37"/>
  <c r="T42" i="37" s="1"/>
  <c r="U42" i="37" s="1"/>
  <c r="S71" i="37"/>
  <c r="T71" i="37" s="1"/>
  <c r="U71" i="37" s="1"/>
  <c r="S228" i="37"/>
  <c r="T228" i="37" s="1"/>
  <c r="U228" i="37" s="1"/>
  <c r="S33" i="37"/>
  <c r="T33" i="37" s="1"/>
  <c r="U33" i="37" s="1"/>
  <c r="S73" i="37"/>
  <c r="T73" i="37" s="1"/>
  <c r="U73" i="37" s="1"/>
  <c r="S215" i="37"/>
  <c r="T215" i="37" s="1"/>
  <c r="U215" i="37" s="1"/>
  <c r="S297" i="37"/>
  <c r="T297" i="37" s="1"/>
  <c r="U297" i="37" s="1"/>
  <c r="S153" i="37"/>
  <c r="T153" i="37" s="1"/>
  <c r="U153" i="37" s="1"/>
  <c r="S264" i="37"/>
  <c r="T264" i="37" s="1"/>
  <c r="U264" i="37" s="1"/>
  <c r="S165" i="37"/>
  <c r="T165" i="37" s="1"/>
  <c r="U165" i="37" s="1"/>
  <c r="S188" i="37"/>
  <c r="T188" i="37" s="1"/>
  <c r="U188" i="37" s="1"/>
  <c r="S174" i="37"/>
  <c r="T174" i="37" s="1"/>
  <c r="U174" i="37" s="1"/>
  <c r="S125" i="37"/>
  <c r="T125" i="37" s="1"/>
  <c r="U125" i="37" s="1"/>
  <c r="S221" i="37"/>
  <c r="T221" i="37" s="1"/>
  <c r="U221" i="37" s="1"/>
  <c r="S70" i="37"/>
  <c r="T70" i="37" s="1"/>
  <c r="U70" i="37" s="1"/>
  <c r="S105" i="37"/>
  <c r="T105" i="37" s="1"/>
  <c r="U105" i="37" s="1"/>
  <c r="S91" i="37"/>
  <c r="T91" i="37" s="1"/>
  <c r="U91" i="37" s="1"/>
  <c r="S247" i="37"/>
  <c r="T247" i="37" s="1"/>
  <c r="U247" i="37" s="1"/>
  <c r="S289" i="37"/>
  <c r="T289" i="37" s="1"/>
  <c r="U289" i="37" s="1"/>
  <c r="S219" i="37"/>
  <c r="T219" i="37" s="1"/>
  <c r="U219" i="37" s="1"/>
  <c r="S6" i="37"/>
  <c r="T6" i="37" s="1"/>
  <c r="U6" i="37" s="1"/>
  <c r="S269" i="37"/>
  <c r="T269" i="37" s="1"/>
  <c r="U269" i="37" s="1"/>
  <c r="S24" i="37"/>
  <c r="T24" i="37" s="1"/>
  <c r="U24" i="37" s="1"/>
  <c r="S96" i="37"/>
  <c r="T96" i="37" s="1"/>
  <c r="U96" i="37" s="1"/>
  <c r="S51" i="37"/>
  <c r="T51" i="37" s="1"/>
  <c r="U51" i="37" s="1"/>
  <c r="S162" i="37"/>
  <c r="T162" i="37" s="1"/>
  <c r="U162" i="37" s="1"/>
  <c r="S256" i="37"/>
  <c r="T256" i="37" s="1"/>
  <c r="U256" i="37" s="1"/>
  <c r="S285" i="37"/>
  <c r="T285" i="37" s="1"/>
  <c r="U285" i="37" s="1"/>
  <c r="S184" i="37"/>
  <c r="T184" i="37" s="1"/>
  <c r="U184" i="37" s="1"/>
  <c r="S148" i="37"/>
  <c r="T148" i="37" s="1"/>
  <c r="U148" i="37" s="1"/>
  <c r="S115" i="37"/>
  <c r="T115" i="37" s="1"/>
  <c r="U115" i="37" s="1"/>
  <c r="S160" i="37"/>
  <c r="T160" i="37" s="1"/>
  <c r="U160" i="37" s="1"/>
  <c r="S61" i="37"/>
  <c r="T61" i="37" s="1"/>
  <c r="U61" i="37" s="1"/>
  <c r="S94" i="37"/>
  <c r="T94" i="37" s="1"/>
  <c r="U94" i="37" s="1"/>
  <c r="S254" i="37"/>
  <c r="T254" i="37" s="1"/>
  <c r="U254" i="37" s="1"/>
  <c r="S13" i="37"/>
  <c r="T13" i="37" s="1"/>
  <c r="U13" i="37" s="1"/>
  <c r="S194" i="37"/>
  <c r="T194" i="37" s="1"/>
  <c r="U194" i="37" s="1"/>
  <c r="S155" i="37"/>
  <c r="T155" i="37" s="1"/>
  <c r="U155" i="37" s="1"/>
  <c r="S309" i="37"/>
  <c r="T309" i="37" s="1"/>
  <c r="U309" i="37" s="1"/>
  <c r="S237" i="37"/>
  <c r="T237" i="37" s="1"/>
  <c r="U237" i="37" s="1"/>
  <c r="S311" i="37"/>
  <c r="T311" i="37" s="1"/>
  <c r="U311" i="37" s="1"/>
  <c r="S226" i="37"/>
  <c r="T226" i="37" s="1"/>
  <c r="U226" i="37" s="1"/>
  <c r="S139" i="37"/>
  <c r="T139" i="37" s="1"/>
  <c r="U139" i="37" s="1"/>
  <c r="S242" i="37"/>
  <c r="T242" i="37" s="1"/>
  <c r="U242" i="37" s="1"/>
  <c r="S186" i="37"/>
  <c r="T186" i="37" s="1"/>
  <c r="U186" i="37" s="1"/>
  <c r="S175" i="37"/>
  <c r="T175" i="37" s="1"/>
  <c r="U175" i="37" s="1"/>
  <c r="S47" i="37"/>
  <c r="T47" i="37" s="1"/>
  <c r="U47" i="37" s="1"/>
  <c r="S157" i="37"/>
  <c r="T157" i="37" s="1"/>
  <c r="U157" i="37" s="1"/>
  <c r="S300" i="37"/>
  <c r="T300" i="37" s="1"/>
  <c r="U300" i="37" s="1"/>
  <c r="S114" i="37"/>
  <c r="T114" i="37" s="1"/>
  <c r="U114" i="37" s="1"/>
  <c r="S154" i="37"/>
  <c r="T154" i="37" s="1"/>
  <c r="U154" i="37" s="1"/>
  <c r="S32" i="37"/>
  <c r="T32" i="37" s="1"/>
  <c r="U32" i="37" s="1"/>
  <c r="S193" i="37"/>
  <c r="T193" i="37" s="1"/>
  <c r="U193" i="37" s="1"/>
  <c r="S252" i="37"/>
  <c r="T252" i="37" s="1"/>
  <c r="U252" i="37" s="1"/>
  <c r="S98" i="37"/>
  <c r="T98" i="37" s="1"/>
  <c r="U98" i="37" s="1"/>
  <c r="S62" i="37"/>
  <c r="T62" i="37" s="1"/>
  <c r="U62" i="37" s="1"/>
  <c r="S196" i="37"/>
  <c r="T196" i="37" s="1"/>
  <c r="U196" i="37" s="1"/>
  <c r="S112" i="37"/>
  <c r="T112" i="37" s="1"/>
  <c r="U112" i="37" s="1"/>
  <c r="S308" i="37"/>
  <c r="T308" i="37" s="1"/>
  <c r="U308" i="37" s="1"/>
  <c r="S305" i="37"/>
  <c r="T305" i="37" s="1"/>
  <c r="U305" i="37" s="1"/>
  <c r="S117" i="37"/>
  <c r="T117" i="37" s="1"/>
  <c r="U117" i="37" s="1"/>
  <c r="S189" i="37"/>
  <c r="T189" i="37" s="1"/>
  <c r="U189" i="37" s="1"/>
  <c r="S111" i="37"/>
  <c r="T111" i="37" s="1"/>
  <c r="U111" i="37" s="1"/>
  <c r="S216" i="37"/>
  <c r="T216" i="37" s="1"/>
  <c r="U216" i="37" s="1"/>
  <c r="S235" i="37"/>
  <c r="T235" i="37" s="1"/>
  <c r="U235" i="37" s="1"/>
  <c r="S243" i="37"/>
  <c r="T243" i="37" s="1"/>
  <c r="U243" i="37" s="1"/>
  <c r="S30" i="37"/>
  <c r="T30" i="37" s="1"/>
  <c r="U30" i="37" s="1"/>
  <c r="S102" i="37"/>
  <c r="T102" i="37" s="1"/>
  <c r="U102" i="37" s="1"/>
  <c r="S271" i="37"/>
  <c r="T271" i="37" s="1"/>
  <c r="U271" i="37" s="1"/>
  <c r="S119" i="37"/>
  <c r="T119" i="37" s="1"/>
  <c r="U119" i="37" s="1"/>
  <c r="S249" i="37"/>
  <c r="T249" i="37" s="1"/>
  <c r="U249" i="37" s="1"/>
  <c r="S238" i="37"/>
  <c r="T238" i="37" s="1"/>
  <c r="U238" i="37" s="1"/>
  <c r="S173" i="37"/>
  <c r="T173" i="37" s="1"/>
  <c r="U173" i="37" s="1"/>
  <c r="S245" i="37"/>
  <c r="T245" i="37" s="1"/>
  <c r="U245" i="37" s="1"/>
  <c r="S8" i="37"/>
  <c r="T8" i="37" s="1"/>
  <c r="U8" i="37" s="1"/>
  <c r="S46" i="37"/>
  <c r="T46" i="37" s="1"/>
  <c r="U46" i="37" s="1"/>
  <c r="S163" i="37"/>
  <c r="T163" i="37" s="1"/>
  <c r="U163" i="37" s="1"/>
  <c r="S296" i="37"/>
  <c r="T296" i="37" s="1"/>
  <c r="U296" i="37" s="1"/>
  <c r="S222" i="37"/>
  <c r="T222" i="37" s="1"/>
  <c r="U222" i="37" s="1"/>
  <c r="S315" i="37"/>
  <c r="T315" i="37" s="1"/>
  <c r="U315" i="37" s="1"/>
  <c r="S122" i="37"/>
  <c r="T122" i="37" s="1"/>
  <c r="U122" i="37" s="1"/>
  <c r="S282" i="37"/>
  <c r="T282" i="37" s="1"/>
  <c r="U282" i="37" s="1"/>
  <c r="S110" i="37"/>
  <c r="T110" i="37" s="1"/>
  <c r="U110" i="37" s="1"/>
  <c r="S55" i="37"/>
  <c r="T55" i="37" s="1"/>
  <c r="U55" i="37" s="1"/>
  <c r="S257" i="37"/>
  <c r="T257" i="37" s="1"/>
  <c r="U257" i="37" s="1"/>
  <c r="S11" i="37"/>
  <c r="T11" i="37" s="1"/>
  <c r="U11" i="37" s="1"/>
  <c r="S121" i="37"/>
  <c r="T121" i="37" s="1"/>
  <c r="U121" i="37" s="1"/>
  <c r="S210" i="37"/>
  <c r="T210" i="37" s="1"/>
  <c r="U210" i="37" s="1"/>
  <c r="S90" i="37"/>
  <c r="T90" i="37" s="1"/>
  <c r="U90" i="37" s="1"/>
  <c r="S204" i="37"/>
  <c r="T204" i="37" s="1"/>
  <c r="U204" i="37" s="1"/>
  <c r="S146" i="37"/>
  <c r="T146" i="37" s="1"/>
  <c r="U146" i="37" s="1"/>
  <c r="S22" i="37"/>
  <c r="T22" i="37" s="1"/>
  <c r="U22" i="37" s="1"/>
  <c r="S265" i="37"/>
  <c r="T265" i="37" s="1"/>
  <c r="U265" i="37" s="1"/>
  <c r="S84" i="37"/>
  <c r="T84" i="37" s="1"/>
  <c r="U84" i="37" s="1"/>
  <c r="S126" i="37"/>
  <c r="T126" i="37" s="1"/>
  <c r="U126" i="37" s="1"/>
  <c r="S262" i="37"/>
  <c r="T262" i="37" s="1"/>
  <c r="U262" i="37" s="1"/>
  <c r="S9" i="37"/>
  <c r="T9" i="37" s="1"/>
  <c r="U9" i="37" s="1"/>
  <c r="S149" i="37"/>
  <c r="T149" i="37" s="1"/>
  <c r="U149" i="37" s="1"/>
  <c r="S240" i="37"/>
  <c r="T240" i="37" s="1"/>
  <c r="U240" i="37" s="1"/>
  <c r="S93" i="37"/>
  <c r="T93" i="37" s="1"/>
  <c r="U93" i="37" s="1"/>
  <c r="S251" i="37"/>
  <c r="T251" i="37" s="1"/>
  <c r="U251" i="37" s="1"/>
  <c r="S151" i="37"/>
  <c r="T151" i="37" s="1"/>
  <c r="U151" i="37" s="1"/>
  <c r="S176" i="37"/>
  <c r="T176" i="37" s="1"/>
  <c r="U176" i="37" s="1"/>
  <c r="S227" i="37"/>
  <c r="T227" i="37" s="1"/>
  <c r="U227" i="37" s="1"/>
  <c r="S109" i="37"/>
  <c r="T109" i="37" s="1"/>
  <c r="U109" i="37" s="1"/>
  <c r="S44" i="37"/>
  <c r="T44" i="37" s="1"/>
  <c r="U44" i="37" s="1"/>
  <c r="S137" i="37"/>
  <c r="T137" i="37" s="1"/>
  <c r="U137" i="37" s="1"/>
  <c r="S65" i="37"/>
  <c r="T65" i="37" s="1"/>
  <c r="U65" i="37" s="1"/>
  <c r="S45" i="37"/>
  <c r="T45" i="37" s="1"/>
  <c r="U45" i="37" s="1"/>
  <c r="S7" i="37"/>
  <c r="T7" i="37" s="1"/>
  <c r="U7" i="37" s="1"/>
  <c r="S232" i="37"/>
  <c r="T232" i="37" s="1"/>
  <c r="U232" i="37" s="1"/>
  <c r="S78" i="37"/>
  <c r="T78" i="37" s="1"/>
  <c r="U78" i="37" s="1"/>
  <c r="S239" i="37"/>
  <c r="T239" i="37" s="1"/>
  <c r="U239" i="37" s="1"/>
  <c r="S138" i="37"/>
  <c r="T138" i="37" s="1"/>
  <c r="U138" i="37" s="1"/>
  <c r="S214" i="37"/>
  <c r="T214" i="37" s="1"/>
  <c r="U214" i="37" s="1"/>
  <c r="S270" i="37"/>
  <c r="T270" i="37" s="1"/>
  <c r="U270" i="37" s="1"/>
  <c r="S302" i="37"/>
  <c r="T302" i="37" s="1"/>
  <c r="U302" i="37" s="1"/>
  <c r="S212" i="37"/>
  <c r="T212" i="37" s="1"/>
  <c r="U212" i="37" s="1"/>
  <c r="S211" i="37"/>
  <c r="T211" i="37" s="1"/>
  <c r="U211" i="37" s="1"/>
  <c r="S278" i="37"/>
  <c r="T278" i="37" s="1"/>
  <c r="U278" i="37" s="1"/>
  <c r="S206" i="37"/>
  <c r="T206" i="37" s="1"/>
  <c r="U206" i="37" s="1"/>
  <c r="S56" i="37"/>
  <c r="T56" i="37" s="1"/>
  <c r="U56" i="37" s="1"/>
  <c r="S19" i="37"/>
  <c r="T19" i="37" s="1"/>
  <c r="U19" i="37" s="1"/>
  <c r="S156" i="37"/>
  <c r="T156" i="37" s="1"/>
  <c r="U156" i="37" s="1"/>
  <c r="S104" i="37"/>
  <c r="T104" i="37" s="1"/>
  <c r="U104" i="37" s="1"/>
  <c r="S217" i="37"/>
  <c r="T217" i="37" s="1"/>
  <c r="U217" i="37" s="1"/>
  <c r="S50" i="37"/>
  <c r="T50" i="37" s="1"/>
  <c r="U50" i="37" s="1"/>
  <c r="S283" i="37"/>
  <c r="T283" i="37" s="1"/>
  <c r="U283" i="37" s="1"/>
  <c r="S170" i="37"/>
  <c r="T170" i="37" s="1"/>
  <c r="U170" i="37" s="1"/>
  <c r="S301" i="37"/>
  <c r="T301" i="37" s="1"/>
  <c r="U301" i="37" s="1"/>
  <c r="S99" i="37"/>
  <c r="T99" i="37" s="1"/>
  <c r="U99" i="37" s="1"/>
  <c r="S34" i="37"/>
  <c r="T34" i="37" s="1"/>
  <c r="U34" i="37" s="1"/>
  <c r="S279" i="37"/>
  <c r="T279" i="37" s="1"/>
  <c r="U279" i="37" s="1"/>
  <c r="S145" i="37"/>
  <c r="T145" i="37" s="1"/>
  <c r="U145" i="37" s="1"/>
  <c r="S233" i="37"/>
  <c r="T233" i="37" s="1"/>
  <c r="U233" i="37" s="1"/>
  <c r="S266" i="37"/>
  <c r="T266" i="37" s="1"/>
  <c r="U266" i="37" s="1"/>
  <c r="S48" i="37"/>
  <c r="T48" i="37" s="1"/>
  <c r="U48" i="37" s="1"/>
  <c r="S182" i="37"/>
  <c r="T182" i="37" s="1"/>
  <c r="U182" i="37" s="1"/>
  <c r="S180" i="37"/>
  <c r="T180" i="37" s="1"/>
  <c r="U180" i="37" s="1"/>
  <c r="S72" i="37"/>
  <c r="T72" i="37" s="1"/>
  <c r="U72" i="37" s="1"/>
  <c r="S5" i="37"/>
  <c r="T5" i="37" s="1"/>
  <c r="U5" i="37" s="1"/>
  <c r="S95" i="37"/>
  <c r="T95" i="37" s="1"/>
  <c r="U95" i="37" s="1"/>
  <c r="S168" i="37"/>
  <c r="T168" i="37" s="1"/>
  <c r="U168" i="37" s="1"/>
  <c r="S113" i="37"/>
  <c r="T113" i="37" s="1"/>
  <c r="U113" i="37" s="1"/>
  <c r="S260" i="37"/>
  <c r="T260" i="37" s="1"/>
  <c r="U260" i="37" s="1"/>
  <c r="S293" i="37"/>
  <c r="T293" i="37" s="1"/>
  <c r="U293" i="37" s="1"/>
  <c r="S143" i="37"/>
  <c r="T143" i="37" s="1"/>
  <c r="U143" i="37" s="1"/>
  <c r="S54" i="37"/>
  <c r="T54" i="37" s="1"/>
  <c r="U54" i="37" s="1"/>
  <c r="S167" i="37"/>
  <c r="T167" i="37" s="1"/>
  <c r="U167" i="37" s="1"/>
  <c r="S273" i="37"/>
  <c r="T273" i="37" s="1"/>
  <c r="U273" i="37" s="1"/>
  <c r="S88" i="37"/>
  <c r="T88" i="37" s="1"/>
  <c r="U88" i="37" s="1"/>
  <c r="S76" i="37"/>
  <c r="T76" i="37" s="1"/>
  <c r="U76" i="37" s="1"/>
  <c r="S131" i="37"/>
  <c r="T131" i="37" s="1"/>
  <c r="U131" i="37" s="1"/>
  <c r="S123" i="37"/>
  <c r="T123" i="37" s="1"/>
  <c r="U123" i="37" s="1"/>
  <c r="S116" i="37"/>
  <c r="T116" i="37" s="1"/>
  <c r="U116" i="37" s="1"/>
  <c r="S52" i="37"/>
  <c r="T52" i="37" s="1"/>
  <c r="U52" i="37" s="1"/>
  <c r="S316" i="37"/>
  <c r="T316" i="37" s="1"/>
  <c r="U316" i="37" s="1"/>
  <c r="S37" i="37"/>
  <c r="T37" i="37" s="1"/>
  <c r="U37" i="37" s="1"/>
  <c r="S171" i="37"/>
  <c r="T171" i="37" s="1"/>
  <c r="U171" i="37" s="1"/>
  <c r="S284" i="37"/>
  <c r="T284" i="37" s="1"/>
  <c r="U284" i="37" s="1"/>
  <c r="S18" i="37"/>
  <c r="T18" i="37" s="1"/>
  <c r="U18" i="37" s="1"/>
  <c r="S290" i="37"/>
  <c r="T290" i="37" s="1"/>
  <c r="U290" i="37" s="1"/>
  <c r="S292" i="37"/>
  <c r="T292" i="37" s="1"/>
  <c r="U292" i="37" s="1"/>
  <c r="S83" i="37"/>
  <c r="T83" i="37" s="1"/>
  <c r="U83" i="37" s="1"/>
  <c r="S100" i="37"/>
  <c r="T100" i="37" s="1"/>
  <c r="U100" i="37" s="1"/>
  <c r="S205" i="37"/>
  <c r="T205" i="37" s="1"/>
  <c r="U205" i="37" s="1"/>
  <c r="S280" i="37"/>
  <c r="T280" i="37" s="1"/>
  <c r="U280" i="37" s="1"/>
  <c r="S299" i="37"/>
  <c r="T299" i="37" s="1"/>
  <c r="U299" i="37" s="1"/>
  <c r="S40" i="37"/>
  <c r="T40" i="37" s="1"/>
  <c r="U40" i="37" s="1"/>
  <c r="S158" i="37"/>
  <c r="T158" i="37" s="1"/>
  <c r="U158" i="37" s="1"/>
  <c r="S147" i="37"/>
  <c r="T147" i="37" s="1"/>
  <c r="U147" i="37" s="1"/>
  <c r="S195" i="37"/>
  <c r="T195" i="37" s="1"/>
  <c r="U195" i="37" s="1"/>
  <c r="S25" i="37"/>
  <c r="T25" i="37" s="1"/>
  <c r="U25" i="37" s="1"/>
  <c r="S23" i="37"/>
  <c r="T23" i="37" s="1"/>
  <c r="U23" i="37" s="1"/>
  <c r="S150" i="37"/>
  <c r="T150" i="37" s="1"/>
  <c r="U150" i="37" s="1"/>
  <c r="S60" i="37"/>
  <c r="T60" i="37" s="1"/>
  <c r="U60" i="37" s="1"/>
  <c r="S277" i="37"/>
  <c r="T277" i="37" s="1"/>
  <c r="U277" i="37" s="1"/>
  <c r="S38" i="37"/>
  <c r="T38" i="37" s="1"/>
  <c r="U38" i="37" s="1"/>
  <c r="S26" i="37"/>
  <c r="T26" i="37" s="1"/>
  <c r="U26" i="37" s="1"/>
  <c r="S223" i="37"/>
  <c r="T223" i="37" s="1"/>
  <c r="U223" i="37" s="1"/>
  <c r="S140" i="37"/>
  <c r="T140" i="37" s="1"/>
  <c r="U140" i="37" s="1"/>
  <c r="S303" i="37"/>
  <c r="T303" i="37" s="1"/>
  <c r="U303" i="37" s="1"/>
  <c r="S79" i="37"/>
  <c r="T79" i="37" s="1"/>
  <c r="U79" i="37" s="1"/>
  <c r="S67" i="37"/>
  <c r="T67" i="37" s="1"/>
  <c r="U67" i="37" s="1"/>
  <c r="S66" i="37"/>
  <c r="T66" i="37" s="1"/>
  <c r="U66" i="37" s="1"/>
  <c r="S41" i="37"/>
  <c r="T41" i="37" s="1"/>
  <c r="U41" i="37" s="1"/>
  <c r="S202" i="37"/>
  <c r="T202" i="37" s="1"/>
  <c r="U202" i="37" s="1"/>
  <c r="S310" i="37"/>
  <c r="T310" i="37" s="1"/>
  <c r="U310" i="37" s="1"/>
  <c r="S92" i="37"/>
  <c r="T92" i="37" s="1"/>
  <c r="U92" i="37" s="1"/>
  <c r="S268" i="37"/>
  <c r="T268" i="37" s="1"/>
  <c r="U268" i="37" s="1"/>
  <c r="S255" i="37"/>
  <c r="T255" i="37" s="1"/>
  <c r="U255" i="37" s="1"/>
  <c r="S261" i="37"/>
  <c r="T261" i="37" s="1"/>
  <c r="U261" i="37" s="1"/>
  <c r="S101" i="37"/>
  <c r="T101" i="37" s="1"/>
  <c r="U101" i="37" s="1"/>
  <c r="S198" i="37"/>
  <c r="T198" i="37" s="1"/>
  <c r="U198" i="37" s="1"/>
  <c r="S80" i="37"/>
  <c r="T80" i="37" s="1"/>
  <c r="U80" i="37" s="1"/>
  <c r="S258" i="37"/>
  <c r="T258" i="37" s="1"/>
  <c r="U258" i="37" s="1"/>
  <c r="S53" i="37"/>
  <c r="T53" i="37" s="1"/>
  <c r="U53" i="37" s="1"/>
  <c r="S77" i="37"/>
  <c r="T77" i="37" s="1"/>
  <c r="U77" i="37" s="1"/>
  <c r="S36" i="37"/>
  <c r="T36" i="37" s="1"/>
  <c r="U36" i="37" s="1"/>
  <c r="S191" i="37"/>
  <c r="T191" i="37" s="1"/>
  <c r="U191" i="37" s="1"/>
  <c r="S135" i="37"/>
  <c r="T135" i="37" s="1"/>
  <c r="U135" i="37" s="1"/>
  <c r="S200" i="37"/>
  <c r="T200" i="37" s="1"/>
  <c r="U200" i="37" s="1"/>
  <c r="S64" i="37"/>
  <c r="T64" i="37" s="1"/>
  <c r="U64" i="37" s="1"/>
  <c r="S82" i="37"/>
  <c r="T82" i="37" s="1"/>
  <c r="U82" i="37" s="1"/>
  <c r="S246" i="37"/>
  <c r="T246" i="37" s="1"/>
  <c r="U246" i="37" s="1"/>
  <c r="S229" i="37"/>
  <c r="T229" i="37" s="1"/>
  <c r="U229" i="37" s="1"/>
  <c r="S179" i="37"/>
  <c r="T179" i="37" s="1"/>
  <c r="U179" i="37" s="1"/>
  <c r="S15" i="37"/>
  <c r="T15" i="37" s="1"/>
  <c r="U15" i="37" s="1"/>
  <c r="S244" i="37"/>
  <c r="T244" i="37" s="1"/>
  <c r="U244" i="37" s="1"/>
  <c r="S250" i="37"/>
  <c r="T250" i="37" s="1"/>
  <c r="U250" i="37" s="1"/>
  <c r="S63" i="37"/>
  <c r="T63" i="37" s="1"/>
  <c r="U63" i="37" s="1"/>
  <c r="S31" i="37"/>
  <c r="T31" i="37" s="1"/>
  <c r="U31" i="37" s="1"/>
  <c r="S201" i="37"/>
  <c r="T201" i="37" s="1"/>
  <c r="U201" i="37" s="1"/>
  <c r="S213" i="37"/>
  <c r="T213" i="37" s="1"/>
  <c r="U213" i="37" s="1"/>
  <c r="S253" i="37"/>
  <c r="T253" i="37" s="1"/>
  <c r="U253" i="37" s="1"/>
  <c r="S27" i="37"/>
  <c r="T27" i="37" s="1"/>
  <c r="U27" i="37" s="1"/>
  <c r="S314" i="37"/>
  <c r="T314" i="37" s="1"/>
  <c r="U314" i="37" s="1"/>
  <c r="S248" i="37"/>
  <c r="T248" i="37" s="1"/>
  <c r="U248" i="37" s="1"/>
  <c r="S197" i="37"/>
  <c r="T197" i="37" s="1"/>
  <c r="U197" i="37" s="1"/>
  <c r="S87" i="37"/>
  <c r="T87" i="37" s="1"/>
  <c r="U87" i="37" s="1"/>
  <c r="S21" i="37"/>
  <c r="T21" i="37" s="1"/>
  <c r="U21" i="37" s="1"/>
  <c r="S185" i="37"/>
  <c r="T185" i="37" s="1"/>
  <c r="U185" i="37" s="1"/>
  <c r="S295" i="37"/>
  <c r="T295" i="37" s="1"/>
  <c r="U295" i="37" s="1"/>
  <c r="S274" i="37"/>
  <c r="T274" i="37" s="1"/>
  <c r="U274" i="37" s="1"/>
  <c r="S81" i="37"/>
  <c r="T81" i="37" s="1"/>
  <c r="U81" i="37" s="1"/>
  <c r="S128" i="37"/>
  <c r="T128" i="37" s="1"/>
  <c r="U128" i="37" s="1"/>
  <c r="S220" i="37"/>
  <c r="T220" i="37" s="1"/>
  <c r="U220" i="37" s="1"/>
  <c r="S10" i="37"/>
  <c r="T10" i="37" s="1"/>
  <c r="U10" i="37" s="1"/>
  <c r="S142" i="37"/>
  <c r="T142" i="37" s="1"/>
  <c r="U142" i="37" s="1"/>
  <c r="S286" i="37"/>
  <c r="T286" i="37" s="1"/>
  <c r="U286" i="37" s="1"/>
  <c r="S208" i="37"/>
  <c r="T208" i="37" s="1"/>
  <c r="U208" i="37" s="1"/>
  <c r="S103" i="37"/>
  <c r="T103" i="37" s="1"/>
  <c r="U103" i="37" s="1"/>
  <c r="S58" i="37"/>
  <c r="T58" i="37" s="1"/>
  <c r="U58" i="37" s="1"/>
  <c r="S187" i="37"/>
  <c r="T187" i="37" s="1"/>
  <c r="U187" i="37" s="1"/>
  <c r="S28" i="37"/>
  <c r="T28" i="37" s="1"/>
  <c r="U28" i="37" s="1"/>
  <c r="S263" i="37"/>
  <c r="T263" i="37" s="1"/>
  <c r="U263" i="37" s="1"/>
  <c r="S312" i="37"/>
  <c r="T312" i="37" s="1"/>
  <c r="U312" i="37" s="1"/>
  <c r="S89" i="37"/>
  <c r="T89" i="37" s="1"/>
  <c r="U89" i="37" s="1"/>
  <c r="S272" i="37"/>
  <c r="T272" i="37" s="1"/>
  <c r="U272" i="37" s="1"/>
  <c r="S39" i="37"/>
  <c r="T39" i="37" s="1"/>
  <c r="U39" i="37" s="1"/>
  <c r="S287" i="37"/>
  <c r="T287" i="37" s="1"/>
  <c r="U287" i="37" s="1"/>
  <c r="S298" i="37"/>
  <c r="T298" i="37" s="1"/>
  <c r="U298" i="37" s="1"/>
  <c r="S86" i="37"/>
  <c r="T86" i="37" s="1"/>
  <c r="U86" i="37" s="1"/>
  <c r="S203" i="37"/>
  <c r="T203" i="37" s="1"/>
  <c r="U203" i="37" s="1"/>
  <c r="S97" i="37"/>
  <c r="T97" i="37" s="1"/>
  <c r="U97" i="37" s="1"/>
  <c r="S291" i="37"/>
  <c r="T291" i="37" s="1"/>
  <c r="U291" i="37" s="1"/>
  <c r="S230" i="37"/>
  <c r="T230" i="37" s="1"/>
  <c r="U230" i="37" s="1"/>
  <c r="S225" i="37"/>
  <c r="T225" i="37" s="1"/>
  <c r="U225" i="37" s="1"/>
  <c r="S133" i="37"/>
  <c r="T133" i="37" s="1"/>
  <c r="U133" i="37" s="1"/>
  <c r="S120" i="37"/>
  <c r="T120" i="37" s="1"/>
  <c r="U120" i="37" s="1"/>
  <c r="S236" i="37"/>
  <c r="T236" i="37" s="1"/>
  <c r="U236" i="37" s="1"/>
  <c r="S172" i="37"/>
  <c r="T172" i="37" s="1"/>
  <c r="U172" i="37" s="1"/>
  <c r="S108" i="37"/>
  <c r="T108" i="37" s="1"/>
  <c r="U108" i="37" s="1"/>
  <c r="S183" i="37"/>
  <c r="T183" i="37" s="1"/>
  <c r="U183" i="37" s="1"/>
  <c r="S69" i="37"/>
  <c r="T69" i="37" s="1"/>
  <c r="U69" i="37" s="1"/>
  <c r="S267" i="37"/>
  <c r="T267" i="37" s="1"/>
  <c r="U267" i="37" s="1"/>
  <c r="S209" i="37"/>
  <c r="T209" i="37" s="1"/>
  <c r="U209" i="37" s="1"/>
  <c r="S43" i="37"/>
  <c r="T43" i="37" s="1"/>
  <c r="U43" i="37" s="1"/>
  <c r="S199" i="37"/>
  <c r="T199" i="37" s="1"/>
  <c r="U199" i="37" s="1"/>
  <c r="S14" i="37"/>
  <c r="T14" i="37" s="1"/>
  <c r="U14" i="37" s="1"/>
  <c r="S124" i="37"/>
  <c r="T124" i="37" s="1"/>
  <c r="U124" i="37" s="1"/>
  <c r="S68" i="37"/>
  <c r="T68" i="37" s="1"/>
  <c r="U68" i="37" s="1"/>
  <c r="S57" i="37"/>
  <c r="T57" i="37" s="1"/>
  <c r="U57" i="37" s="1"/>
  <c r="S16" i="37"/>
  <c r="T16" i="37" s="1"/>
  <c r="U16" i="37" s="1"/>
  <c r="S207" i="37"/>
  <c r="T207" i="37" s="1"/>
  <c r="U207" i="37" s="1"/>
  <c r="S288" i="37"/>
  <c r="T288" i="37" s="1"/>
  <c r="U288" i="37" s="1"/>
  <c r="S159" i="37"/>
  <c r="T159" i="37" s="1"/>
  <c r="U159" i="37" s="1"/>
  <c r="S231" i="37"/>
  <c r="T231" i="37" s="1"/>
  <c r="U231" i="37" s="1"/>
  <c r="S107" i="37"/>
  <c r="T107" i="37" s="1"/>
  <c r="U107" i="37" s="1"/>
  <c r="S166" i="37"/>
  <c r="T166" i="37" s="1"/>
  <c r="U166" i="37" s="1"/>
  <c r="S234" i="37"/>
  <c r="T234" i="37" s="1"/>
  <c r="U234" i="37" s="1"/>
  <c r="S192" i="37"/>
  <c r="T192" i="37" s="1"/>
  <c r="U192" i="37" s="1"/>
  <c r="S17" i="37"/>
  <c r="T17" i="37" s="1"/>
  <c r="U17" i="37" s="1"/>
  <c r="V210" i="36"/>
  <c r="V37" i="36"/>
  <c r="V287" i="36"/>
  <c r="V44" i="36"/>
  <c r="V115" i="36"/>
  <c r="V61" i="36"/>
  <c r="V118" i="36"/>
  <c r="V298" i="36"/>
  <c r="V233" i="36"/>
  <c r="V194" i="36"/>
  <c r="V222" i="36"/>
  <c r="V138" i="36"/>
  <c r="V244" i="36"/>
  <c r="V111" i="36"/>
  <c r="V132" i="36"/>
  <c r="V75" i="36"/>
  <c r="V285" i="36"/>
  <c r="V34" i="36"/>
  <c r="V65" i="36"/>
  <c r="V71" i="36"/>
  <c r="V187" i="36"/>
  <c r="V262" i="36"/>
  <c r="V175" i="36"/>
  <c r="V278" i="36"/>
  <c r="V205" i="36"/>
  <c r="V184" i="36"/>
  <c r="V112" i="36"/>
  <c r="V148" i="36"/>
  <c r="V314" i="36"/>
  <c r="V40" i="36"/>
  <c r="V247" i="36"/>
  <c r="V209" i="36"/>
  <c r="V245" i="36"/>
  <c r="V29" i="36"/>
  <c r="V271" i="36"/>
  <c r="V246" i="36"/>
  <c r="V235" i="36"/>
  <c r="V10" i="36"/>
  <c r="V250" i="36"/>
  <c r="V223" i="36"/>
  <c r="V136" i="36"/>
  <c r="V185" i="36"/>
  <c r="V117" i="36"/>
  <c r="V147" i="36"/>
  <c r="V58" i="36"/>
  <c r="V261" i="36"/>
  <c r="V239" i="36"/>
  <c r="V114" i="36"/>
  <c r="V252" i="36"/>
  <c r="V127" i="36"/>
  <c r="V277" i="36"/>
  <c r="V218" i="36"/>
  <c r="V164" i="36"/>
  <c r="V163" i="36"/>
  <c r="V150" i="36"/>
  <c r="V88" i="36"/>
  <c r="V230" i="36"/>
  <c r="V99" i="36"/>
  <c r="V228" i="36"/>
  <c r="V214" i="36"/>
  <c r="V67" i="36"/>
  <c r="V295" i="36"/>
  <c r="V292" i="36"/>
  <c r="V7" i="36"/>
  <c r="V6" i="36"/>
  <c r="V182" i="36"/>
  <c r="V62" i="36"/>
  <c r="V55" i="36"/>
  <c r="V301" i="36"/>
  <c r="V72" i="36"/>
  <c r="V70" i="36"/>
  <c r="V15" i="36"/>
  <c r="V145" i="36"/>
  <c r="V52" i="36"/>
  <c r="V265" i="36"/>
  <c r="V171" i="36"/>
  <c r="V304" i="36"/>
  <c r="V123" i="36"/>
  <c r="V119" i="36"/>
  <c r="V135" i="36"/>
  <c r="V19" i="36"/>
  <c r="V306" i="36"/>
  <c r="V213" i="36"/>
  <c r="V124" i="36"/>
  <c r="V154" i="36"/>
  <c r="V26" i="36"/>
  <c r="V139" i="36"/>
  <c r="V170" i="36"/>
  <c r="V20" i="36"/>
  <c r="V93" i="36"/>
  <c r="V66" i="36"/>
  <c r="V105" i="36"/>
  <c r="V42" i="36"/>
  <c r="V232" i="36"/>
  <c r="V56" i="36"/>
  <c r="V286" i="36"/>
  <c r="V81" i="36"/>
  <c r="V291" i="36"/>
  <c r="V238" i="36"/>
  <c r="V183" i="36"/>
  <c r="V236" i="36"/>
  <c r="V85" i="36"/>
  <c r="V248" i="36"/>
  <c r="V258" i="36"/>
  <c r="V276" i="36"/>
  <c r="V129" i="36"/>
  <c r="V289" i="36"/>
  <c r="V14" i="36"/>
  <c r="V299" i="36"/>
  <c r="V116" i="36"/>
  <c r="V179" i="36"/>
  <c r="V176" i="36"/>
  <c r="V181" i="36"/>
  <c r="V25" i="36"/>
  <c r="V217" i="36"/>
  <c r="V162" i="36"/>
  <c r="V312" i="36"/>
  <c r="V297" i="36"/>
  <c r="V110" i="36"/>
  <c r="V186" i="36"/>
  <c r="V280" i="36"/>
  <c r="V288" i="36"/>
  <c r="V159" i="36"/>
  <c r="V316" i="36"/>
  <c r="V82" i="36"/>
  <c r="V242" i="36"/>
  <c r="V95" i="36"/>
  <c r="V264" i="36"/>
  <c r="V151" i="36"/>
  <c r="V84" i="36"/>
  <c r="V251" i="36"/>
  <c r="V69" i="36"/>
  <c r="V219" i="36"/>
  <c r="V293" i="36"/>
  <c r="V144" i="36"/>
  <c r="V234" i="36"/>
  <c r="V253" i="36"/>
  <c r="V257" i="36"/>
  <c r="V28" i="36"/>
  <c r="V49" i="36"/>
  <c r="V60" i="36"/>
  <c r="V32" i="36"/>
  <c r="V268" i="36"/>
  <c r="V192" i="36"/>
  <c r="V172" i="36"/>
  <c r="V122" i="36"/>
  <c r="V13" i="36"/>
  <c r="V12" i="36"/>
  <c r="V224" i="36"/>
  <c r="V30" i="36"/>
  <c r="V308" i="36"/>
  <c r="V100" i="36"/>
  <c r="V24" i="36"/>
  <c r="V27" i="36"/>
  <c r="V74" i="36"/>
  <c r="V226" i="36"/>
  <c r="V220" i="36"/>
  <c r="V22" i="36"/>
  <c r="V23" i="36"/>
  <c r="V47" i="36"/>
  <c r="V57" i="36"/>
  <c r="V149" i="36"/>
  <c r="V263" i="36"/>
  <c r="V211" i="36"/>
  <c r="V152" i="36"/>
  <c r="V189" i="36"/>
  <c r="V36" i="36"/>
  <c r="V279" i="36"/>
  <c r="V5" i="36"/>
  <c r="V168" i="36"/>
  <c r="V98" i="36"/>
  <c r="V243" i="36"/>
  <c r="V63" i="36"/>
  <c r="V91" i="36"/>
  <c r="V193" i="36"/>
  <c r="V35" i="36"/>
  <c r="V315" i="36"/>
  <c r="V121" i="36"/>
  <c r="V231" i="36"/>
  <c r="V103" i="36"/>
  <c r="V240" i="36"/>
  <c r="V161" i="36"/>
  <c r="V269" i="36"/>
  <c r="V50" i="36"/>
  <c r="V94" i="36"/>
  <c r="V46" i="36"/>
  <c r="V169" i="36"/>
  <c r="V134" i="36"/>
  <c r="V267" i="36"/>
  <c r="V17" i="36"/>
  <c r="V165" i="36"/>
  <c r="V83" i="36"/>
  <c r="V216" i="36"/>
  <c r="V227" i="36"/>
  <c r="V296" i="36"/>
  <c r="V140" i="36"/>
  <c r="V256" i="36"/>
  <c r="V294" i="36"/>
  <c r="V113" i="36"/>
  <c r="V215" i="36"/>
  <c r="V259" i="36"/>
  <c r="V157" i="36"/>
  <c r="V64" i="36"/>
  <c r="V302" i="36"/>
  <c r="V21" i="36"/>
  <c r="V86" i="36"/>
  <c r="V96" i="36"/>
  <c r="V77" i="36"/>
  <c r="V104" i="36"/>
  <c r="V54" i="36"/>
  <c r="V156" i="36"/>
  <c r="V270" i="36"/>
  <c r="V208" i="36"/>
  <c r="V237" i="36"/>
  <c r="V195" i="36"/>
  <c r="V260" i="36"/>
  <c r="V198" i="36"/>
  <c r="V229" i="36"/>
  <c r="V281" i="36"/>
  <c r="V31" i="36"/>
  <c r="V80" i="36"/>
  <c r="V177" i="36"/>
  <c r="V11" i="36"/>
  <c r="V87" i="36"/>
  <c r="V266" i="36"/>
  <c r="V126" i="36"/>
  <c r="V38" i="36"/>
  <c r="V78" i="36"/>
  <c r="V133" i="36"/>
  <c r="V131" i="36"/>
  <c r="V311" i="36"/>
  <c r="V197" i="36"/>
  <c r="V212" i="36"/>
  <c r="V33" i="36"/>
  <c r="V284" i="36"/>
  <c r="V158" i="36"/>
  <c r="V203" i="36"/>
  <c r="V107" i="36"/>
  <c r="V221" i="36"/>
  <c r="V225" i="36"/>
  <c r="V16" i="36"/>
  <c r="V202" i="36"/>
  <c r="V290" i="36"/>
  <c r="V199" i="36"/>
  <c r="V307" i="36"/>
  <c r="V249" i="36"/>
  <c r="V108" i="36"/>
  <c r="V174" i="36"/>
  <c r="V274" i="36"/>
  <c r="V51" i="36"/>
  <c r="V79" i="36"/>
  <c r="V283" i="36"/>
  <c r="V45" i="36"/>
  <c r="V310" i="36"/>
  <c r="V309" i="36"/>
  <c r="V141" i="36"/>
  <c r="V196" i="36"/>
  <c r="V89" i="36"/>
  <c r="V48" i="36"/>
  <c r="V90" i="36"/>
  <c r="V53" i="36"/>
  <c r="V92" i="36"/>
  <c r="V137" i="36"/>
  <c r="V125" i="36"/>
  <c r="V200" i="36"/>
  <c r="V204" i="36"/>
  <c r="V201" i="36"/>
  <c r="V206" i="36"/>
  <c r="V254" i="36"/>
  <c r="V43" i="36"/>
  <c r="V166" i="36"/>
  <c r="V160" i="36"/>
  <c r="V305" i="36"/>
  <c r="V303" i="36"/>
  <c r="V41" i="36"/>
  <c r="V275" i="36"/>
  <c r="V106" i="36"/>
  <c r="V273" i="36"/>
  <c r="V120" i="36"/>
  <c r="V102" i="36"/>
  <c r="V190" i="36"/>
  <c r="V130" i="36"/>
  <c r="V8" i="36"/>
  <c r="V73" i="36"/>
  <c r="V142" i="36"/>
  <c r="V282" i="36"/>
  <c r="V59" i="36"/>
  <c r="V109" i="36"/>
  <c r="U4" i="36"/>
  <c r="U3" i="36" s="1" a="1"/>
  <c r="U3" i="36" s="1"/>
  <c r="V255" i="36"/>
  <c r="V313" i="36"/>
  <c r="V188" i="36"/>
  <c r="V207" i="36"/>
  <c r="V9" i="36"/>
  <c r="V101" i="36"/>
  <c r="V39" i="36"/>
  <c r="V178" i="36"/>
  <c r="V155" i="36"/>
  <c r="V191" i="36"/>
  <c r="V68" i="36"/>
  <c r="V18" i="36"/>
  <c r="V143" i="36"/>
  <c r="V300" i="36"/>
  <c r="V76" i="36"/>
  <c r="V128" i="36"/>
  <c r="V173" i="36"/>
  <c r="V180" i="36"/>
  <c r="V146" i="36"/>
  <c r="V241" i="36"/>
  <c r="V272" i="36"/>
  <c r="V167" i="36"/>
  <c r="V97" i="36"/>
  <c r="V153" i="36"/>
  <c r="S3" i="39" l="1" a="1"/>
  <c r="S3" i="39" s="1"/>
  <c r="S3" i="38" a="1"/>
  <c r="S3" i="38" s="1"/>
  <c r="S3" i="37" a="1"/>
  <c r="S3" i="37" s="1"/>
  <c r="T4" i="38"/>
  <c r="T3" i="38" s="1" a="1"/>
  <c r="T3" i="38" s="1"/>
  <c r="T4" i="37"/>
  <c r="T3" i="37" s="1" a="1"/>
  <c r="T3" i="37" s="1"/>
  <c r="V31" i="39"/>
  <c r="V127" i="39"/>
  <c r="V88" i="39"/>
  <c r="V51" i="39"/>
  <c r="V100" i="39"/>
  <c r="V155" i="39"/>
  <c r="V300" i="39"/>
  <c r="V30" i="39"/>
  <c r="V226" i="39"/>
  <c r="V274" i="39"/>
  <c r="V62" i="39"/>
  <c r="V106" i="39"/>
  <c r="V175" i="39"/>
  <c r="V133" i="39"/>
  <c r="V187" i="39"/>
  <c r="V242" i="39"/>
  <c r="V68" i="39"/>
  <c r="V168" i="39"/>
  <c r="V23" i="39"/>
  <c r="V80" i="39"/>
  <c r="V171" i="39"/>
  <c r="V95" i="39"/>
  <c r="V63" i="39"/>
  <c r="V227" i="39"/>
  <c r="V20" i="39"/>
  <c r="V257" i="39"/>
  <c r="V90" i="39"/>
  <c r="V307" i="39"/>
  <c r="V98" i="39"/>
  <c r="V85" i="39"/>
  <c r="V194" i="39"/>
  <c r="V178" i="39"/>
  <c r="V161" i="39"/>
  <c r="V296" i="39"/>
  <c r="V16" i="39"/>
  <c r="V96" i="39"/>
  <c r="V105" i="39"/>
  <c r="V81" i="39"/>
  <c r="V92" i="39"/>
  <c r="V56" i="39"/>
  <c r="V298" i="39"/>
  <c r="V268" i="39"/>
  <c r="V212" i="39"/>
  <c r="V219" i="39"/>
  <c r="V137" i="39"/>
  <c r="V270" i="39"/>
  <c r="V126" i="39"/>
  <c r="V284" i="39"/>
  <c r="V289" i="39"/>
  <c r="V75" i="39"/>
  <c r="V228" i="39"/>
  <c r="V10" i="39"/>
  <c r="V149" i="39"/>
  <c r="V272" i="39"/>
  <c r="V38" i="39"/>
  <c r="V39" i="39"/>
  <c r="V36" i="39"/>
  <c r="V158" i="39"/>
  <c r="V231" i="39"/>
  <c r="V76" i="39"/>
  <c r="V167" i="39"/>
  <c r="V50" i="39"/>
  <c r="V262" i="39"/>
  <c r="V19" i="39"/>
  <c r="V236" i="39"/>
  <c r="V256" i="39"/>
  <c r="V45" i="39"/>
  <c r="V310" i="39"/>
  <c r="V215" i="39"/>
  <c r="V237" i="39"/>
  <c r="V97" i="39"/>
  <c r="V196" i="39"/>
  <c r="V287" i="39"/>
  <c r="V13" i="39"/>
  <c r="V124" i="39"/>
  <c r="V70" i="39"/>
  <c r="V165" i="39"/>
  <c r="V197" i="39"/>
  <c r="T4" i="39"/>
  <c r="T3" i="39" s="1" a="1"/>
  <c r="T3" i="39" s="1"/>
  <c r="V218" i="39"/>
  <c r="V132" i="39"/>
  <c r="V253" i="39"/>
  <c r="V243" i="39"/>
  <c r="V109" i="39"/>
  <c r="V47" i="39"/>
  <c r="V238" i="39"/>
  <c r="V279" i="39"/>
  <c r="V297" i="39"/>
  <c r="V156" i="39"/>
  <c r="V123" i="39"/>
  <c r="V130" i="39"/>
  <c r="V14" i="39"/>
  <c r="V269" i="39"/>
  <c r="V115" i="39"/>
  <c r="V311" i="39"/>
  <c r="V77" i="39"/>
  <c r="V138" i="39"/>
  <c r="V17" i="39"/>
  <c r="V128" i="39"/>
  <c r="V65" i="39"/>
  <c r="V255" i="39"/>
  <c r="V107" i="39"/>
  <c r="V216" i="39"/>
  <c r="V172" i="39"/>
  <c r="V209" i="39"/>
  <c r="V136" i="39"/>
  <c r="V316" i="39"/>
  <c r="V121" i="39"/>
  <c r="V6" i="39"/>
  <c r="V160" i="39"/>
  <c r="V22" i="39"/>
  <c r="V152" i="39"/>
  <c r="V46" i="39"/>
  <c r="V120" i="39"/>
  <c r="V33" i="39"/>
  <c r="V263" i="39"/>
  <c r="V78" i="39"/>
  <c r="V208" i="39"/>
  <c r="V248" i="39"/>
  <c r="V84" i="39"/>
  <c r="V185" i="39"/>
  <c r="V239" i="39"/>
  <c r="V244" i="39"/>
  <c r="V67" i="39"/>
  <c r="V177" i="39"/>
  <c r="V312" i="39"/>
  <c r="V15" i="39"/>
  <c r="V193" i="39"/>
  <c r="V151" i="39"/>
  <c r="V201" i="39"/>
  <c r="V295" i="39"/>
  <c r="V293" i="39"/>
  <c r="V5" i="39"/>
  <c r="V305" i="39"/>
  <c r="V135" i="39"/>
  <c r="V60" i="39"/>
  <c r="V53" i="39"/>
  <c r="V191" i="39"/>
  <c r="V247" i="39"/>
  <c r="V9" i="39"/>
  <c r="V303" i="39"/>
  <c r="V206" i="39"/>
  <c r="V162" i="39"/>
  <c r="V139" i="39"/>
  <c r="V278" i="39"/>
  <c r="V125" i="39"/>
  <c r="V54" i="39"/>
  <c r="V204" i="39"/>
  <c r="V179" i="39"/>
  <c r="V99" i="39"/>
  <c r="V294" i="39"/>
  <c r="V301" i="39"/>
  <c r="V280" i="39"/>
  <c r="V286" i="39"/>
  <c r="V18" i="39"/>
  <c r="V282" i="39"/>
  <c r="V102" i="39"/>
  <c r="V157" i="39"/>
  <c r="V79" i="39"/>
  <c r="V94" i="39"/>
  <c r="V144" i="39"/>
  <c r="V200" i="39"/>
  <c r="V122" i="39"/>
  <c r="V224" i="39"/>
  <c r="V259" i="39"/>
  <c r="V57" i="39"/>
  <c r="V42" i="39"/>
  <c r="V12" i="39"/>
  <c r="V234" i="39"/>
  <c r="V241" i="39"/>
  <c r="V8" i="39"/>
  <c r="V154" i="39"/>
  <c r="V29" i="39"/>
  <c r="V112" i="39"/>
  <c r="V308" i="39"/>
  <c r="V150" i="39"/>
  <c r="V114" i="39"/>
  <c r="V21" i="39"/>
  <c r="V189" i="39"/>
  <c r="V313" i="39"/>
  <c r="V245" i="39"/>
  <c r="V271" i="39"/>
  <c r="V145" i="39"/>
  <c r="V28" i="39"/>
  <c r="V265" i="39"/>
  <c r="V276" i="39"/>
  <c r="V91" i="39"/>
  <c r="V223" i="39"/>
  <c r="V181" i="39"/>
  <c r="V146" i="39"/>
  <c r="V170" i="39"/>
  <c r="V111" i="39"/>
  <c r="V11" i="39"/>
  <c r="V43" i="39"/>
  <c r="V101" i="39"/>
  <c r="V41" i="39"/>
  <c r="V119" i="39"/>
  <c r="V246" i="39"/>
  <c r="V44" i="39"/>
  <c r="V52" i="39"/>
  <c r="V207" i="39"/>
  <c r="V166" i="39"/>
  <c r="V69" i="39"/>
  <c r="V258" i="39"/>
  <c r="V89" i="39"/>
  <c r="V74" i="39"/>
  <c r="V198" i="39"/>
  <c r="V221" i="39"/>
  <c r="V302" i="39"/>
  <c r="V59" i="39"/>
  <c r="V140" i="39"/>
  <c r="V203" i="39"/>
  <c r="V87" i="39"/>
  <c r="V266" i="39"/>
  <c r="V141" i="39"/>
  <c r="V34" i="39"/>
  <c r="V240" i="39"/>
  <c r="V153" i="39"/>
  <c r="V49" i="39"/>
  <c r="V26" i="39"/>
  <c r="V58" i="39"/>
  <c r="V213" i="39"/>
  <c r="V292" i="39"/>
  <c r="V110" i="39"/>
  <c r="V86" i="39"/>
  <c r="V277" i="39"/>
  <c r="V309" i="39"/>
  <c r="V249" i="39"/>
  <c r="V113" i="39"/>
  <c r="V220" i="39"/>
  <c r="V55" i="39"/>
  <c r="V288" i="39"/>
  <c r="V27" i="39"/>
  <c r="V267" i="39"/>
  <c r="V108" i="39"/>
  <c r="V24" i="39"/>
  <c r="V73" i="39"/>
  <c r="V116" i="39"/>
  <c r="V32" i="39"/>
  <c r="V275" i="39"/>
  <c r="V163" i="39"/>
  <c r="V251" i="39"/>
  <c r="V72" i="39"/>
  <c r="V225" i="39"/>
  <c r="V306" i="39"/>
  <c r="V252" i="39"/>
  <c r="V235" i="39"/>
  <c r="V190" i="39"/>
  <c r="V104" i="39"/>
  <c r="V283" i="39"/>
  <c r="V66" i="39"/>
  <c r="V250" i="39"/>
  <c r="V169" i="39"/>
  <c r="V205" i="39"/>
  <c r="V118" i="39"/>
  <c r="V117" i="39"/>
  <c r="V48" i="39"/>
  <c r="V315" i="39"/>
  <c r="V202" i="39"/>
  <c r="V164" i="39"/>
  <c r="V173" i="39"/>
  <c r="V186" i="39"/>
  <c r="V61" i="39"/>
  <c r="V232" i="39"/>
  <c r="V229" i="39"/>
  <c r="V264" i="39"/>
  <c r="V37" i="39"/>
  <c r="V217" i="39"/>
  <c r="V180" i="39"/>
  <c r="V254" i="39"/>
  <c r="V148" i="39"/>
  <c r="V176" i="39"/>
  <c r="V230" i="39"/>
  <c r="V183" i="39"/>
  <c r="V211" i="39"/>
  <c r="V131" i="39"/>
  <c r="V35" i="39"/>
  <c r="V261" i="39"/>
  <c r="V83" i="39"/>
  <c r="V260" i="39"/>
  <c r="V82" i="39"/>
  <c r="V71" i="39"/>
  <c r="V314" i="39"/>
  <c r="V195" i="39"/>
  <c r="V291" i="39"/>
  <c r="V134" i="39"/>
  <c r="V147" i="39"/>
  <c r="V184" i="39"/>
  <c r="V188" i="39"/>
  <c r="V143" i="39"/>
  <c r="V222" i="39"/>
  <c r="V199" i="39"/>
  <c r="V285" i="39"/>
  <c r="V129" i="39"/>
  <c r="V142" i="39"/>
  <c r="V93" i="39"/>
  <c r="V299" i="39"/>
  <c r="V174" i="39"/>
  <c r="V25" i="39"/>
  <c r="V7" i="39"/>
  <c r="V281" i="39"/>
  <c r="V64" i="39"/>
  <c r="V304" i="39"/>
  <c r="V210" i="39"/>
  <c r="V182" i="39"/>
  <c r="V233" i="39"/>
  <c r="V273" i="39"/>
  <c r="V40" i="39"/>
  <c r="V214" i="39"/>
  <c r="V192" i="39"/>
  <c r="V103" i="39"/>
  <c r="V159" i="39"/>
  <c r="V290" i="39"/>
  <c r="V236" i="38"/>
  <c r="V312" i="38"/>
  <c r="V224" i="38"/>
  <c r="V252" i="38"/>
  <c r="V31" i="38"/>
  <c r="V62" i="38"/>
  <c r="V245" i="38"/>
  <c r="V23" i="38"/>
  <c r="V253" i="38"/>
  <c r="V87" i="38"/>
  <c r="V287" i="38"/>
  <c r="V251" i="38"/>
  <c r="V94" i="38"/>
  <c r="V242" i="38"/>
  <c r="V35" i="38"/>
  <c r="V55" i="38"/>
  <c r="V235" i="38"/>
  <c r="V7" i="38"/>
  <c r="V257" i="38"/>
  <c r="V161" i="38"/>
  <c r="V33" i="38"/>
  <c r="V300" i="38"/>
  <c r="V184" i="38"/>
  <c r="V293" i="38"/>
  <c r="V190" i="38"/>
  <c r="V237" i="38"/>
  <c r="V211" i="38"/>
  <c r="V77" i="38"/>
  <c r="V59" i="38"/>
  <c r="V272" i="38"/>
  <c r="V71" i="38"/>
  <c r="V227" i="38"/>
  <c r="V139" i="38"/>
  <c r="V105" i="38"/>
  <c r="V198" i="38"/>
  <c r="V158" i="38"/>
  <c r="V197" i="38"/>
  <c r="V273" i="38"/>
  <c r="V120" i="38"/>
  <c r="V156" i="38"/>
  <c r="V44" i="38"/>
  <c r="V171" i="38"/>
  <c r="V276" i="38"/>
  <c r="V90" i="38"/>
  <c r="V274" i="38"/>
  <c r="V309" i="38"/>
  <c r="V195" i="38"/>
  <c r="V112" i="38"/>
  <c r="V208" i="38"/>
  <c r="V148" i="38"/>
  <c r="V311" i="38"/>
  <c r="V277" i="38"/>
  <c r="V52" i="38"/>
  <c r="V286" i="38"/>
  <c r="V200" i="38"/>
  <c r="V193" i="38"/>
  <c r="V8" i="38"/>
  <c r="V243" i="38"/>
  <c r="V304" i="38"/>
  <c r="V204" i="38"/>
  <c r="V299" i="38"/>
  <c r="V29" i="38"/>
  <c r="V119" i="38"/>
  <c r="V92" i="38"/>
  <c r="V67" i="38"/>
  <c r="V143" i="38"/>
  <c r="V79" i="38"/>
  <c r="V132" i="38"/>
  <c r="V183" i="38"/>
  <c r="V159" i="38"/>
  <c r="V147" i="38"/>
  <c r="V206" i="38"/>
  <c r="V17" i="38"/>
  <c r="V154" i="38"/>
  <c r="V22" i="38"/>
  <c r="V222" i="38"/>
  <c r="V100" i="38"/>
  <c r="V232" i="38"/>
  <c r="V32" i="38"/>
  <c r="V289" i="38"/>
  <c r="V63" i="38"/>
  <c r="V80" i="38"/>
  <c r="V292" i="38"/>
  <c r="V174" i="38"/>
  <c r="V64" i="38"/>
  <c r="V306" i="38"/>
  <c r="V248" i="38"/>
  <c r="V259" i="38"/>
  <c r="V45" i="38"/>
  <c r="V76" i="38"/>
  <c r="V302" i="38"/>
  <c r="V209" i="38"/>
  <c r="V5" i="38"/>
  <c r="V102" i="38"/>
  <c r="V213" i="38"/>
  <c r="V109" i="38"/>
  <c r="V157" i="38"/>
  <c r="V294" i="38"/>
  <c r="V138" i="38"/>
  <c r="V151" i="38"/>
  <c r="V263" i="38"/>
  <c r="V178" i="38"/>
  <c r="V150" i="38"/>
  <c r="V264" i="38"/>
  <c r="V281" i="38"/>
  <c r="V145" i="38"/>
  <c r="V36" i="38"/>
  <c r="V13" i="38"/>
  <c r="V199" i="38"/>
  <c r="V108" i="38"/>
  <c r="V181" i="38"/>
  <c r="V160" i="38"/>
  <c r="V249" i="38"/>
  <c r="V203" i="38"/>
  <c r="V285" i="38"/>
  <c r="V34" i="38"/>
  <c r="V152" i="38"/>
  <c r="V42" i="38"/>
  <c r="V58" i="38"/>
  <c r="V12" i="38"/>
  <c r="V313" i="38"/>
  <c r="V88" i="38"/>
  <c r="V95" i="38"/>
  <c r="V162" i="38"/>
  <c r="V20" i="38"/>
  <c r="V297" i="38"/>
  <c r="V301" i="38"/>
  <c r="V61" i="38"/>
  <c r="V97" i="38"/>
  <c r="V260" i="38"/>
  <c r="V78" i="38"/>
  <c r="V275" i="38"/>
  <c r="V175" i="38"/>
  <c r="V254" i="38"/>
  <c r="V68" i="38"/>
  <c r="V96" i="38"/>
  <c r="V316" i="38"/>
  <c r="V189" i="38"/>
  <c r="V101" i="38"/>
  <c r="V283" i="38"/>
  <c r="V65" i="38"/>
  <c r="V93" i="38"/>
  <c r="V246" i="38"/>
  <c r="V296" i="38"/>
  <c r="V28" i="38"/>
  <c r="V26" i="38"/>
  <c r="V131" i="38"/>
  <c r="V271" i="38"/>
  <c r="V124" i="38"/>
  <c r="V15" i="38"/>
  <c r="V233" i="38"/>
  <c r="V48" i="38"/>
  <c r="V57" i="38"/>
  <c r="V115" i="38"/>
  <c r="V226" i="38"/>
  <c r="V315" i="38"/>
  <c r="V284" i="38"/>
  <c r="V123" i="38"/>
  <c r="V127" i="38"/>
  <c r="V98" i="38"/>
  <c r="V85" i="38"/>
  <c r="V168" i="38"/>
  <c r="V164" i="38"/>
  <c r="V111" i="38"/>
  <c r="V217" i="38"/>
  <c r="V39" i="38"/>
  <c r="V134" i="38"/>
  <c r="V165" i="38"/>
  <c r="V60" i="38"/>
  <c r="V234" i="38"/>
  <c r="V176" i="38"/>
  <c r="V163" i="38"/>
  <c r="V303" i="38"/>
  <c r="V75" i="38"/>
  <c r="V47" i="38"/>
  <c r="V141" i="38"/>
  <c r="V11" i="38"/>
  <c r="V298" i="38"/>
  <c r="V192" i="38"/>
  <c r="V91" i="38"/>
  <c r="V121" i="38"/>
  <c r="V268" i="38"/>
  <c r="V240" i="38"/>
  <c r="V225" i="38"/>
  <c r="V133" i="38"/>
  <c r="V307" i="38"/>
  <c r="V149" i="38"/>
  <c r="V290" i="38"/>
  <c r="V219" i="38"/>
  <c r="V186" i="38"/>
  <c r="V220" i="38"/>
  <c r="V231" i="38"/>
  <c r="V46" i="38"/>
  <c r="V99" i="38"/>
  <c r="V137" i="38"/>
  <c r="V185" i="38"/>
  <c r="V153" i="38"/>
  <c r="V291" i="38"/>
  <c r="V72" i="38"/>
  <c r="V104" i="38"/>
  <c r="V86" i="38"/>
  <c r="V83" i="38"/>
  <c r="V314" i="38"/>
  <c r="V146" i="38"/>
  <c r="V49" i="38"/>
  <c r="V16" i="38"/>
  <c r="V73" i="38"/>
  <c r="V54" i="38"/>
  <c r="V82" i="38"/>
  <c r="V191" i="38"/>
  <c r="V140" i="38"/>
  <c r="V310" i="38"/>
  <c r="V223" i="38"/>
  <c r="V136" i="38"/>
  <c r="V116" i="38"/>
  <c r="V266" i="38"/>
  <c r="V114" i="38"/>
  <c r="V239" i="38"/>
  <c r="V215" i="38"/>
  <c r="V40" i="38"/>
  <c r="V196" i="38"/>
  <c r="V84" i="38"/>
  <c r="V265" i="38"/>
  <c r="V103" i="38"/>
  <c r="V270" i="38"/>
  <c r="V9" i="38"/>
  <c r="V279" i="38"/>
  <c r="V107" i="38"/>
  <c r="V135" i="38"/>
  <c r="V51" i="38"/>
  <c r="V18" i="38"/>
  <c r="V210" i="38"/>
  <c r="V144" i="38"/>
  <c r="V50" i="38"/>
  <c r="V262" i="38"/>
  <c r="V6" i="38"/>
  <c r="V244" i="38"/>
  <c r="V41" i="38"/>
  <c r="V230" i="38"/>
  <c r="V14" i="38"/>
  <c r="V201" i="38"/>
  <c r="V117" i="38"/>
  <c r="V166" i="38"/>
  <c r="V173" i="38"/>
  <c r="V241" i="38"/>
  <c r="V25" i="38"/>
  <c r="V182" i="38"/>
  <c r="V74" i="38"/>
  <c r="V188" i="38"/>
  <c r="V37" i="38"/>
  <c r="V125" i="38"/>
  <c r="V177" i="38"/>
  <c r="V155" i="38"/>
  <c r="V212" i="38"/>
  <c r="V218" i="38"/>
  <c r="V38" i="38"/>
  <c r="V113" i="38"/>
  <c r="V221" i="38"/>
  <c r="V288" i="38"/>
  <c r="V128" i="38"/>
  <c r="V10" i="38"/>
  <c r="V228" i="38"/>
  <c r="V205" i="38"/>
  <c r="V229" i="38"/>
  <c r="V66" i="38"/>
  <c r="V81" i="38"/>
  <c r="V238" i="38"/>
  <c r="V247" i="38"/>
  <c r="V130" i="38"/>
  <c r="V106" i="38"/>
  <c r="V69" i="38"/>
  <c r="V27" i="38"/>
  <c r="V216" i="38"/>
  <c r="V202" i="38"/>
  <c r="V255" i="38"/>
  <c r="V70" i="38"/>
  <c r="V167" i="38"/>
  <c r="V180" i="38"/>
  <c r="V24" i="38"/>
  <c r="V53" i="38"/>
  <c r="V250" i="38"/>
  <c r="V170" i="38"/>
  <c r="V258" i="38"/>
  <c r="V179" i="38"/>
  <c r="V261" i="38"/>
  <c r="V89" i="38"/>
  <c r="V56" i="38"/>
  <c r="V295" i="38"/>
  <c r="V282" i="38"/>
  <c r="V122" i="38"/>
  <c r="V278" i="38"/>
  <c r="V21" i="38"/>
  <c r="V110" i="38"/>
  <c r="V187" i="38"/>
  <c r="V305" i="38"/>
  <c r="V129" i="38"/>
  <c r="V19" i="38"/>
  <c r="V308" i="38"/>
  <c r="V267" i="38"/>
  <c r="V207" i="38"/>
  <c r="V126" i="38"/>
  <c r="V256" i="38"/>
  <c r="V118" i="38"/>
  <c r="V43" i="38"/>
  <c r="V214" i="38"/>
  <c r="V269" i="38"/>
  <c r="V280" i="38"/>
  <c r="V142" i="38"/>
  <c r="V194" i="38"/>
  <c r="V169" i="38"/>
  <c r="V172" i="38"/>
  <c r="V30" i="38"/>
  <c r="V82" i="37"/>
  <c r="V195" i="37"/>
  <c r="V34" i="37"/>
  <c r="V7" i="37"/>
  <c r="V11" i="37"/>
  <c r="V189" i="37"/>
  <c r="V309" i="37"/>
  <c r="V70" i="37"/>
  <c r="V130" i="37"/>
  <c r="V43" i="37"/>
  <c r="V197" i="37"/>
  <c r="V26" i="37"/>
  <c r="V143" i="37"/>
  <c r="V302" i="37"/>
  <c r="V265" i="37"/>
  <c r="V271" i="37"/>
  <c r="V252" i="37"/>
  <c r="V155" i="37"/>
  <c r="V221" i="37"/>
  <c r="V75" i="37"/>
  <c r="V275" i="37"/>
  <c r="V17" i="37"/>
  <c r="V207" i="37"/>
  <c r="V209" i="37"/>
  <c r="V120" i="37"/>
  <c r="V298" i="37"/>
  <c r="V187" i="37"/>
  <c r="V128" i="37"/>
  <c r="V248" i="37"/>
  <c r="V250" i="37"/>
  <c r="V200" i="37"/>
  <c r="V198" i="37"/>
  <c r="V41" i="37"/>
  <c r="V38" i="37"/>
  <c r="V158" i="37"/>
  <c r="V290" i="37"/>
  <c r="V123" i="37"/>
  <c r="V293" i="37"/>
  <c r="V182" i="37"/>
  <c r="V301" i="37"/>
  <c r="V156" i="37"/>
  <c r="V270" i="37"/>
  <c r="V65" i="37"/>
  <c r="V93" i="37"/>
  <c r="V22" i="37"/>
  <c r="V55" i="37"/>
  <c r="V46" i="37"/>
  <c r="V102" i="37"/>
  <c r="V305" i="37"/>
  <c r="V193" i="37"/>
  <c r="V186" i="37"/>
  <c r="V194" i="37"/>
  <c r="V184" i="37"/>
  <c r="V6" i="37"/>
  <c r="V125" i="37"/>
  <c r="V73" i="37"/>
  <c r="V134" i="37"/>
  <c r="V35" i="37"/>
  <c r="V129" i="37"/>
  <c r="V20" i="37"/>
  <c r="V85" i="37"/>
  <c r="V263" i="37"/>
  <c r="V304" i="37"/>
  <c r="V28" i="37"/>
  <c r="V64" i="37"/>
  <c r="V147" i="37"/>
  <c r="V180" i="37"/>
  <c r="V45" i="37"/>
  <c r="V152" i="37"/>
  <c r="V192" i="37"/>
  <c r="V16" i="37"/>
  <c r="V267" i="37"/>
  <c r="V133" i="37"/>
  <c r="V287" i="37"/>
  <c r="V58" i="37"/>
  <c r="V81" i="37"/>
  <c r="V314" i="37"/>
  <c r="V244" i="37"/>
  <c r="V135" i="37"/>
  <c r="V101" i="37"/>
  <c r="V66" i="37"/>
  <c r="V277" i="37"/>
  <c r="V40" i="37"/>
  <c r="V18" i="37"/>
  <c r="V131" i="37"/>
  <c r="V260" i="37"/>
  <c r="V48" i="37"/>
  <c r="V170" i="37"/>
  <c r="V19" i="37"/>
  <c r="V214" i="37"/>
  <c r="V137" i="37"/>
  <c r="V240" i="37"/>
  <c r="V146" i="37"/>
  <c r="V110" i="37"/>
  <c r="V8" i="37"/>
  <c r="V30" i="37"/>
  <c r="V308" i="37"/>
  <c r="V32" i="37"/>
  <c r="V242" i="37"/>
  <c r="V13" i="37"/>
  <c r="V285" i="37"/>
  <c r="V219" i="37"/>
  <c r="V174" i="37"/>
  <c r="V33" i="37"/>
  <c r="V281" i="37"/>
  <c r="V164" i="37"/>
  <c r="V181" i="37"/>
  <c r="V127" i="37"/>
  <c r="V224" i="37"/>
  <c r="V203" i="37"/>
  <c r="V258" i="37"/>
  <c r="V52" i="37"/>
  <c r="V151" i="37"/>
  <c r="V218" i="37"/>
  <c r="V288" i="37"/>
  <c r="V220" i="37"/>
  <c r="V80" i="37"/>
  <c r="V292" i="37"/>
  <c r="V99" i="37"/>
  <c r="V257" i="37"/>
  <c r="V178" i="37"/>
  <c r="V234" i="37"/>
  <c r="V57" i="37"/>
  <c r="V69" i="37"/>
  <c r="V225" i="37"/>
  <c r="V39" i="37"/>
  <c r="V103" i="37"/>
  <c r="V274" i="37"/>
  <c r="V27" i="37"/>
  <c r="V15" i="37"/>
  <c r="V191" i="37"/>
  <c r="V261" i="37"/>
  <c r="V67" i="37"/>
  <c r="V60" i="37"/>
  <c r="V299" i="37"/>
  <c r="V284" i="37"/>
  <c r="V76" i="37"/>
  <c r="V113" i="37"/>
  <c r="V266" i="37"/>
  <c r="V283" i="37"/>
  <c r="V56" i="37"/>
  <c r="V138" i="37"/>
  <c r="V44" i="37"/>
  <c r="V149" i="37"/>
  <c r="V204" i="37"/>
  <c r="V282" i="37"/>
  <c r="V245" i="37"/>
  <c r="V243" i="37"/>
  <c r="V112" i="37"/>
  <c r="V154" i="37"/>
  <c r="V139" i="37"/>
  <c r="V254" i="37"/>
  <c r="V256" i="37"/>
  <c r="V289" i="37"/>
  <c r="V188" i="37"/>
  <c r="V228" i="37"/>
  <c r="V106" i="37"/>
  <c r="V294" i="37"/>
  <c r="V136" i="37"/>
  <c r="V313" i="37"/>
  <c r="V307" i="37"/>
  <c r="V159" i="37"/>
  <c r="V87" i="37"/>
  <c r="V223" i="37"/>
  <c r="V72" i="37"/>
  <c r="V212" i="37"/>
  <c r="V84" i="37"/>
  <c r="V119" i="37"/>
  <c r="V47" i="37"/>
  <c r="V24" i="37"/>
  <c r="V169" i="37"/>
  <c r="V236" i="37"/>
  <c r="V63" i="37"/>
  <c r="V202" i="37"/>
  <c r="V116" i="37"/>
  <c r="V104" i="37"/>
  <c r="V251" i="37"/>
  <c r="V163" i="37"/>
  <c r="V117" i="37"/>
  <c r="V175" i="37"/>
  <c r="V148" i="37"/>
  <c r="V215" i="37"/>
  <c r="V132" i="37"/>
  <c r="V166" i="37"/>
  <c r="V68" i="37"/>
  <c r="V183" i="37"/>
  <c r="V230" i="37"/>
  <c r="V272" i="37"/>
  <c r="V208" i="37"/>
  <c r="V295" i="37"/>
  <c r="V253" i="37"/>
  <c r="V179" i="37"/>
  <c r="V36" i="37"/>
  <c r="V255" i="37"/>
  <c r="V79" i="37"/>
  <c r="V150" i="37"/>
  <c r="V280" i="37"/>
  <c r="V171" i="37"/>
  <c r="V88" i="37"/>
  <c r="V168" i="37"/>
  <c r="V233" i="37"/>
  <c r="V206" i="37"/>
  <c r="V239" i="37"/>
  <c r="V109" i="37"/>
  <c r="V9" i="37"/>
  <c r="V90" i="37"/>
  <c r="V122" i="37"/>
  <c r="V173" i="37"/>
  <c r="V235" i="37"/>
  <c r="V114" i="37"/>
  <c r="V226" i="37"/>
  <c r="V94" i="37"/>
  <c r="V162" i="37"/>
  <c r="V247" i="37"/>
  <c r="V165" i="37"/>
  <c r="V71" i="37"/>
  <c r="V161" i="37"/>
  <c r="V306" i="37"/>
  <c r="V276" i="37"/>
  <c r="V59" i="37"/>
  <c r="V74" i="37"/>
  <c r="V10" i="37"/>
  <c r="V310" i="37"/>
  <c r="V54" i="37"/>
  <c r="V296" i="37"/>
  <c r="V98" i="37"/>
  <c r="V115" i="37"/>
  <c r="V141" i="37"/>
  <c r="V86" i="37"/>
  <c r="V269" i="37"/>
  <c r="V107" i="37"/>
  <c r="V124" i="37"/>
  <c r="V108" i="37"/>
  <c r="V291" i="37"/>
  <c r="V89" i="37"/>
  <c r="V286" i="37"/>
  <c r="V185" i="37"/>
  <c r="V213" i="37"/>
  <c r="V229" i="37"/>
  <c r="V77" i="37"/>
  <c r="V268" i="37"/>
  <c r="V303" i="37"/>
  <c r="V23" i="37"/>
  <c r="V205" i="37"/>
  <c r="V37" i="37"/>
  <c r="V273" i="37"/>
  <c r="V95" i="37"/>
  <c r="V145" i="37"/>
  <c r="V50" i="37"/>
  <c r="V278" i="37"/>
  <c r="V78" i="37"/>
  <c r="V227" i="37"/>
  <c r="V262" i="37"/>
  <c r="V210" i="37"/>
  <c r="V315" i="37"/>
  <c r="V238" i="37"/>
  <c r="V216" i="37"/>
  <c r="V196" i="37"/>
  <c r="V300" i="37"/>
  <c r="V311" i="37"/>
  <c r="V61" i="37"/>
  <c r="V51" i="37"/>
  <c r="V91" i="37"/>
  <c r="V264" i="37"/>
  <c r="V42" i="37"/>
  <c r="V118" i="37"/>
  <c r="V177" i="37"/>
  <c r="V49" i="37"/>
  <c r="V190" i="37"/>
  <c r="V199" i="37"/>
  <c r="V31" i="37"/>
  <c r="V83" i="37"/>
  <c r="V297" i="37"/>
  <c r="V231" i="37"/>
  <c r="V14" i="37"/>
  <c r="V172" i="37"/>
  <c r="V97" i="37"/>
  <c r="V312" i="37"/>
  <c r="V142" i="37"/>
  <c r="V21" i="37"/>
  <c r="V201" i="37"/>
  <c r="V246" i="37"/>
  <c r="V53" i="37"/>
  <c r="V92" i="37"/>
  <c r="V140" i="37"/>
  <c r="V25" i="37"/>
  <c r="V100" i="37"/>
  <c r="V316" i="37"/>
  <c r="V167" i="37"/>
  <c r="V5" i="37"/>
  <c r="V279" i="37"/>
  <c r="V217" i="37"/>
  <c r="V211" i="37"/>
  <c r="V232" i="37"/>
  <c r="V176" i="37"/>
  <c r="V126" i="37"/>
  <c r="V121" i="37"/>
  <c r="V222" i="37"/>
  <c r="V249" i="37"/>
  <c r="V111" i="37"/>
  <c r="V62" i="37"/>
  <c r="V157" i="37"/>
  <c r="V237" i="37"/>
  <c r="V160" i="37"/>
  <c r="V96" i="37"/>
  <c r="V105" i="37"/>
  <c r="V153" i="37"/>
  <c r="V259" i="37"/>
  <c r="V144" i="37"/>
  <c r="V12" i="37"/>
  <c r="V241" i="37"/>
  <c r="V29" i="37"/>
  <c r="V4" i="36"/>
  <c r="V3" i="36" s="1" a="1"/>
  <c r="V3" i="36" s="1"/>
  <c r="U4" i="38" l="1"/>
  <c r="U3" i="38" s="1" a="1"/>
  <c r="U3" i="38" s="1"/>
  <c r="U4" i="37"/>
  <c r="U3" i="37" s="1" a="1"/>
  <c r="U3" i="37" s="1"/>
  <c r="U4" i="39"/>
  <c r="U3" i="39" s="1" a="1"/>
  <c r="U3" i="39" s="1"/>
  <c r="W317" i="36" l="1"/>
  <c r="X317" i="36" s="1"/>
  <c r="W318" i="36"/>
  <c r="X318" i="36" s="1"/>
  <c r="V4" i="38"/>
  <c r="V3" i="38" s="1" a="1"/>
  <c r="V3" i="38" s="1"/>
  <c r="V4" i="37"/>
  <c r="V3" i="37" s="1" a="1"/>
  <c r="V3" i="37" s="1"/>
  <c r="V4" i="39"/>
  <c r="V3" i="39" s="1" a="1"/>
  <c r="V3" i="39" s="1"/>
  <c r="W18" i="36"/>
  <c r="X18" i="36" s="1"/>
  <c r="E18" i="19" s="1"/>
  <c r="W307" i="36"/>
  <c r="X307" i="36" s="1"/>
  <c r="E310" i="19" s="1"/>
  <c r="W161" i="36"/>
  <c r="X161" i="36" s="1"/>
  <c r="E162" i="19" s="1"/>
  <c r="W110" i="36"/>
  <c r="X110" i="36" s="1"/>
  <c r="E111" i="19" s="1"/>
  <c r="W213" i="36"/>
  <c r="X213" i="36" s="1"/>
  <c r="E215" i="19" s="1"/>
  <c r="W209" i="36"/>
  <c r="X209" i="36" s="1"/>
  <c r="E211" i="19" s="1"/>
  <c r="W45" i="36"/>
  <c r="X45" i="36" s="1"/>
  <c r="E45" i="19" s="1"/>
  <c r="W46" i="36"/>
  <c r="X46" i="36" s="1"/>
  <c r="E46" i="19" s="1"/>
  <c r="W159" i="36"/>
  <c r="X159" i="36" s="1"/>
  <c r="E160" i="19" s="1"/>
  <c r="W75" i="36"/>
  <c r="X75" i="36" s="1"/>
  <c r="E75" i="19" s="1"/>
  <c r="W206" i="36"/>
  <c r="X206" i="36" s="1"/>
  <c r="E208" i="19" s="1"/>
  <c r="W215" i="36"/>
  <c r="X215" i="36" s="1"/>
  <c r="E217" i="19" s="1"/>
  <c r="W22" i="36"/>
  <c r="X22" i="36" s="1"/>
  <c r="E22" i="19" s="1"/>
  <c r="W288" i="36"/>
  <c r="X288" i="36" s="1"/>
  <c r="E291" i="19" s="1"/>
  <c r="W52" i="36"/>
  <c r="X52" i="36" s="1"/>
  <c r="E52" i="19" s="1"/>
  <c r="W188" i="36"/>
  <c r="X188" i="36" s="1"/>
  <c r="E189" i="19" s="1"/>
  <c r="W31" i="36"/>
  <c r="X31" i="36" s="1"/>
  <c r="E31" i="19" s="1"/>
  <c r="W232" i="36"/>
  <c r="X232" i="36" s="1"/>
  <c r="E235" i="19" s="1"/>
  <c r="W247" i="36"/>
  <c r="X247" i="36" s="1"/>
  <c r="E250" i="19" s="1"/>
  <c r="W109" i="36"/>
  <c r="X109" i="36" s="1"/>
  <c r="E110" i="19" s="1"/>
  <c r="W41" i="36"/>
  <c r="X41" i="36" s="1"/>
  <c r="E41" i="19" s="1"/>
  <c r="W19" i="36"/>
  <c r="X19" i="36" s="1"/>
  <c r="E19" i="19" s="1"/>
  <c r="W40" i="36"/>
  <c r="X40" i="36" s="1"/>
  <c r="E40" i="19" s="1"/>
  <c r="W59" i="36"/>
  <c r="X59" i="36" s="1"/>
  <c r="E59" i="19" s="1"/>
  <c r="W311" i="36"/>
  <c r="X311" i="36" s="1"/>
  <c r="E314" i="19" s="1"/>
  <c r="W50" i="36"/>
  <c r="X50" i="36" s="1"/>
  <c r="E50" i="19" s="1"/>
  <c r="W253" i="36"/>
  <c r="X253" i="36" s="1"/>
  <c r="E256" i="19" s="1"/>
  <c r="W81" i="36"/>
  <c r="X81" i="36" s="1"/>
  <c r="E81" i="19" s="1"/>
  <c r="W111" i="36"/>
  <c r="X111" i="36" s="1"/>
  <c r="E112" i="19" s="1"/>
  <c r="W43" i="36"/>
  <c r="X43" i="36" s="1"/>
  <c r="E43" i="19" s="1"/>
  <c r="W86" i="36"/>
  <c r="X86" i="36" s="1"/>
  <c r="E86" i="19" s="1"/>
  <c r="W226" i="36"/>
  <c r="X226" i="36" s="1"/>
  <c r="E228" i="19" s="1"/>
  <c r="W258" i="36"/>
  <c r="X258" i="36" s="1"/>
  <c r="E261" i="19" s="1"/>
  <c r="W147" i="36"/>
  <c r="X147" i="36" s="1"/>
  <c r="E148" i="19" s="1"/>
  <c r="W210" i="36"/>
  <c r="X210" i="36" s="1"/>
  <c r="E212" i="19" s="1"/>
  <c r="W177" i="36"/>
  <c r="X177" i="36" s="1"/>
  <c r="E178" i="19" s="1"/>
  <c r="W49" i="36"/>
  <c r="X49" i="36" s="1"/>
  <c r="E49" i="19" s="1"/>
  <c r="W55" i="36"/>
  <c r="X55" i="36" s="1"/>
  <c r="E55" i="19" s="1"/>
  <c r="W123" i="36"/>
  <c r="X123" i="36" s="1"/>
  <c r="E124" i="19" s="1"/>
  <c r="W207" i="36"/>
  <c r="X207" i="36" s="1"/>
  <c r="E209" i="19" s="1"/>
  <c r="W212" i="36"/>
  <c r="X212" i="36" s="1"/>
  <c r="E214" i="19" s="1"/>
  <c r="W121" i="36"/>
  <c r="X121" i="36" s="1"/>
  <c r="E122" i="19" s="1"/>
  <c r="W217" i="36"/>
  <c r="X217" i="36" s="1"/>
  <c r="E219" i="19" s="1"/>
  <c r="W265" i="36"/>
  <c r="X265" i="36" s="1"/>
  <c r="E268" i="19" s="1"/>
  <c r="W148" i="36"/>
  <c r="X148" i="36" s="1"/>
  <c r="E149" i="19" s="1"/>
  <c r="W16" i="36"/>
  <c r="X16" i="36" s="1"/>
  <c r="E16" i="19" s="1"/>
  <c r="W98" i="36"/>
  <c r="X98" i="36" s="1"/>
  <c r="E98" i="19" s="1"/>
  <c r="W289" i="36"/>
  <c r="X289" i="36" s="1"/>
  <c r="E292" i="19" s="1"/>
  <c r="W298" i="36"/>
  <c r="X298" i="36" s="1"/>
  <c r="E301" i="19" s="1"/>
  <c r="W90" i="36"/>
  <c r="X90" i="36" s="1"/>
  <c r="E90" i="19" s="1"/>
  <c r="W216" i="36"/>
  <c r="X216" i="36" s="1"/>
  <c r="E218" i="19" s="1"/>
  <c r="W27" i="36"/>
  <c r="X27" i="36" s="1"/>
  <c r="E27" i="19" s="1"/>
  <c r="W25" i="36"/>
  <c r="X25" i="36" s="1"/>
  <c r="E25" i="19" s="1"/>
  <c r="W295" i="36"/>
  <c r="X295" i="36" s="1"/>
  <c r="E298" i="19" s="1"/>
  <c r="W313" i="36"/>
  <c r="X313" i="36" s="1"/>
  <c r="E316" i="19" s="1"/>
  <c r="W260" i="36"/>
  <c r="X260" i="36" s="1"/>
  <c r="E263" i="19" s="1"/>
  <c r="W306" i="36"/>
  <c r="X306" i="36" s="1"/>
  <c r="E309" i="19" s="1"/>
  <c r="W112" i="36"/>
  <c r="X112" i="36" s="1"/>
  <c r="E113" i="19" s="1"/>
  <c r="W102" i="36"/>
  <c r="X102" i="36" s="1"/>
  <c r="E102" i="19" s="1"/>
  <c r="W201" i="36"/>
  <c r="X201" i="36" s="1"/>
  <c r="E203" i="19" s="1"/>
  <c r="W152" i="36"/>
  <c r="X152" i="36" s="1"/>
  <c r="E153" i="19" s="1"/>
  <c r="W67" i="36"/>
  <c r="X67" i="36" s="1"/>
  <c r="E67" i="19" s="1"/>
  <c r="W184" i="36"/>
  <c r="X184" i="36" s="1"/>
  <c r="E185" i="19" s="1"/>
  <c r="W120" i="36"/>
  <c r="X120" i="36" s="1"/>
  <c r="E121" i="19" s="1"/>
  <c r="W38" i="36"/>
  <c r="X38" i="36" s="1"/>
  <c r="E38" i="19" s="1"/>
  <c r="W103" i="36"/>
  <c r="X103" i="36" s="1"/>
  <c r="E103" i="19" s="1"/>
  <c r="W151" i="36"/>
  <c r="X151" i="36" s="1"/>
  <c r="E152" i="19" s="1"/>
  <c r="W20" i="36"/>
  <c r="X20" i="36" s="1"/>
  <c r="E20" i="19" s="1"/>
  <c r="W61" i="36"/>
  <c r="X61" i="36" s="1"/>
  <c r="E61" i="19" s="1"/>
  <c r="W92" i="36"/>
  <c r="X92" i="36" s="1"/>
  <c r="E92" i="19" s="1"/>
  <c r="W157" i="36"/>
  <c r="X157" i="36" s="1"/>
  <c r="E158" i="19" s="1"/>
  <c r="W100" i="36"/>
  <c r="X100" i="36" s="1"/>
  <c r="E100" i="19" s="1"/>
  <c r="W183" i="36"/>
  <c r="X183" i="36" s="1"/>
  <c r="E184" i="19" s="1"/>
  <c r="W136" i="36"/>
  <c r="X136" i="36" s="1"/>
  <c r="E137" i="19" s="1"/>
  <c r="W153" i="36"/>
  <c r="X153" i="36" s="1"/>
  <c r="E154" i="19" s="1"/>
  <c r="W237" i="36"/>
  <c r="X237" i="36" s="1"/>
  <c r="E240" i="19" s="1"/>
  <c r="W234" i="36"/>
  <c r="X234" i="36" s="1"/>
  <c r="E237" i="19" s="1"/>
  <c r="W214" i="36"/>
  <c r="X214" i="36" s="1"/>
  <c r="E216" i="19" s="1"/>
  <c r="W83" i="36"/>
  <c r="X83" i="36" s="1"/>
  <c r="E83" i="19" s="1"/>
  <c r="W233" i="36"/>
  <c r="X233" i="36" s="1"/>
  <c r="E236" i="19" s="1"/>
  <c r="W246" i="36"/>
  <c r="X246" i="36" s="1"/>
  <c r="E249" i="19" s="1"/>
  <c r="W196" i="36"/>
  <c r="X196" i="36" s="1"/>
  <c r="E198" i="19" s="1"/>
  <c r="W278" i="36"/>
  <c r="X278" i="36" s="1"/>
  <c r="E281" i="19" s="1"/>
  <c r="W287" i="36"/>
  <c r="X287" i="36" s="1"/>
  <c r="E290" i="19" s="1"/>
  <c r="W167" i="36"/>
  <c r="X167" i="36" s="1"/>
  <c r="E168" i="19" s="1"/>
  <c r="W108" i="36"/>
  <c r="X108" i="36" s="1"/>
  <c r="E109" i="19" s="1"/>
  <c r="W10" i="36"/>
  <c r="X10" i="36" s="1"/>
  <c r="E10" i="19" s="1"/>
  <c r="W218" i="36"/>
  <c r="X218" i="36" s="1"/>
  <c r="E220" i="19" s="1"/>
  <c r="W303" i="36"/>
  <c r="X303" i="36" s="1"/>
  <c r="E306" i="19" s="1"/>
  <c r="W142" i="36"/>
  <c r="X142" i="36" s="1"/>
  <c r="E143" i="19" s="1"/>
  <c r="W133" i="36"/>
  <c r="X133" i="36" s="1"/>
  <c r="E134" i="19" s="1"/>
  <c r="W179" i="36"/>
  <c r="X179" i="36" s="1"/>
  <c r="E180" i="19" s="1"/>
  <c r="W70" i="36"/>
  <c r="X70" i="36" s="1"/>
  <c r="E70" i="19" s="1"/>
  <c r="W71" i="36"/>
  <c r="X71" i="36" s="1"/>
  <c r="E71" i="19" s="1"/>
  <c r="W203" i="36"/>
  <c r="X203" i="36" s="1"/>
  <c r="E205" i="19" s="1"/>
  <c r="W263" i="36"/>
  <c r="X263" i="36" s="1"/>
  <c r="E266" i="19" s="1"/>
  <c r="W119" i="36"/>
  <c r="X119" i="36" s="1"/>
  <c r="E120" i="19" s="1"/>
  <c r="W180" i="36"/>
  <c r="X180" i="36" s="1"/>
  <c r="E181" i="19" s="1"/>
  <c r="W174" i="36"/>
  <c r="X174" i="36" s="1"/>
  <c r="E175" i="19" s="1"/>
  <c r="W267" i="36"/>
  <c r="X267" i="36" s="1"/>
  <c r="E270" i="19" s="1"/>
  <c r="W30" i="36"/>
  <c r="X30" i="36" s="1"/>
  <c r="E30" i="19" s="1"/>
  <c r="W129" i="36"/>
  <c r="X129" i="36" s="1"/>
  <c r="E130" i="19" s="1"/>
  <c r="W99" i="36"/>
  <c r="X99" i="36" s="1"/>
  <c r="E99" i="19" s="1"/>
  <c r="W275" i="36"/>
  <c r="X275" i="36" s="1"/>
  <c r="E278" i="19" s="1"/>
  <c r="W140" i="36"/>
  <c r="X140" i="36" s="1"/>
  <c r="E141" i="19" s="1"/>
  <c r="W72" i="36"/>
  <c r="X72" i="36" s="1"/>
  <c r="E72" i="19" s="1"/>
  <c r="W132" i="36"/>
  <c r="X132" i="36" s="1"/>
  <c r="E133" i="19" s="1"/>
  <c r="W141" i="36"/>
  <c r="X141" i="36" s="1"/>
  <c r="E142" i="19" s="1"/>
  <c r="W290" i="36"/>
  <c r="X290" i="36" s="1"/>
  <c r="E293" i="19" s="1"/>
  <c r="W220" i="36"/>
  <c r="X220" i="36" s="1"/>
  <c r="E222" i="19" s="1"/>
  <c r="W230" i="36"/>
  <c r="X230" i="36" s="1"/>
  <c r="E233" i="19" s="1"/>
  <c r="W262" i="36"/>
  <c r="X262" i="36" s="1"/>
  <c r="E265" i="19" s="1"/>
  <c r="W166" i="36"/>
  <c r="X166" i="36" s="1"/>
  <c r="E167" i="19" s="1"/>
  <c r="W281" i="36"/>
  <c r="X281" i="36" s="1"/>
  <c r="E284" i="19" s="1"/>
  <c r="W35" i="36"/>
  <c r="X35" i="36" s="1"/>
  <c r="E35" i="19" s="1"/>
  <c r="W82" i="36"/>
  <c r="X82" i="36" s="1"/>
  <c r="E82" i="19" s="1"/>
  <c r="W154" i="36"/>
  <c r="X154" i="36" s="1"/>
  <c r="E155" i="19" s="1"/>
  <c r="W37" i="36"/>
  <c r="X37" i="36" s="1"/>
  <c r="E37" i="19" s="1"/>
  <c r="W89" i="36"/>
  <c r="X89" i="36" s="1"/>
  <c r="E89" i="19" s="1"/>
  <c r="W296" i="36"/>
  <c r="X296" i="36" s="1"/>
  <c r="E299" i="19" s="1"/>
  <c r="W12" i="36"/>
  <c r="X12" i="36" s="1"/>
  <c r="E12" i="19" s="1"/>
  <c r="W286" i="36"/>
  <c r="X286" i="36" s="1"/>
  <c r="E289" i="19" s="1"/>
  <c r="W235" i="36"/>
  <c r="X235" i="36" s="1"/>
  <c r="E238" i="19" s="1"/>
  <c r="W128" i="36"/>
  <c r="X128" i="36" s="1"/>
  <c r="E129" i="19" s="1"/>
  <c r="W54" i="36"/>
  <c r="X54" i="36" s="1"/>
  <c r="E54" i="19" s="1"/>
  <c r="W316" i="36"/>
  <c r="X316" i="36" s="1"/>
  <c r="E195" i="19" s="1"/>
  <c r="W88" i="36"/>
  <c r="X88" i="36" s="1"/>
  <c r="E88" i="19" s="1"/>
  <c r="W285" i="36"/>
  <c r="X285" i="36" s="1"/>
  <c r="E288" i="19" s="1"/>
  <c r="W65" i="36"/>
  <c r="X65" i="36" s="1"/>
  <c r="E65" i="19" s="1"/>
  <c r="W6" i="36"/>
  <c r="X6" i="36" s="1"/>
  <c r="E6" i="19" s="1"/>
  <c r="W162" i="36"/>
  <c r="X162" i="36" s="1"/>
  <c r="E163" i="19" s="1"/>
  <c r="W107" i="36"/>
  <c r="X107" i="36" s="1"/>
  <c r="E108" i="19" s="1"/>
  <c r="W274" i="36"/>
  <c r="X274" i="36" s="1"/>
  <c r="E277" i="19" s="1"/>
  <c r="W242" i="36"/>
  <c r="X242" i="36" s="1"/>
  <c r="E245" i="19" s="1"/>
  <c r="W64" i="36"/>
  <c r="X64" i="36" s="1"/>
  <c r="E64" i="19" s="1"/>
  <c r="W60" i="36"/>
  <c r="X60" i="36" s="1"/>
  <c r="E60" i="19" s="1"/>
  <c r="W47" i="36"/>
  <c r="X47" i="36" s="1"/>
  <c r="E47" i="19" s="1"/>
  <c r="W131" i="36"/>
  <c r="X131" i="36" s="1"/>
  <c r="E132" i="19" s="1"/>
  <c r="W249" i="36"/>
  <c r="X249" i="36" s="1"/>
  <c r="E252" i="19" s="1"/>
  <c r="W190" i="36"/>
  <c r="X190" i="36" s="1"/>
  <c r="E191" i="19" s="1"/>
  <c r="W266" i="36"/>
  <c r="X266" i="36" s="1"/>
  <c r="E269" i="19" s="1"/>
  <c r="W36" i="36"/>
  <c r="X36" i="36" s="1"/>
  <c r="E36" i="19" s="1"/>
  <c r="W248" i="36"/>
  <c r="X248" i="36" s="1"/>
  <c r="E251" i="19" s="1"/>
  <c r="W62" i="36"/>
  <c r="X62" i="36" s="1"/>
  <c r="E62" i="19" s="1"/>
  <c r="W138" i="36"/>
  <c r="X138" i="36" s="1"/>
  <c r="E139" i="19" s="1"/>
  <c r="W80" i="36"/>
  <c r="X80" i="36" s="1"/>
  <c r="E80" i="19" s="1"/>
  <c r="W23" i="36"/>
  <c r="X23" i="36" s="1"/>
  <c r="E23" i="19" s="1"/>
  <c r="W228" i="36"/>
  <c r="X228" i="36" s="1"/>
  <c r="E231" i="19" s="1"/>
  <c r="W300" i="36"/>
  <c r="X300" i="36" s="1"/>
  <c r="E303" i="19" s="1"/>
  <c r="W225" i="36"/>
  <c r="X225" i="36" s="1"/>
  <c r="E227" i="19" s="1"/>
  <c r="W240" i="36"/>
  <c r="X240" i="36" s="1"/>
  <c r="E243" i="19" s="1"/>
  <c r="W32" i="36"/>
  <c r="X32" i="36" s="1"/>
  <c r="E32" i="19" s="1"/>
  <c r="W85" i="36"/>
  <c r="X85" i="36" s="1"/>
  <c r="E85" i="19" s="1"/>
  <c r="W163" i="36"/>
  <c r="X163" i="36" s="1"/>
  <c r="E164" i="19" s="1"/>
  <c r="W125" i="36"/>
  <c r="X125" i="36" s="1"/>
  <c r="E126" i="19" s="1"/>
  <c r="W94" i="36"/>
  <c r="X94" i="36" s="1"/>
  <c r="E94" i="19" s="1"/>
  <c r="W182" i="36"/>
  <c r="X182" i="36" s="1"/>
  <c r="E183" i="19" s="1"/>
  <c r="W222" i="36"/>
  <c r="X222" i="36" s="1"/>
  <c r="E224" i="19" s="1"/>
  <c r="W199" i="36"/>
  <c r="X199" i="36" s="1"/>
  <c r="E201" i="19" s="1"/>
  <c r="W221" i="36"/>
  <c r="X221" i="36" s="1"/>
  <c r="E223" i="19" s="1"/>
  <c r="W24" i="36"/>
  <c r="X24" i="36" s="1"/>
  <c r="E24" i="19" s="1"/>
  <c r="W164" i="36"/>
  <c r="X164" i="36" s="1"/>
  <c r="E165" i="19" s="1"/>
  <c r="W34" i="36"/>
  <c r="X34" i="36" s="1"/>
  <c r="E34" i="19" s="1"/>
  <c r="W137" i="36"/>
  <c r="X137" i="36" s="1"/>
  <c r="E138" i="19" s="1"/>
  <c r="W195" i="36"/>
  <c r="X195" i="36" s="1"/>
  <c r="E197" i="19" s="1"/>
  <c r="W63" i="36"/>
  <c r="X63" i="36" s="1"/>
  <c r="E63" i="19" s="1"/>
  <c r="W280" i="36"/>
  <c r="X280" i="36" s="1"/>
  <c r="E283" i="19" s="1"/>
  <c r="W304" i="36"/>
  <c r="X304" i="36" s="1"/>
  <c r="E307" i="19" s="1"/>
  <c r="W241" i="36"/>
  <c r="X241" i="36" s="1"/>
  <c r="E244" i="19" s="1"/>
  <c r="W310" i="36"/>
  <c r="X310" i="36" s="1"/>
  <c r="E313" i="19" s="1"/>
  <c r="W165" i="36"/>
  <c r="X165" i="36" s="1"/>
  <c r="E166" i="19" s="1"/>
  <c r="W192" i="36"/>
  <c r="X192" i="36" s="1"/>
  <c r="E193" i="19" s="1"/>
  <c r="W170" i="36"/>
  <c r="X170" i="36" s="1"/>
  <c r="E171" i="19" s="1"/>
  <c r="W314" i="36"/>
  <c r="X314" i="36" s="1"/>
  <c r="E317" i="19" s="1"/>
  <c r="W178" i="36"/>
  <c r="X178" i="36" s="1"/>
  <c r="E179" i="19" s="1"/>
  <c r="W294" i="36"/>
  <c r="X294" i="36" s="1"/>
  <c r="E297" i="19" s="1"/>
  <c r="W186" i="36"/>
  <c r="X186" i="36" s="1"/>
  <c r="E187" i="19" s="1"/>
  <c r="W114" i="36"/>
  <c r="X114" i="36" s="1"/>
  <c r="E115" i="19" s="1"/>
  <c r="W202" i="36"/>
  <c r="X202" i="36" s="1"/>
  <c r="E204" i="19" s="1"/>
  <c r="W26" i="36"/>
  <c r="X26" i="36" s="1"/>
  <c r="E26" i="19" s="1"/>
  <c r="W130" i="36"/>
  <c r="X130" i="36" s="1"/>
  <c r="E131" i="19" s="1"/>
  <c r="W7" i="36"/>
  <c r="X7" i="36" s="1"/>
  <c r="E7" i="19" s="1"/>
  <c r="W171" i="36"/>
  <c r="X171" i="36" s="1"/>
  <c r="E172" i="19" s="1"/>
  <c r="W17" i="36"/>
  <c r="X17" i="36" s="1"/>
  <c r="E17" i="19" s="1"/>
  <c r="W160" i="36"/>
  <c r="X160" i="36" s="1"/>
  <c r="E161" i="19" s="1"/>
  <c r="W271" i="36"/>
  <c r="X271" i="36" s="1"/>
  <c r="E274" i="19" s="1"/>
  <c r="W29" i="36"/>
  <c r="X29" i="36" s="1"/>
  <c r="E29" i="19" s="1"/>
  <c r="W236" i="36"/>
  <c r="X236" i="36" s="1"/>
  <c r="E239" i="19" s="1"/>
  <c r="W176" i="36"/>
  <c r="X176" i="36" s="1"/>
  <c r="E177" i="19" s="1"/>
  <c r="W15" i="36"/>
  <c r="X15" i="36" s="1"/>
  <c r="E15" i="19" s="1"/>
  <c r="W146" i="36"/>
  <c r="X146" i="36" s="1"/>
  <c r="E147" i="19" s="1"/>
  <c r="W305" i="36"/>
  <c r="X305" i="36" s="1"/>
  <c r="E308" i="19" s="1"/>
  <c r="W104" i="36"/>
  <c r="X104" i="36" s="1"/>
  <c r="E104" i="19" s="1"/>
  <c r="W74" i="36"/>
  <c r="X74" i="36" s="1"/>
  <c r="E74" i="19" s="1"/>
  <c r="W238" i="36"/>
  <c r="X238" i="36" s="1"/>
  <c r="E241" i="19" s="1"/>
  <c r="W292" i="36"/>
  <c r="X292" i="36" s="1"/>
  <c r="E295" i="19" s="1"/>
  <c r="W44" i="36"/>
  <c r="X44" i="36" s="1"/>
  <c r="E44" i="19" s="1"/>
  <c r="W198" i="36"/>
  <c r="X198" i="36" s="1"/>
  <c r="E200" i="19" s="1"/>
  <c r="W308" i="36"/>
  <c r="X308" i="36" s="1"/>
  <c r="E311" i="19" s="1"/>
  <c r="W150" i="36"/>
  <c r="X150" i="36" s="1"/>
  <c r="E151" i="19" s="1"/>
  <c r="W191" i="36"/>
  <c r="X191" i="36" s="1"/>
  <c r="E192" i="19" s="1"/>
  <c r="W197" i="36"/>
  <c r="X197" i="36" s="1"/>
  <c r="E199" i="19" s="1"/>
  <c r="W91" i="36"/>
  <c r="X91" i="36" s="1"/>
  <c r="E91" i="19" s="1"/>
  <c r="W257" i="36"/>
  <c r="X257" i="36" s="1"/>
  <c r="E260" i="19" s="1"/>
  <c r="W291" i="36"/>
  <c r="X291" i="36" s="1"/>
  <c r="E294" i="19" s="1"/>
  <c r="W261" i="36"/>
  <c r="X261" i="36" s="1"/>
  <c r="E264" i="19" s="1"/>
  <c r="W283" i="36"/>
  <c r="X283" i="36" s="1"/>
  <c r="E286" i="19" s="1"/>
  <c r="W315" i="36"/>
  <c r="X315" i="36" s="1"/>
  <c r="E318" i="19" s="1"/>
  <c r="W127" i="36"/>
  <c r="X127" i="36" s="1"/>
  <c r="E128" i="19" s="1"/>
  <c r="W118" i="36"/>
  <c r="X118" i="36" s="1"/>
  <c r="E119" i="19" s="1"/>
  <c r="W143" i="36"/>
  <c r="X143" i="36" s="1"/>
  <c r="E144" i="19" s="1"/>
  <c r="W284" i="36"/>
  <c r="X284" i="36" s="1"/>
  <c r="E287" i="19" s="1"/>
  <c r="W172" i="36"/>
  <c r="X172" i="36" s="1"/>
  <c r="E173" i="19" s="1"/>
  <c r="W252" i="36"/>
  <c r="X252" i="36" s="1"/>
  <c r="E255" i="19" s="1"/>
  <c r="W194" i="36"/>
  <c r="X194" i="36" s="1"/>
  <c r="E196" i="19" s="1"/>
  <c r="W48" i="36"/>
  <c r="X48" i="36" s="1"/>
  <c r="E48" i="19" s="1"/>
  <c r="W156" i="36"/>
  <c r="X156" i="36" s="1"/>
  <c r="E157" i="19" s="1"/>
  <c r="W5" i="36"/>
  <c r="X5" i="36" s="1"/>
  <c r="E5" i="19" s="1"/>
  <c r="W181" i="36"/>
  <c r="X181" i="36" s="1"/>
  <c r="E182" i="19" s="1"/>
  <c r="W145" i="36"/>
  <c r="X145" i="36" s="1"/>
  <c r="E146" i="19" s="1"/>
  <c r="W51" i="36"/>
  <c r="X51" i="36" s="1"/>
  <c r="E51" i="19" s="1"/>
  <c r="W269" i="36"/>
  <c r="X269" i="36" s="1"/>
  <c r="E272" i="19" s="1"/>
  <c r="W69" i="36"/>
  <c r="X69" i="36" s="1"/>
  <c r="E69" i="19" s="1"/>
  <c r="W124" i="36"/>
  <c r="X124" i="36" s="1"/>
  <c r="E125" i="19" s="1"/>
  <c r="W187" i="36"/>
  <c r="X187" i="36" s="1"/>
  <c r="E188" i="19" s="1"/>
  <c r="W204" i="36"/>
  <c r="X204" i="36" s="1"/>
  <c r="E206" i="19" s="1"/>
  <c r="W169" i="36"/>
  <c r="X169" i="36" s="1"/>
  <c r="E170" i="19" s="1"/>
  <c r="W14" i="36"/>
  <c r="X14" i="36" s="1"/>
  <c r="E14" i="19" s="1"/>
  <c r="W245" i="36"/>
  <c r="X245" i="36" s="1"/>
  <c r="E248" i="19" s="1"/>
  <c r="W297" i="36"/>
  <c r="X297" i="36" s="1"/>
  <c r="E300" i="19" s="1"/>
  <c r="W276" i="36"/>
  <c r="X276" i="36" s="1"/>
  <c r="E279" i="19" s="1"/>
  <c r="W193" i="36"/>
  <c r="X193" i="36" s="1"/>
  <c r="E194" i="19" s="1"/>
  <c r="W279" i="36"/>
  <c r="X279" i="36" s="1"/>
  <c r="E282" i="19" s="1"/>
  <c r="W28" i="36"/>
  <c r="X28" i="36" s="1"/>
  <c r="E28" i="19" s="1"/>
  <c r="W95" i="36"/>
  <c r="X95" i="36" s="1"/>
  <c r="E95" i="19" s="1"/>
  <c r="W116" i="36"/>
  <c r="X116" i="36" s="1"/>
  <c r="E117" i="19" s="1"/>
  <c r="W255" i="36"/>
  <c r="X255" i="36" s="1"/>
  <c r="E258" i="19" s="1"/>
  <c r="W229" i="36"/>
  <c r="X229" i="36" s="1"/>
  <c r="E232" i="19" s="1"/>
  <c r="W211" i="36"/>
  <c r="X211" i="36" s="1"/>
  <c r="E213" i="19" s="1"/>
  <c r="W68" i="36"/>
  <c r="X68" i="36" s="1"/>
  <c r="E68" i="19" s="1"/>
  <c r="W254" i="36"/>
  <c r="X254" i="36" s="1"/>
  <c r="E257" i="19" s="1"/>
  <c r="W21" i="36"/>
  <c r="X21" i="36" s="1"/>
  <c r="E21" i="19" s="1"/>
  <c r="W13" i="36"/>
  <c r="X13" i="36" s="1"/>
  <c r="E13" i="19" s="1"/>
  <c r="W56" i="36"/>
  <c r="X56" i="36" s="1"/>
  <c r="E56" i="19" s="1"/>
  <c r="W239" i="36"/>
  <c r="X239" i="36" s="1"/>
  <c r="E242" i="19" s="1"/>
  <c r="W106" i="36"/>
  <c r="X106" i="36" s="1"/>
  <c r="E107" i="19" s="1"/>
  <c r="W208" i="36"/>
  <c r="X208" i="36" s="1"/>
  <c r="E210" i="19" s="1"/>
  <c r="W144" i="36"/>
  <c r="X144" i="36" s="1"/>
  <c r="E145" i="19" s="1"/>
  <c r="W277" i="36"/>
  <c r="X277" i="36" s="1"/>
  <c r="E280" i="19" s="1"/>
  <c r="W101" i="36"/>
  <c r="X101" i="36" s="1"/>
  <c r="E101" i="19" s="1"/>
  <c r="W270" i="36"/>
  <c r="X270" i="36" s="1"/>
  <c r="E273" i="19" s="1"/>
  <c r="W168" i="36"/>
  <c r="X168" i="36" s="1"/>
  <c r="E169" i="19" s="1"/>
  <c r="W293" i="36"/>
  <c r="X293" i="36" s="1"/>
  <c r="E296" i="19" s="1"/>
  <c r="W93" i="36"/>
  <c r="X93" i="36" s="1"/>
  <c r="E93" i="19" s="1"/>
  <c r="W175" i="36"/>
  <c r="X175" i="36" s="1"/>
  <c r="E176" i="19" s="1"/>
  <c r="W158" i="36"/>
  <c r="X158" i="36" s="1"/>
  <c r="E159" i="19" s="1"/>
  <c r="W122" i="36"/>
  <c r="X122" i="36" s="1"/>
  <c r="E123" i="19" s="1"/>
  <c r="W97" i="36"/>
  <c r="X97" i="36" s="1"/>
  <c r="E97" i="19" s="1"/>
  <c r="W155" i="36"/>
  <c r="X155" i="36" s="1"/>
  <c r="E156" i="19" s="1"/>
  <c r="W11" i="36"/>
  <c r="X11" i="36" s="1"/>
  <c r="E11" i="19" s="1"/>
  <c r="W219" i="36"/>
  <c r="X219" i="36" s="1"/>
  <c r="E221" i="19" s="1"/>
  <c r="W58" i="36"/>
  <c r="X58" i="36" s="1"/>
  <c r="E58" i="19" s="1"/>
  <c r="W272" i="36"/>
  <c r="X272" i="36" s="1"/>
  <c r="E275" i="19" s="1"/>
  <c r="W309" i="36"/>
  <c r="X309" i="36" s="1"/>
  <c r="E312" i="19" s="1"/>
  <c r="W113" i="36"/>
  <c r="X113" i="36" s="1"/>
  <c r="E114" i="19" s="1"/>
  <c r="W57" i="36"/>
  <c r="X57" i="36" s="1"/>
  <c r="E57" i="19" s="1"/>
  <c r="W299" i="36"/>
  <c r="X299" i="36" s="1"/>
  <c r="E302" i="19" s="1"/>
  <c r="W301" i="36"/>
  <c r="X301" i="36" s="1"/>
  <c r="E304" i="19" s="1"/>
  <c r="W282" i="36"/>
  <c r="X282" i="36" s="1"/>
  <c r="E285" i="19" s="1"/>
  <c r="W33" i="36"/>
  <c r="X33" i="36" s="1"/>
  <c r="E33" i="19" s="1"/>
  <c r="W231" i="36"/>
  <c r="X231" i="36" s="1"/>
  <c r="E234" i="19" s="1"/>
  <c r="W264" i="36"/>
  <c r="X264" i="36" s="1"/>
  <c r="E267" i="19" s="1"/>
  <c r="W135" i="36"/>
  <c r="X135" i="36" s="1"/>
  <c r="E136" i="19" s="1"/>
  <c r="W243" i="36"/>
  <c r="X243" i="36" s="1"/>
  <c r="E246" i="19" s="1"/>
  <c r="W105" i="36"/>
  <c r="X105" i="36" s="1"/>
  <c r="E105" i="19" s="1"/>
  <c r="W205" i="36"/>
  <c r="X205" i="36" s="1"/>
  <c r="E207" i="19" s="1"/>
  <c r="W173" i="36"/>
  <c r="X173" i="36" s="1"/>
  <c r="E174" i="19" s="1"/>
  <c r="W139" i="36"/>
  <c r="X139" i="36" s="1"/>
  <c r="E140" i="19" s="1"/>
  <c r="W227" i="36"/>
  <c r="X227" i="36" s="1"/>
  <c r="E229" i="19" s="1"/>
  <c r="W302" i="36"/>
  <c r="X302" i="36" s="1"/>
  <c r="E305" i="19" s="1"/>
  <c r="W87" i="36"/>
  <c r="X87" i="36" s="1"/>
  <c r="E87" i="19" s="1"/>
  <c r="W8" i="36"/>
  <c r="X8" i="36" s="1"/>
  <c r="E8" i="19" s="1"/>
  <c r="W42" i="36"/>
  <c r="X42" i="36" s="1"/>
  <c r="E42" i="19" s="1"/>
  <c r="W134" i="36"/>
  <c r="X134" i="36" s="1"/>
  <c r="E135" i="19" s="1"/>
  <c r="W273" i="36"/>
  <c r="X273" i="36" s="1"/>
  <c r="E276" i="19" s="1"/>
  <c r="W115" i="36"/>
  <c r="X115" i="36" s="1"/>
  <c r="E116" i="19" s="1"/>
  <c r="W39" i="36"/>
  <c r="X39" i="36" s="1"/>
  <c r="E39" i="19" s="1"/>
  <c r="W200" i="36"/>
  <c r="X200" i="36" s="1"/>
  <c r="E202" i="19" s="1"/>
  <c r="W259" i="36"/>
  <c r="X259" i="36" s="1"/>
  <c r="E262" i="19" s="1"/>
  <c r="W268" i="36"/>
  <c r="X268" i="36" s="1"/>
  <c r="E271" i="19" s="1"/>
  <c r="W66" i="36"/>
  <c r="X66" i="36" s="1"/>
  <c r="E66" i="19" s="1"/>
  <c r="W223" i="36"/>
  <c r="X223" i="36" s="1"/>
  <c r="E225" i="19" s="1"/>
  <c r="W53" i="36"/>
  <c r="X53" i="36" s="1"/>
  <c r="E53" i="19" s="1"/>
  <c r="W256" i="36"/>
  <c r="X256" i="36" s="1"/>
  <c r="E259" i="19" s="1"/>
  <c r="W251" i="36"/>
  <c r="X251" i="36" s="1"/>
  <c r="E254" i="19" s="1"/>
  <c r="W117" i="36"/>
  <c r="X117" i="36" s="1"/>
  <c r="E118" i="19" s="1"/>
  <c r="W73" i="36"/>
  <c r="X73" i="36" s="1"/>
  <c r="E73" i="19" s="1"/>
  <c r="W77" i="36"/>
  <c r="X77" i="36" s="1"/>
  <c r="E77" i="19" s="1"/>
  <c r="W189" i="36"/>
  <c r="X189" i="36" s="1"/>
  <c r="E190" i="19" s="1"/>
  <c r="W84" i="36"/>
  <c r="X84" i="36" s="1"/>
  <c r="E84" i="19" s="1"/>
  <c r="W78" i="36"/>
  <c r="X78" i="36" s="1"/>
  <c r="E78" i="19" s="1"/>
  <c r="W250" i="36"/>
  <c r="X250" i="36" s="1"/>
  <c r="E253" i="19" s="1"/>
  <c r="W76" i="36"/>
  <c r="X76" i="36" s="1"/>
  <c r="E76" i="19" s="1"/>
  <c r="W9" i="36"/>
  <c r="X9" i="36" s="1"/>
  <c r="E9" i="19" s="1"/>
  <c r="W96" i="36"/>
  <c r="X96" i="36" s="1"/>
  <c r="E96" i="19" s="1"/>
  <c r="W312" i="36"/>
  <c r="X312" i="36" s="1"/>
  <c r="E315" i="19" s="1"/>
  <c r="W185" i="36"/>
  <c r="X185" i="36" s="1"/>
  <c r="E186" i="19" s="1"/>
  <c r="W79" i="36"/>
  <c r="X79" i="36" s="1"/>
  <c r="E79" i="19" s="1"/>
  <c r="W224" i="36"/>
  <c r="X224" i="36" s="1"/>
  <c r="E226" i="19" s="1"/>
  <c r="W126" i="36"/>
  <c r="X126" i="36" s="1"/>
  <c r="E127" i="19" s="1"/>
  <c r="W244" i="36"/>
  <c r="X244" i="36" s="1"/>
  <c r="E247" i="19" s="1"/>
  <c r="W149" i="36"/>
  <c r="X149" i="36" s="1"/>
  <c r="E150" i="19" s="1"/>
  <c r="W4" i="36"/>
  <c r="W3" i="36" l="1" a="1"/>
  <c r="W3" i="36" s="1"/>
  <c r="Y318" i="36"/>
  <c r="E230" i="19"/>
  <c r="Y317" i="36"/>
  <c r="E106" i="19"/>
  <c r="W317" i="37"/>
  <c r="X317" i="37" s="1"/>
  <c r="W318" i="37"/>
  <c r="X318" i="37" s="1"/>
  <c r="W318" i="38"/>
  <c r="X318" i="38" s="1"/>
  <c r="W317" i="38"/>
  <c r="X317" i="38" s="1"/>
  <c r="W317" i="39"/>
  <c r="X317" i="39" s="1"/>
  <c r="W318" i="39"/>
  <c r="X318" i="39" s="1"/>
  <c r="W4" i="37"/>
  <c r="Y79" i="36"/>
  <c r="Y293" i="36"/>
  <c r="Y105" i="36"/>
  <c r="Y116" i="36"/>
  <c r="Y44" i="36"/>
  <c r="Y182" i="36"/>
  <c r="Y54" i="36"/>
  <c r="Y70" i="36"/>
  <c r="Y295" i="36"/>
  <c r="Y16" i="36"/>
  <c r="Y43" i="36"/>
  <c r="Y87" i="36"/>
  <c r="Y135" i="36"/>
  <c r="Y113" i="36"/>
  <c r="Y101" i="36"/>
  <c r="Y21" i="36"/>
  <c r="Y28" i="36"/>
  <c r="Y204" i="36"/>
  <c r="Y181" i="36"/>
  <c r="Y143" i="36"/>
  <c r="Y91" i="36"/>
  <c r="Y238" i="36"/>
  <c r="Y29" i="36"/>
  <c r="Y202" i="36"/>
  <c r="Y165" i="36"/>
  <c r="Y34" i="36"/>
  <c r="Y125" i="36"/>
  <c r="Y23" i="36"/>
  <c r="Y249" i="36"/>
  <c r="Y162" i="36"/>
  <c r="Y235" i="36"/>
  <c r="Y35" i="36"/>
  <c r="Y132" i="36"/>
  <c r="Y174" i="36"/>
  <c r="Y287" i="36"/>
  <c r="Y237" i="36"/>
  <c r="Y20" i="36"/>
  <c r="Y201" i="36"/>
  <c r="Y27" i="36"/>
  <c r="Y265" i="36"/>
  <c r="Y177" i="36"/>
  <c r="Y81" i="36"/>
  <c r="Y41" i="36"/>
  <c r="Y22" i="36"/>
  <c r="Y213" i="36"/>
  <c r="Y149" i="36"/>
  <c r="Y9" i="36"/>
  <c r="Y117" i="36"/>
  <c r="Y200" i="36"/>
  <c r="Y302" i="36"/>
  <c r="Y264" i="36"/>
  <c r="Y309" i="36"/>
  <c r="Y122" i="36"/>
  <c r="Y277" i="36"/>
  <c r="Y254" i="36"/>
  <c r="Y279" i="36"/>
  <c r="Y187" i="36"/>
  <c r="Y5" i="36"/>
  <c r="Y118" i="36"/>
  <c r="Y197" i="36"/>
  <c r="Y74" i="36"/>
  <c r="Y271" i="36"/>
  <c r="Y114" i="36"/>
  <c r="Y310" i="36"/>
  <c r="Y164" i="36"/>
  <c r="Y163" i="36"/>
  <c r="Y80" i="36"/>
  <c r="Y131" i="36"/>
  <c r="Y6" i="36"/>
  <c r="Y286" i="36"/>
  <c r="Y281" i="36"/>
  <c r="Y72" i="36"/>
  <c r="Y180" i="36"/>
  <c r="Y133" i="36"/>
  <c r="Y278" i="36"/>
  <c r="Y153" i="36"/>
  <c r="Y151" i="36"/>
  <c r="Y102" i="36"/>
  <c r="Y216" i="36"/>
  <c r="Y217" i="36"/>
  <c r="Y210" i="36"/>
  <c r="Y253" i="36"/>
  <c r="Y109" i="36"/>
  <c r="Y215" i="36"/>
  <c r="Y110" i="36"/>
  <c r="Y223" i="36"/>
  <c r="Y185" i="36"/>
  <c r="Y299" i="36"/>
  <c r="Y14" i="36"/>
  <c r="Y176" i="36"/>
  <c r="Y300" i="36"/>
  <c r="Y290" i="36"/>
  <c r="Y92" i="36"/>
  <c r="Y19" i="36"/>
  <c r="Y96" i="36"/>
  <c r="Y251" i="36"/>
  <c r="Y272" i="36"/>
  <c r="Y144" i="36"/>
  <c r="Y68" i="36"/>
  <c r="Y193" i="36"/>
  <c r="Y124" i="36"/>
  <c r="Y156" i="36"/>
  <c r="Y127" i="36"/>
  <c r="Y191" i="36"/>
  <c r="Y104" i="36"/>
  <c r="Y160" i="36"/>
  <c r="Y186" i="36"/>
  <c r="Y241" i="36"/>
  <c r="Y24" i="36"/>
  <c r="Y85" i="36"/>
  <c r="Y138" i="36"/>
  <c r="Y47" i="36"/>
  <c r="Y65" i="36"/>
  <c r="Y12" i="36"/>
  <c r="Y166" i="36"/>
  <c r="Y140" i="36"/>
  <c r="Y119" i="36"/>
  <c r="Y142" i="36"/>
  <c r="Y196" i="36"/>
  <c r="Y136" i="36"/>
  <c r="Y103" i="36"/>
  <c r="Y112" i="36"/>
  <c r="Y90" i="36"/>
  <c r="Y121" i="36"/>
  <c r="Y147" i="36"/>
  <c r="Y50" i="36"/>
  <c r="Y247" i="36"/>
  <c r="Y206" i="36"/>
  <c r="Y161" i="36"/>
  <c r="Y205" i="36"/>
  <c r="Y42" i="36"/>
  <c r="Y56" i="36"/>
  <c r="Y291" i="36"/>
  <c r="Y195" i="36"/>
  <c r="Y154" i="36"/>
  <c r="Y214" i="36"/>
  <c r="Y52" i="36"/>
  <c r="Y73" i="36"/>
  <c r="Y244" i="36"/>
  <c r="Y39" i="36"/>
  <c r="Y231" i="36"/>
  <c r="Y126" i="36"/>
  <c r="Y256" i="36"/>
  <c r="Y139" i="36"/>
  <c r="Y58" i="36"/>
  <c r="Y211" i="36"/>
  <c r="Y69" i="36"/>
  <c r="Y315" i="36"/>
  <c r="Y150" i="36"/>
  <c r="Y17" i="36"/>
  <c r="Y294" i="36"/>
  <c r="Y304" i="36"/>
  <c r="Y221" i="36"/>
  <c r="Y32" i="36"/>
  <c r="Y62" i="36"/>
  <c r="Y60" i="36"/>
  <c r="Y285" i="36"/>
  <c r="Y296" i="36"/>
  <c r="Y262" i="36"/>
  <c r="Y275" i="36"/>
  <c r="Y263" i="36"/>
  <c r="Y303" i="36"/>
  <c r="Y246" i="36"/>
  <c r="Y183" i="36"/>
  <c r="Y38" i="36"/>
  <c r="Y306" i="36"/>
  <c r="Y298" i="36"/>
  <c r="Y212" i="36"/>
  <c r="Y258" i="36"/>
  <c r="Y311" i="36"/>
  <c r="Y232" i="36"/>
  <c r="Y75" i="36"/>
  <c r="Y307" i="36"/>
  <c r="Y134" i="36"/>
  <c r="Y189" i="36"/>
  <c r="Y155" i="36"/>
  <c r="Y130" i="36"/>
  <c r="Y266" i="36"/>
  <c r="Y30" i="36"/>
  <c r="Y67" i="36"/>
  <c r="Y55" i="36"/>
  <c r="Y312" i="36"/>
  <c r="Y259" i="36"/>
  <c r="Y76" i="36"/>
  <c r="Y227" i="36"/>
  <c r="Y158" i="36"/>
  <c r="Y250" i="36"/>
  <c r="Y115" i="36"/>
  <c r="Y33" i="36"/>
  <c r="Y175" i="36"/>
  <c r="Y208" i="36"/>
  <c r="Y276" i="36"/>
  <c r="Y48" i="36"/>
  <c r="Y305" i="36"/>
  <c r="Y224" i="36"/>
  <c r="Y78" i="36"/>
  <c r="Y53" i="36"/>
  <c r="Y273" i="36"/>
  <c r="Y173" i="36"/>
  <c r="Y282" i="36"/>
  <c r="Y219" i="36"/>
  <c r="Y93" i="36"/>
  <c r="Y106" i="36"/>
  <c r="Y229" i="36"/>
  <c r="Y297" i="36"/>
  <c r="Y269" i="36"/>
  <c r="Y194" i="36"/>
  <c r="Y283" i="36"/>
  <c r="Y308" i="36"/>
  <c r="Y146" i="36"/>
  <c r="Y171" i="36"/>
  <c r="Y178" i="36"/>
  <c r="Y280" i="36"/>
  <c r="Y199" i="36"/>
  <c r="Y240" i="36"/>
  <c r="Y248" i="36"/>
  <c r="Y64" i="36"/>
  <c r="Y88" i="36"/>
  <c r="Y89" i="36"/>
  <c r="Y230" i="36"/>
  <c r="Y99" i="36"/>
  <c r="Y203" i="36"/>
  <c r="Y218" i="36"/>
  <c r="Y233" i="36"/>
  <c r="Y100" i="36"/>
  <c r="Y120" i="36"/>
  <c r="Y260" i="36"/>
  <c r="Y289" i="36"/>
  <c r="Y207" i="36"/>
  <c r="Y226" i="36"/>
  <c r="Y59" i="36"/>
  <c r="Y31" i="36"/>
  <c r="Y159" i="36"/>
  <c r="Y18" i="36"/>
  <c r="Y84" i="36"/>
  <c r="Y11" i="36"/>
  <c r="Y239" i="36"/>
  <c r="Y255" i="36"/>
  <c r="Y245" i="36"/>
  <c r="Y51" i="36"/>
  <c r="Y252" i="36"/>
  <c r="Y261" i="36"/>
  <c r="Y198" i="36"/>
  <c r="Y15" i="36"/>
  <c r="Y7" i="36"/>
  <c r="Y314" i="36"/>
  <c r="Y63" i="36"/>
  <c r="Y222" i="36"/>
  <c r="Y225" i="36"/>
  <c r="Y36" i="36"/>
  <c r="Y242" i="36"/>
  <c r="Y316" i="36"/>
  <c r="Y37" i="36"/>
  <c r="Y220" i="36"/>
  <c r="Y129" i="36"/>
  <c r="Y71" i="36"/>
  <c r="Y10" i="36"/>
  <c r="Y83" i="36"/>
  <c r="Y157" i="36"/>
  <c r="Y184" i="36"/>
  <c r="Y313" i="36"/>
  <c r="Y98" i="36"/>
  <c r="Y123" i="36"/>
  <c r="Y86" i="36"/>
  <c r="Y40" i="36"/>
  <c r="Y188" i="36"/>
  <c r="Y46" i="36"/>
  <c r="Y301" i="36"/>
  <c r="Y66" i="36"/>
  <c r="Y168" i="36"/>
  <c r="Y172" i="36"/>
  <c r="Y170" i="36"/>
  <c r="Y274" i="36"/>
  <c r="Y108" i="36"/>
  <c r="Y45" i="36"/>
  <c r="Y77" i="36"/>
  <c r="Y268" i="36"/>
  <c r="Y8" i="36"/>
  <c r="Y243" i="36"/>
  <c r="Y57" i="36"/>
  <c r="Y97" i="36"/>
  <c r="Y270" i="36"/>
  <c r="Y13" i="36"/>
  <c r="Y95" i="36"/>
  <c r="Y169" i="36"/>
  <c r="Y145" i="36"/>
  <c r="Y284" i="36"/>
  <c r="Y257" i="36"/>
  <c r="Y292" i="36"/>
  <c r="Y236" i="36"/>
  <c r="Y26" i="36"/>
  <c r="Y192" i="36"/>
  <c r="Y137" i="36"/>
  <c r="Y94" i="36"/>
  <c r="Y228" i="36"/>
  <c r="Y190" i="36"/>
  <c r="Y107" i="36"/>
  <c r="Y128" i="36"/>
  <c r="Y82" i="36"/>
  <c r="Y141" i="36"/>
  <c r="Y267" i="36"/>
  <c r="Y179" i="36"/>
  <c r="Y167" i="36"/>
  <c r="Y234" i="36"/>
  <c r="Y61" i="36"/>
  <c r="Y152" i="36"/>
  <c r="Y25" i="36"/>
  <c r="Y148" i="36"/>
  <c r="Y49" i="36"/>
  <c r="Y111" i="36"/>
  <c r="Y288" i="36"/>
  <c r="Y209" i="36"/>
  <c r="W269" i="38"/>
  <c r="X269" i="38" s="1"/>
  <c r="G272" i="19" s="1"/>
  <c r="W278" i="38"/>
  <c r="X278" i="38" s="1"/>
  <c r="G281" i="19" s="1"/>
  <c r="W201" i="38"/>
  <c r="X201" i="38" s="1"/>
  <c r="G203" i="19" s="1"/>
  <c r="W115" i="38"/>
  <c r="X115" i="38" s="1"/>
  <c r="G116" i="19" s="1"/>
  <c r="W259" i="38"/>
  <c r="X259" i="38" s="1"/>
  <c r="G262" i="19" s="1"/>
  <c r="W161" i="38"/>
  <c r="X161" i="38" s="1"/>
  <c r="G162" i="19" s="1"/>
  <c r="W241" i="38"/>
  <c r="X241" i="38" s="1"/>
  <c r="G244" i="19" s="1"/>
  <c r="W186" i="38"/>
  <c r="X186" i="38" s="1"/>
  <c r="G187" i="19" s="1"/>
  <c r="W26" i="38"/>
  <c r="X26" i="38" s="1"/>
  <c r="G26" i="19" s="1"/>
  <c r="W174" i="38"/>
  <c r="X174" i="38" s="1"/>
  <c r="G175" i="19" s="1"/>
  <c r="W158" i="38"/>
  <c r="X158" i="38" s="1"/>
  <c r="G159" i="19" s="1"/>
  <c r="W20" i="38"/>
  <c r="X20" i="38" s="1"/>
  <c r="G20" i="19" s="1"/>
  <c r="W102" i="38"/>
  <c r="X102" i="38" s="1"/>
  <c r="G102" i="19" s="1"/>
  <c r="W257" i="38"/>
  <c r="X257" i="38" s="1"/>
  <c r="G260" i="19" s="1"/>
  <c r="W182" i="38"/>
  <c r="X182" i="38" s="1"/>
  <c r="G183" i="19" s="1"/>
  <c r="W185" i="38"/>
  <c r="X185" i="38" s="1"/>
  <c r="G186" i="19" s="1"/>
  <c r="W96" i="38"/>
  <c r="X96" i="38" s="1"/>
  <c r="G96" i="19" s="1"/>
  <c r="W154" i="38"/>
  <c r="X154" i="38" s="1"/>
  <c r="G155" i="19" s="1"/>
  <c r="W272" i="38"/>
  <c r="X272" i="38" s="1"/>
  <c r="G275" i="19" s="1"/>
  <c r="W19" i="38"/>
  <c r="X19" i="38" s="1"/>
  <c r="G19" i="19" s="1"/>
  <c r="W262" i="38"/>
  <c r="X262" i="38" s="1"/>
  <c r="G265" i="19" s="1"/>
  <c r="W141" i="38"/>
  <c r="X141" i="38" s="1"/>
  <c r="G142" i="19" s="1"/>
  <c r="W157" i="38"/>
  <c r="X157" i="38" s="1"/>
  <c r="G158" i="19" s="1"/>
  <c r="W300" i="38"/>
  <c r="X300" i="38" s="1"/>
  <c r="G303" i="19" s="1"/>
  <c r="W219" i="38"/>
  <c r="X219" i="38" s="1"/>
  <c r="G221" i="19" s="1"/>
  <c r="W71" i="38"/>
  <c r="X71" i="38" s="1"/>
  <c r="G71" i="19" s="1"/>
  <c r="W217" i="38"/>
  <c r="X217" i="38" s="1"/>
  <c r="G219" i="19" s="1"/>
  <c r="W295" i="38"/>
  <c r="X295" i="38" s="1"/>
  <c r="G298" i="19" s="1"/>
  <c r="W239" i="38"/>
  <c r="X239" i="38" s="1"/>
  <c r="G242" i="19" s="1"/>
  <c r="W47" i="38"/>
  <c r="X47" i="38" s="1"/>
  <c r="G47" i="19" s="1"/>
  <c r="W58" i="38"/>
  <c r="X58" i="38" s="1"/>
  <c r="G58" i="19" s="1"/>
  <c r="W100" i="38"/>
  <c r="X100" i="38" s="1"/>
  <c r="G100" i="19" s="1"/>
  <c r="W94" i="38"/>
  <c r="X94" i="38" s="1"/>
  <c r="G94" i="19" s="1"/>
  <c r="W104" i="38"/>
  <c r="X104" i="38" s="1"/>
  <c r="G104" i="19" s="1"/>
  <c r="W200" i="38"/>
  <c r="X200" i="38" s="1"/>
  <c r="G202" i="19" s="1"/>
  <c r="W54" i="38"/>
  <c r="X54" i="38" s="1"/>
  <c r="G54" i="19" s="1"/>
  <c r="W142" i="38"/>
  <c r="X142" i="38" s="1"/>
  <c r="G143" i="19" s="1"/>
  <c r="W50" i="38"/>
  <c r="X50" i="38" s="1"/>
  <c r="G50" i="19" s="1"/>
  <c r="W164" i="38"/>
  <c r="X164" i="38" s="1"/>
  <c r="G165" i="19" s="1"/>
  <c r="W183" i="38"/>
  <c r="X183" i="38" s="1"/>
  <c r="G184" i="19" s="1"/>
  <c r="W95" i="38"/>
  <c r="X95" i="38" s="1"/>
  <c r="G95" i="19" s="1"/>
  <c r="W145" i="38"/>
  <c r="X145" i="38" s="1"/>
  <c r="G146" i="19" s="1"/>
  <c r="W97" i="38"/>
  <c r="X97" i="38" s="1"/>
  <c r="G97" i="19" s="1"/>
  <c r="W187" i="38"/>
  <c r="X187" i="38" s="1"/>
  <c r="G188" i="19" s="1"/>
  <c r="W56" i="38"/>
  <c r="X56" i="38" s="1"/>
  <c r="G56" i="19" s="1"/>
  <c r="W144" i="38"/>
  <c r="X144" i="38" s="1"/>
  <c r="G145" i="19" s="1"/>
  <c r="W93" i="38"/>
  <c r="X93" i="38" s="1"/>
  <c r="G93" i="19" s="1"/>
  <c r="W204" i="38"/>
  <c r="X204" i="38" s="1"/>
  <c r="G206" i="19" s="1"/>
  <c r="W252" i="38"/>
  <c r="X252" i="38" s="1"/>
  <c r="G255" i="19" s="1"/>
  <c r="W244" i="38"/>
  <c r="X244" i="38" s="1"/>
  <c r="G247" i="19" s="1"/>
  <c r="W307" i="38"/>
  <c r="X307" i="38" s="1"/>
  <c r="G310" i="19" s="1"/>
  <c r="W189" i="38"/>
  <c r="X189" i="38" s="1"/>
  <c r="G190" i="19" s="1"/>
  <c r="W289" i="38"/>
  <c r="X289" i="38" s="1"/>
  <c r="G292" i="19" s="1"/>
  <c r="W55" i="38"/>
  <c r="X55" i="38" s="1"/>
  <c r="G55" i="19" s="1"/>
  <c r="W32" i="38"/>
  <c r="X32" i="38" s="1"/>
  <c r="G32" i="19" s="1"/>
  <c r="W248" i="38"/>
  <c r="X248" i="38" s="1"/>
  <c r="G251" i="19" s="1"/>
  <c r="W35" i="38"/>
  <c r="X35" i="38" s="1"/>
  <c r="G35" i="19" s="1"/>
  <c r="W166" i="38"/>
  <c r="X166" i="38" s="1"/>
  <c r="G167" i="19" s="1"/>
  <c r="W91" i="38"/>
  <c r="X91" i="38" s="1"/>
  <c r="G91" i="19" s="1"/>
  <c r="W275" i="38"/>
  <c r="X275" i="38" s="1"/>
  <c r="G278" i="19" s="1"/>
  <c r="W159" i="38"/>
  <c r="X159" i="38" s="1"/>
  <c r="G160" i="19" s="1"/>
  <c r="W7" i="38"/>
  <c r="X7" i="38" s="1"/>
  <c r="G7" i="19" s="1"/>
  <c r="W110" i="38"/>
  <c r="X110" i="38" s="1"/>
  <c r="G111" i="19" s="1"/>
  <c r="W18" i="38"/>
  <c r="X18" i="38" s="1"/>
  <c r="G18" i="19" s="1"/>
  <c r="W98" i="38"/>
  <c r="X98" i="38" s="1"/>
  <c r="G98" i="19" s="1"/>
  <c r="W5" i="38"/>
  <c r="X5" i="38" s="1"/>
  <c r="G5" i="19" s="1"/>
  <c r="W62" i="38"/>
  <c r="X62" i="38" s="1"/>
  <c r="G62" i="19" s="1"/>
  <c r="W11" i="38"/>
  <c r="X11" i="38" s="1"/>
  <c r="G11" i="19" s="1"/>
  <c r="W211" i="38"/>
  <c r="X211" i="38" s="1"/>
  <c r="G213" i="19" s="1"/>
  <c r="W313" i="38"/>
  <c r="X313" i="38" s="1"/>
  <c r="G316" i="19" s="1"/>
  <c r="W130" i="38"/>
  <c r="X130" i="38" s="1"/>
  <c r="G131" i="19" s="1"/>
  <c r="W191" i="38"/>
  <c r="X191" i="38" s="1"/>
  <c r="G192" i="19" s="1"/>
  <c r="W127" i="38"/>
  <c r="X127" i="38" s="1"/>
  <c r="G128" i="19" s="1"/>
  <c r="W285" i="38"/>
  <c r="X285" i="38" s="1"/>
  <c r="G288" i="19" s="1"/>
  <c r="W67" i="38"/>
  <c r="X67" i="38" s="1"/>
  <c r="G67" i="19" s="1"/>
  <c r="W253" i="38"/>
  <c r="X253" i="38" s="1"/>
  <c r="G256" i="19" s="1"/>
  <c r="W46" i="38"/>
  <c r="X46" i="38" s="1"/>
  <c r="G46" i="19" s="1"/>
  <c r="W184" i="38"/>
  <c r="X184" i="38" s="1"/>
  <c r="G185" i="19" s="1"/>
  <c r="W133" i="38"/>
  <c r="X133" i="38" s="1"/>
  <c r="G134" i="19" s="1"/>
  <c r="W179" i="38"/>
  <c r="X179" i="38" s="1"/>
  <c r="G180" i="19" s="1"/>
  <c r="W51" i="38"/>
  <c r="X51" i="38" s="1"/>
  <c r="G51" i="19" s="1"/>
  <c r="W131" i="38"/>
  <c r="X131" i="38" s="1"/>
  <c r="G132" i="19" s="1"/>
  <c r="W52" i="38"/>
  <c r="X52" i="38" s="1"/>
  <c r="G52" i="19" s="1"/>
  <c r="W167" i="38"/>
  <c r="X167" i="38" s="1"/>
  <c r="G168" i="19" s="1"/>
  <c r="W227" i="38"/>
  <c r="X227" i="38" s="1"/>
  <c r="G229" i="19" s="1"/>
  <c r="W153" i="38"/>
  <c r="X153" i="38" s="1"/>
  <c r="G154" i="19" s="1"/>
  <c r="W48" i="38"/>
  <c r="X48" i="38" s="1"/>
  <c r="G48" i="19" s="1"/>
  <c r="W151" i="38"/>
  <c r="X151" i="38" s="1"/>
  <c r="G152" i="19" s="1"/>
  <c r="W34" i="38"/>
  <c r="X34" i="38" s="1"/>
  <c r="G34" i="19" s="1"/>
  <c r="W207" i="38"/>
  <c r="X207" i="38" s="1"/>
  <c r="G209" i="19" s="1"/>
  <c r="W45" i="38"/>
  <c r="X45" i="38" s="1"/>
  <c r="G45" i="19" s="1"/>
  <c r="W255" i="38"/>
  <c r="X255" i="38" s="1"/>
  <c r="G258" i="19" s="1"/>
  <c r="W70" i="38"/>
  <c r="X70" i="38" s="1"/>
  <c r="G70" i="19" s="1"/>
  <c r="W270" i="38"/>
  <c r="X270" i="38" s="1"/>
  <c r="G273" i="19" s="1"/>
  <c r="W297" i="38"/>
  <c r="X297" i="38" s="1"/>
  <c r="G300" i="19" s="1"/>
  <c r="W193" i="38"/>
  <c r="X193" i="38" s="1"/>
  <c r="G194" i="19" s="1"/>
  <c r="W172" i="38"/>
  <c r="X172" i="38" s="1"/>
  <c r="G173" i="19" s="1"/>
  <c r="W135" i="38"/>
  <c r="X135" i="38" s="1"/>
  <c r="G136" i="19" s="1"/>
  <c r="W268" i="38"/>
  <c r="X268" i="38" s="1"/>
  <c r="G271" i="19" s="1"/>
  <c r="W254" i="38"/>
  <c r="X254" i="38" s="1"/>
  <c r="G257" i="19" s="1"/>
  <c r="W222" i="38"/>
  <c r="X222" i="38" s="1"/>
  <c r="G224" i="19" s="1"/>
  <c r="W251" i="38"/>
  <c r="X251" i="38" s="1"/>
  <c r="G254" i="19" s="1"/>
  <c r="W304" i="38"/>
  <c r="X304" i="38" s="1"/>
  <c r="G307" i="19" s="1"/>
  <c r="W22" i="38"/>
  <c r="X22" i="38" s="1"/>
  <c r="G22" i="19" s="1"/>
  <c r="W224" i="38"/>
  <c r="X224" i="38" s="1"/>
  <c r="G226" i="19" s="1"/>
  <c r="W230" i="38"/>
  <c r="X230" i="38" s="1"/>
  <c r="G233" i="19" s="1"/>
  <c r="W163" i="38"/>
  <c r="X163" i="38" s="1"/>
  <c r="G164" i="19" s="1"/>
  <c r="W162" i="38"/>
  <c r="X162" i="38" s="1"/>
  <c r="G163" i="19" s="1"/>
  <c r="W143" i="38"/>
  <c r="X143" i="38" s="1"/>
  <c r="G144" i="19" s="1"/>
  <c r="W242" i="38"/>
  <c r="X242" i="38" s="1"/>
  <c r="G245" i="19" s="1"/>
  <c r="W261" i="38"/>
  <c r="X261" i="38" s="1"/>
  <c r="G264" i="19" s="1"/>
  <c r="W279" i="38"/>
  <c r="X279" i="38" s="1"/>
  <c r="G282" i="19" s="1"/>
  <c r="W315" i="38"/>
  <c r="X315" i="38" s="1"/>
  <c r="G318" i="19" s="1"/>
  <c r="W76" i="38"/>
  <c r="X76" i="38" s="1"/>
  <c r="G76" i="19" s="1"/>
  <c r="W256" i="38"/>
  <c r="X256" i="38" s="1"/>
  <c r="G259" i="19" s="1"/>
  <c r="W284" i="38"/>
  <c r="X284" i="38" s="1"/>
  <c r="G287" i="19" s="1"/>
  <c r="W122" i="38"/>
  <c r="X122" i="38" s="1"/>
  <c r="G123" i="19" s="1"/>
  <c r="W281" i="38"/>
  <c r="X281" i="38" s="1"/>
  <c r="G284" i="19" s="1"/>
  <c r="W66" i="38"/>
  <c r="X66" i="38" s="1"/>
  <c r="G66" i="19" s="1"/>
  <c r="W83" i="38"/>
  <c r="X83" i="38" s="1"/>
  <c r="G83" i="19" s="1"/>
  <c r="W226" i="38"/>
  <c r="X226" i="38" s="1"/>
  <c r="G228" i="19" s="1"/>
  <c r="W36" i="38"/>
  <c r="X36" i="38" s="1"/>
  <c r="G36" i="19" s="1"/>
  <c r="W299" i="38"/>
  <c r="X299" i="38" s="1"/>
  <c r="G302" i="19" s="1"/>
  <c r="W31" i="38"/>
  <c r="X31" i="38" s="1"/>
  <c r="G31" i="19" s="1"/>
  <c r="W121" i="38"/>
  <c r="X121" i="38" s="1"/>
  <c r="G122" i="19" s="1"/>
  <c r="W57" i="38"/>
  <c r="X57" i="38" s="1"/>
  <c r="G57" i="19" s="1"/>
  <c r="W250" i="38"/>
  <c r="X250" i="38" s="1"/>
  <c r="G253" i="19" s="1"/>
  <c r="W84" i="38"/>
  <c r="X84" i="38" s="1"/>
  <c r="G84" i="19" s="1"/>
  <c r="W101" i="38"/>
  <c r="X101" i="38" s="1"/>
  <c r="G101" i="19" s="1"/>
  <c r="W44" i="38"/>
  <c r="X44" i="38" s="1"/>
  <c r="G44" i="19" s="1"/>
  <c r="W175" i="38"/>
  <c r="X175" i="38" s="1"/>
  <c r="G176" i="19" s="1"/>
  <c r="W99" i="38"/>
  <c r="X99" i="38" s="1"/>
  <c r="G99" i="19" s="1"/>
  <c r="W311" i="38"/>
  <c r="X311" i="38" s="1"/>
  <c r="G314" i="19" s="1"/>
  <c r="W194" i="38"/>
  <c r="X194" i="38" s="1"/>
  <c r="G196" i="19" s="1"/>
  <c r="W148" i="38"/>
  <c r="X148" i="38" s="1"/>
  <c r="G149" i="19" s="1"/>
  <c r="W25" i="38"/>
  <c r="X25" i="38" s="1"/>
  <c r="G25" i="19" s="1"/>
  <c r="W274" i="38"/>
  <c r="X274" i="38" s="1"/>
  <c r="G277" i="19" s="1"/>
  <c r="W192" i="38"/>
  <c r="X192" i="38" s="1"/>
  <c r="G193" i="19" s="1"/>
  <c r="W33" i="38"/>
  <c r="X33" i="38" s="1"/>
  <c r="G33" i="19" s="1"/>
  <c r="W310" i="38"/>
  <c r="X310" i="38" s="1"/>
  <c r="G313" i="19" s="1"/>
  <c r="W247" i="38"/>
  <c r="X247" i="38" s="1"/>
  <c r="G250" i="19" s="1"/>
  <c r="W196" i="38"/>
  <c r="X196" i="38" s="1"/>
  <c r="G198" i="19" s="1"/>
  <c r="W88" i="38"/>
  <c r="X88" i="38" s="1"/>
  <c r="G88" i="19" s="1"/>
  <c r="W277" i="38"/>
  <c r="X277" i="38" s="1"/>
  <c r="G280" i="19" s="1"/>
  <c r="W280" i="38"/>
  <c r="X280" i="38" s="1"/>
  <c r="G283" i="19" s="1"/>
  <c r="W114" i="38"/>
  <c r="X114" i="38" s="1"/>
  <c r="G115" i="19" s="1"/>
  <c r="W298" i="38"/>
  <c r="X298" i="38" s="1"/>
  <c r="G301" i="19" s="1"/>
  <c r="W260" i="38"/>
  <c r="X260" i="38" s="1"/>
  <c r="G263" i="19" s="1"/>
  <c r="W206" i="38"/>
  <c r="X206" i="38" s="1"/>
  <c r="G208" i="19" s="1"/>
  <c r="W23" i="38"/>
  <c r="X23" i="38" s="1"/>
  <c r="G23" i="19" s="1"/>
  <c r="W120" i="38"/>
  <c r="X120" i="38" s="1"/>
  <c r="G121" i="19" s="1"/>
  <c r="W147" i="38"/>
  <c r="X147" i="38" s="1"/>
  <c r="G148" i="19" s="1"/>
  <c r="W282" i="38"/>
  <c r="X282" i="38" s="1"/>
  <c r="G285" i="19" s="1"/>
  <c r="W265" i="38"/>
  <c r="X265" i="38" s="1"/>
  <c r="G268" i="19" s="1"/>
  <c r="W165" i="38"/>
  <c r="X165" i="38" s="1"/>
  <c r="G166" i="19" s="1"/>
  <c r="W12" i="38"/>
  <c r="X12" i="38" s="1"/>
  <c r="G12" i="19" s="1"/>
  <c r="W29" i="38"/>
  <c r="X29" i="38" s="1"/>
  <c r="G29" i="19" s="1"/>
  <c r="W87" i="38"/>
  <c r="X87" i="38" s="1"/>
  <c r="G87" i="19" s="1"/>
  <c r="W170" i="38"/>
  <c r="X170" i="38" s="1"/>
  <c r="G171" i="19" s="1"/>
  <c r="W73" i="38"/>
  <c r="X73" i="38" s="1"/>
  <c r="G73" i="19" s="1"/>
  <c r="W271" i="38"/>
  <c r="X271" i="38" s="1"/>
  <c r="G274" i="19" s="1"/>
  <c r="W306" i="38"/>
  <c r="X306" i="38" s="1"/>
  <c r="G309" i="19" s="1"/>
  <c r="W89" i="38"/>
  <c r="X89" i="38" s="1"/>
  <c r="G89" i="19" s="1"/>
  <c r="W28" i="38"/>
  <c r="X28" i="38" s="1"/>
  <c r="G28" i="19" s="1"/>
  <c r="W24" i="38"/>
  <c r="X24" i="38" s="1"/>
  <c r="G24" i="19" s="1"/>
  <c r="W287" i="38"/>
  <c r="X287" i="38" s="1"/>
  <c r="G290" i="19" s="1"/>
  <c r="W228" i="38"/>
  <c r="X228" i="38" s="1"/>
  <c r="G231" i="19" s="1"/>
  <c r="W233" i="38"/>
  <c r="X233" i="38" s="1"/>
  <c r="G236" i="19" s="1"/>
  <c r="W8" i="38"/>
  <c r="X8" i="38" s="1"/>
  <c r="G8" i="19" s="1"/>
  <c r="W236" i="38"/>
  <c r="X236" i="38" s="1"/>
  <c r="G239" i="19" s="1"/>
  <c r="W85" i="38"/>
  <c r="X85" i="38" s="1"/>
  <c r="G85" i="19" s="1"/>
  <c r="W294" i="38"/>
  <c r="X294" i="38" s="1"/>
  <c r="G297" i="19" s="1"/>
  <c r="W229" i="38"/>
  <c r="X229" i="38" s="1"/>
  <c r="G232" i="19" s="1"/>
  <c r="W86" i="38"/>
  <c r="X86" i="38" s="1"/>
  <c r="G86" i="19" s="1"/>
  <c r="W203" i="38"/>
  <c r="X203" i="38" s="1"/>
  <c r="G205" i="19" s="1"/>
  <c r="W156" i="38"/>
  <c r="X156" i="38" s="1"/>
  <c r="G157" i="19" s="1"/>
  <c r="W258" i="38"/>
  <c r="X258" i="38" s="1"/>
  <c r="G261" i="19" s="1"/>
  <c r="W223" i="38"/>
  <c r="X223" i="38" s="1"/>
  <c r="G225" i="19" s="1"/>
  <c r="W234" i="38"/>
  <c r="X234" i="38" s="1"/>
  <c r="G237" i="19" s="1"/>
  <c r="W42" i="38"/>
  <c r="X42" i="38" s="1"/>
  <c r="G42" i="19" s="1"/>
  <c r="W132" i="38"/>
  <c r="X132" i="38" s="1"/>
  <c r="G133" i="19" s="1"/>
  <c r="W177" i="38"/>
  <c r="X177" i="38" s="1"/>
  <c r="G178" i="19" s="1"/>
  <c r="W69" i="38"/>
  <c r="X69" i="38" s="1"/>
  <c r="G69" i="19" s="1"/>
  <c r="W79" i="38"/>
  <c r="X79" i="38" s="1"/>
  <c r="G79" i="19" s="1"/>
  <c r="W180" i="38"/>
  <c r="X180" i="38" s="1"/>
  <c r="G181" i="19" s="1"/>
  <c r="W215" i="38"/>
  <c r="X215" i="38" s="1"/>
  <c r="G217" i="19" s="1"/>
  <c r="W111" i="38"/>
  <c r="X111" i="38" s="1"/>
  <c r="G112" i="19" s="1"/>
  <c r="W13" i="38"/>
  <c r="X13" i="38" s="1"/>
  <c r="G13" i="19" s="1"/>
  <c r="W286" i="38"/>
  <c r="X286" i="38" s="1"/>
  <c r="G289" i="19" s="1"/>
  <c r="W312" i="38"/>
  <c r="X312" i="38" s="1"/>
  <c r="G315" i="19" s="1"/>
  <c r="W202" i="38"/>
  <c r="X202" i="38" s="1"/>
  <c r="G204" i="19" s="1"/>
  <c r="W72" i="38"/>
  <c r="X72" i="38" s="1"/>
  <c r="G72" i="19" s="1"/>
  <c r="W61" i="38"/>
  <c r="X61" i="38" s="1"/>
  <c r="G61" i="19" s="1"/>
  <c r="W243" i="38"/>
  <c r="X243" i="38" s="1"/>
  <c r="G246" i="19" s="1"/>
  <c r="W128" i="38"/>
  <c r="X128" i="38" s="1"/>
  <c r="G129" i="19" s="1"/>
  <c r="W316" i="38"/>
  <c r="X316" i="38" s="1"/>
  <c r="G195" i="19" s="1"/>
  <c r="W238" i="38"/>
  <c r="X238" i="38" s="1"/>
  <c r="G241" i="19" s="1"/>
  <c r="W43" i="38"/>
  <c r="X43" i="38" s="1"/>
  <c r="G43" i="19" s="1"/>
  <c r="W212" i="38"/>
  <c r="X212" i="38" s="1"/>
  <c r="G214" i="19" s="1"/>
  <c r="W137" i="38"/>
  <c r="X137" i="38" s="1"/>
  <c r="G138" i="19" s="1"/>
  <c r="W246" i="38"/>
  <c r="X246" i="38" s="1"/>
  <c r="G249" i="19" s="1"/>
  <c r="W208" i="38"/>
  <c r="X208" i="38" s="1"/>
  <c r="G210" i="19" s="1"/>
  <c r="W169" i="38"/>
  <c r="X169" i="38" s="1"/>
  <c r="G170" i="19" s="1"/>
  <c r="W65" i="38"/>
  <c r="X65" i="38" s="1"/>
  <c r="G65" i="19" s="1"/>
  <c r="W263" i="38"/>
  <c r="X263" i="38" s="1"/>
  <c r="G266" i="19" s="1"/>
  <c r="W216" i="38"/>
  <c r="X216" i="38" s="1"/>
  <c r="G218" i="19" s="1"/>
  <c r="W16" i="38"/>
  <c r="X16" i="38" s="1"/>
  <c r="G16" i="19" s="1"/>
  <c r="W181" i="38"/>
  <c r="X181" i="38" s="1"/>
  <c r="G182" i="19" s="1"/>
  <c r="W59" i="38"/>
  <c r="X59" i="38" s="1"/>
  <c r="G59" i="19" s="1"/>
  <c r="W118" i="38"/>
  <c r="X118" i="38" s="1"/>
  <c r="G119" i="19" s="1"/>
  <c r="W82" i="38"/>
  <c r="X82" i="38" s="1"/>
  <c r="G82" i="19" s="1"/>
  <c r="W168" i="38"/>
  <c r="X168" i="38" s="1"/>
  <c r="G169" i="19" s="1"/>
  <c r="W108" i="38"/>
  <c r="X108" i="38" s="1"/>
  <c r="G109" i="19" s="1"/>
  <c r="W92" i="38"/>
  <c r="X92" i="38" s="1"/>
  <c r="G92" i="19" s="1"/>
  <c r="W107" i="38"/>
  <c r="X107" i="38" s="1"/>
  <c r="G108" i="19" s="1"/>
  <c r="W116" i="38"/>
  <c r="X116" i="38" s="1"/>
  <c r="G117" i="19" s="1"/>
  <c r="W171" i="38"/>
  <c r="X171" i="38" s="1"/>
  <c r="G172" i="19" s="1"/>
  <c r="W231" i="38"/>
  <c r="X231" i="38" s="1"/>
  <c r="G234" i="19" s="1"/>
  <c r="W249" i="38"/>
  <c r="X249" i="38" s="1"/>
  <c r="G252" i="19" s="1"/>
  <c r="W68" i="38"/>
  <c r="X68" i="38" s="1"/>
  <c r="G68" i="19" s="1"/>
  <c r="W292" i="38"/>
  <c r="X292" i="38" s="1"/>
  <c r="G295" i="19" s="1"/>
  <c r="W267" i="38"/>
  <c r="X267" i="38" s="1"/>
  <c r="G270" i="19" s="1"/>
  <c r="W155" i="38"/>
  <c r="X155" i="38" s="1"/>
  <c r="G156" i="19" s="1"/>
  <c r="W75" i="38"/>
  <c r="X75" i="38" s="1"/>
  <c r="G75" i="19" s="1"/>
  <c r="W178" i="38"/>
  <c r="X178" i="38" s="1"/>
  <c r="G179" i="19" s="1"/>
  <c r="W77" i="38"/>
  <c r="X77" i="38" s="1"/>
  <c r="G77" i="19" s="1"/>
  <c r="W27" i="38"/>
  <c r="X27" i="38" s="1"/>
  <c r="G27" i="19" s="1"/>
  <c r="W49" i="38"/>
  <c r="X49" i="38" s="1"/>
  <c r="G49" i="19" s="1"/>
  <c r="W123" i="38"/>
  <c r="X123" i="38" s="1"/>
  <c r="G124" i="19" s="1"/>
  <c r="W138" i="38"/>
  <c r="X138" i="38" s="1"/>
  <c r="G139" i="19" s="1"/>
  <c r="W112" i="38"/>
  <c r="X112" i="38" s="1"/>
  <c r="G113" i="19" s="1"/>
  <c r="W303" i="38"/>
  <c r="X303" i="38" s="1"/>
  <c r="G306" i="19" s="1"/>
  <c r="W60" i="38"/>
  <c r="X60" i="38" s="1"/>
  <c r="G60" i="19" s="1"/>
  <c r="W276" i="38"/>
  <c r="X276" i="38" s="1"/>
  <c r="G279" i="19" s="1"/>
  <c r="W218" i="38"/>
  <c r="X218" i="38" s="1"/>
  <c r="G220" i="19" s="1"/>
  <c r="W140" i="38"/>
  <c r="X140" i="38" s="1"/>
  <c r="G141" i="19" s="1"/>
  <c r="W296" i="38"/>
  <c r="X296" i="38" s="1"/>
  <c r="G299" i="19" s="1"/>
  <c r="W80" i="38"/>
  <c r="X80" i="38" s="1"/>
  <c r="G80" i="19" s="1"/>
  <c r="W273" i="38"/>
  <c r="X273" i="38" s="1"/>
  <c r="G276" i="19" s="1"/>
  <c r="W214" i="38"/>
  <c r="X214" i="38" s="1"/>
  <c r="G216" i="19" s="1"/>
  <c r="W205" i="38"/>
  <c r="X205" i="38" s="1"/>
  <c r="G207" i="19" s="1"/>
  <c r="W290" i="38"/>
  <c r="X290" i="38" s="1"/>
  <c r="G293" i="19" s="1"/>
  <c r="W160" i="38"/>
  <c r="X160" i="38" s="1"/>
  <c r="G161" i="19" s="1"/>
  <c r="W309" i="38"/>
  <c r="X309" i="38" s="1"/>
  <c r="G312" i="19" s="1"/>
  <c r="W266" i="38"/>
  <c r="X266" i="38" s="1"/>
  <c r="G269" i="19" s="1"/>
  <c r="W119" i="38"/>
  <c r="X119" i="38" s="1"/>
  <c r="G120" i="19" s="1"/>
  <c r="W14" i="38"/>
  <c r="X14" i="38" s="1"/>
  <c r="G14" i="19" s="1"/>
  <c r="W129" i="38"/>
  <c r="X129" i="38" s="1"/>
  <c r="G130" i="19" s="1"/>
  <c r="W41" i="38"/>
  <c r="X41" i="38" s="1"/>
  <c r="G41" i="19" s="1"/>
  <c r="W149" i="38"/>
  <c r="X149" i="38" s="1"/>
  <c r="G150" i="19" s="1"/>
  <c r="W78" i="38"/>
  <c r="X78" i="38" s="1"/>
  <c r="G78" i="19" s="1"/>
  <c r="W64" i="38"/>
  <c r="X64" i="38" s="1"/>
  <c r="G64" i="19" s="1"/>
  <c r="W139" i="38"/>
  <c r="X139" i="38" s="1"/>
  <c r="G140" i="19" s="1"/>
  <c r="W6" i="38"/>
  <c r="X6" i="38" s="1"/>
  <c r="G6" i="19" s="1"/>
  <c r="W152" i="38"/>
  <c r="X152" i="38" s="1"/>
  <c r="G153" i="19" s="1"/>
  <c r="W74" i="38"/>
  <c r="X74" i="38" s="1"/>
  <c r="G74" i="19" s="1"/>
  <c r="W245" i="38"/>
  <c r="X245" i="38" s="1"/>
  <c r="G248" i="19" s="1"/>
  <c r="W37" i="38"/>
  <c r="X37" i="38" s="1"/>
  <c r="G37" i="19" s="1"/>
  <c r="W176" i="38"/>
  <c r="X176" i="38" s="1"/>
  <c r="G177" i="19" s="1"/>
  <c r="W109" i="38"/>
  <c r="X109" i="38" s="1"/>
  <c r="G110" i="19" s="1"/>
  <c r="W235" i="38"/>
  <c r="X235" i="38" s="1"/>
  <c r="G238" i="19" s="1"/>
  <c r="W197" i="38"/>
  <c r="X197" i="38" s="1"/>
  <c r="G199" i="19" s="1"/>
  <c r="W53" i="38"/>
  <c r="X53" i="38" s="1"/>
  <c r="G53" i="19" s="1"/>
  <c r="W38" i="38"/>
  <c r="X38" i="38" s="1"/>
  <c r="G38" i="19" s="1"/>
  <c r="W221" i="38"/>
  <c r="X221" i="38" s="1"/>
  <c r="G223" i="19" s="1"/>
  <c r="W305" i="38"/>
  <c r="X305" i="38" s="1"/>
  <c r="G308" i="19" s="1"/>
  <c r="W188" i="38"/>
  <c r="X188" i="38" s="1"/>
  <c r="G189" i="19" s="1"/>
  <c r="W39" i="38"/>
  <c r="X39" i="38" s="1"/>
  <c r="G39" i="19" s="1"/>
  <c r="W209" i="38"/>
  <c r="X209" i="38" s="1"/>
  <c r="G211" i="19" s="1"/>
  <c r="W293" i="38"/>
  <c r="X293" i="38" s="1"/>
  <c r="G296" i="19" s="1"/>
  <c r="W10" i="38"/>
  <c r="X10" i="38" s="1"/>
  <c r="G10" i="19" s="1"/>
  <c r="W291" i="38"/>
  <c r="X291" i="38" s="1"/>
  <c r="G294" i="19" s="1"/>
  <c r="W15" i="38"/>
  <c r="X15" i="38" s="1"/>
  <c r="G15" i="19" s="1"/>
  <c r="W213" i="38"/>
  <c r="X213" i="38" s="1"/>
  <c r="G215" i="19" s="1"/>
  <c r="W90" i="38"/>
  <c r="X90" i="38" s="1"/>
  <c r="G90" i="19" s="1"/>
  <c r="W124" i="38"/>
  <c r="X124" i="38" s="1"/>
  <c r="G125" i="19" s="1"/>
  <c r="W199" i="38"/>
  <c r="X199" i="38" s="1"/>
  <c r="G201" i="19" s="1"/>
  <c r="W198" i="38"/>
  <c r="X198" i="38" s="1"/>
  <c r="G200" i="19" s="1"/>
  <c r="W125" i="38"/>
  <c r="X125" i="38" s="1"/>
  <c r="G126" i="19" s="1"/>
  <c r="W314" i="38"/>
  <c r="X314" i="38" s="1"/>
  <c r="G317" i="19" s="1"/>
  <c r="W283" i="38"/>
  <c r="X283" i="38" s="1"/>
  <c r="G286" i="19" s="1"/>
  <c r="W232" i="38"/>
  <c r="X232" i="38" s="1"/>
  <c r="G235" i="19" s="1"/>
  <c r="W105" i="38"/>
  <c r="X105" i="38" s="1"/>
  <c r="G105" i="19" s="1"/>
  <c r="W126" i="38"/>
  <c r="X126" i="38" s="1"/>
  <c r="G127" i="19" s="1"/>
  <c r="W288" i="38"/>
  <c r="X288" i="38" s="1"/>
  <c r="G291" i="19" s="1"/>
  <c r="W225" i="38"/>
  <c r="X225" i="38" s="1"/>
  <c r="G227" i="19" s="1"/>
  <c r="W264" i="38"/>
  <c r="X264" i="38" s="1"/>
  <c r="G267" i="19" s="1"/>
  <c r="W237" i="38"/>
  <c r="X237" i="38" s="1"/>
  <c r="G240" i="19" s="1"/>
  <c r="W146" i="38"/>
  <c r="X146" i="38" s="1"/>
  <c r="G147" i="19" s="1"/>
  <c r="W195" i="38"/>
  <c r="X195" i="38" s="1"/>
  <c r="G197" i="19" s="1"/>
  <c r="W210" i="38"/>
  <c r="X210" i="38" s="1"/>
  <c r="G212" i="19" s="1"/>
  <c r="W21" i="38"/>
  <c r="X21" i="38" s="1"/>
  <c r="G21" i="19" s="1"/>
  <c r="W9" i="38"/>
  <c r="X9" i="38" s="1"/>
  <c r="G9" i="19" s="1"/>
  <c r="W240" i="38"/>
  <c r="X240" i="38" s="1"/>
  <c r="G243" i="19" s="1"/>
  <c r="W301" i="38"/>
  <c r="X301" i="38" s="1"/>
  <c r="G304" i="19" s="1"/>
  <c r="W63" i="38"/>
  <c r="X63" i="38" s="1"/>
  <c r="G63" i="19" s="1"/>
  <c r="W190" i="38"/>
  <c r="X190" i="38" s="1"/>
  <c r="G191" i="19" s="1"/>
  <c r="W40" i="38"/>
  <c r="X40" i="38" s="1"/>
  <c r="G40" i="19" s="1"/>
  <c r="W302" i="38"/>
  <c r="X302" i="38" s="1"/>
  <c r="G305" i="19" s="1"/>
  <c r="W103" i="38"/>
  <c r="X103" i="38" s="1"/>
  <c r="G103" i="19" s="1"/>
  <c r="W30" i="38"/>
  <c r="X30" i="38" s="1"/>
  <c r="G30" i="19" s="1"/>
  <c r="W117" i="38"/>
  <c r="X117" i="38" s="1"/>
  <c r="G118" i="19" s="1"/>
  <c r="W134" i="38"/>
  <c r="X134" i="38" s="1"/>
  <c r="G135" i="19" s="1"/>
  <c r="W17" i="38"/>
  <c r="X17" i="38" s="1"/>
  <c r="G17" i="19" s="1"/>
  <c r="W136" i="38"/>
  <c r="X136" i="38" s="1"/>
  <c r="G137" i="19" s="1"/>
  <c r="W113" i="38"/>
  <c r="X113" i="38" s="1"/>
  <c r="G114" i="19" s="1"/>
  <c r="W81" i="38"/>
  <c r="X81" i="38" s="1"/>
  <c r="G81" i="19" s="1"/>
  <c r="W106" i="38"/>
  <c r="X106" i="38" s="1"/>
  <c r="G107" i="19" s="1"/>
  <c r="W173" i="38"/>
  <c r="X173" i="38" s="1"/>
  <c r="G174" i="19" s="1"/>
  <c r="W220" i="38"/>
  <c r="X220" i="38" s="1"/>
  <c r="G222" i="19" s="1"/>
  <c r="W308" i="38"/>
  <c r="X308" i="38" s="1"/>
  <c r="G311" i="19" s="1"/>
  <c r="W150" i="38"/>
  <c r="X150" i="38" s="1"/>
  <c r="G151" i="19" s="1"/>
  <c r="W4" i="38"/>
  <c r="W153" i="37"/>
  <c r="X153" i="37" s="1"/>
  <c r="F154" i="19" s="1"/>
  <c r="W135" i="37"/>
  <c r="X135" i="37" s="1"/>
  <c r="F136" i="19" s="1"/>
  <c r="W116" i="37"/>
  <c r="X116" i="37" s="1"/>
  <c r="F117" i="19" s="1"/>
  <c r="W129" i="37"/>
  <c r="X129" i="37" s="1"/>
  <c r="F130" i="19" s="1"/>
  <c r="W5" i="37"/>
  <c r="X5" i="37" s="1"/>
  <c r="F5" i="19" s="1"/>
  <c r="W89" i="37"/>
  <c r="X89" i="37" s="1"/>
  <c r="F89" i="19" s="1"/>
  <c r="W202" i="37"/>
  <c r="X202" i="37" s="1"/>
  <c r="F204" i="19" s="1"/>
  <c r="W214" i="37"/>
  <c r="X214" i="37" s="1"/>
  <c r="F216" i="19" s="1"/>
  <c r="W55" i="37"/>
  <c r="X55" i="37" s="1"/>
  <c r="F55" i="19" s="1"/>
  <c r="W124" i="37"/>
  <c r="X124" i="37" s="1"/>
  <c r="F125" i="19" s="1"/>
  <c r="W309" i="37"/>
  <c r="X309" i="37" s="1"/>
  <c r="F312" i="19" s="1"/>
  <c r="W25" i="37"/>
  <c r="X25" i="37" s="1"/>
  <c r="F25" i="19" s="1"/>
  <c r="W94" i="37"/>
  <c r="X94" i="37" s="1"/>
  <c r="F94" i="19" s="1"/>
  <c r="W289" i="37"/>
  <c r="X289" i="37" s="1"/>
  <c r="F292" i="19" s="1"/>
  <c r="W203" i="37"/>
  <c r="X203" i="37" s="1"/>
  <c r="F205" i="19" s="1"/>
  <c r="W250" i="37"/>
  <c r="X250" i="37" s="1"/>
  <c r="F253" i="19" s="1"/>
  <c r="W273" i="37"/>
  <c r="X273" i="37" s="1"/>
  <c r="F276" i="19" s="1"/>
  <c r="W307" i="37"/>
  <c r="X307" i="37" s="1"/>
  <c r="F310" i="19" s="1"/>
  <c r="W285" i="37"/>
  <c r="X285" i="37" s="1"/>
  <c r="F288" i="19" s="1"/>
  <c r="W85" i="37"/>
  <c r="X85" i="37" s="1"/>
  <c r="F85" i="19" s="1"/>
  <c r="W143" i="37"/>
  <c r="X143" i="37" s="1"/>
  <c r="F144" i="19" s="1"/>
  <c r="W226" i="37"/>
  <c r="X226" i="37" s="1"/>
  <c r="F228" i="19" s="1"/>
  <c r="W47" i="37"/>
  <c r="X47" i="37" s="1"/>
  <c r="F47" i="19" s="1"/>
  <c r="W281" i="37"/>
  <c r="X281" i="37" s="1"/>
  <c r="F284" i="19" s="1"/>
  <c r="W82" i="37"/>
  <c r="X82" i="37" s="1"/>
  <c r="F82" i="19" s="1"/>
  <c r="W174" i="37"/>
  <c r="X174" i="37" s="1"/>
  <c r="F175" i="19" s="1"/>
  <c r="W258" i="37"/>
  <c r="X258" i="37" s="1"/>
  <c r="F261" i="19" s="1"/>
  <c r="W111" i="37"/>
  <c r="X111" i="37" s="1"/>
  <c r="F112" i="19" s="1"/>
  <c r="W185" i="37"/>
  <c r="X185" i="37" s="1"/>
  <c r="F186" i="19" s="1"/>
  <c r="W272" i="37"/>
  <c r="X272" i="37" s="1"/>
  <c r="F275" i="19" s="1"/>
  <c r="W69" i="37"/>
  <c r="X69" i="37" s="1"/>
  <c r="F69" i="19" s="1"/>
  <c r="W194" i="37"/>
  <c r="X194" i="37" s="1"/>
  <c r="F196" i="19" s="1"/>
  <c r="W141" i="37"/>
  <c r="X141" i="37" s="1"/>
  <c r="F142" i="19" s="1"/>
  <c r="W34" i="37"/>
  <c r="X34" i="37" s="1"/>
  <c r="F34" i="19" s="1"/>
  <c r="W217" i="37"/>
  <c r="X217" i="37" s="1"/>
  <c r="F219" i="19" s="1"/>
  <c r="W114" i="37"/>
  <c r="X114" i="37" s="1"/>
  <c r="F115" i="19" s="1"/>
  <c r="W243" i="37"/>
  <c r="X243" i="37" s="1"/>
  <c r="F246" i="19" s="1"/>
  <c r="W240" i="37"/>
  <c r="X240" i="37" s="1"/>
  <c r="F243" i="19" s="1"/>
  <c r="W301" i="37"/>
  <c r="X301" i="37" s="1"/>
  <c r="F304" i="19" s="1"/>
  <c r="W58" i="37"/>
  <c r="X58" i="37" s="1"/>
  <c r="F58" i="19" s="1"/>
  <c r="W105" i="37"/>
  <c r="X105" i="37" s="1"/>
  <c r="F105" i="19" s="1"/>
  <c r="W64" i="37"/>
  <c r="X64" i="37" s="1"/>
  <c r="F64" i="19" s="1"/>
  <c r="W130" i="37"/>
  <c r="X130" i="37" s="1"/>
  <c r="F131" i="19" s="1"/>
  <c r="W179" i="37"/>
  <c r="X179" i="37" s="1"/>
  <c r="F180" i="19" s="1"/>
  <c r="W228" i="37"/>
  <c r="X228" i="37" s="1"/>
  <c r="F231" i="19" s="1"/>
  <c r="W176" i="37"/>
  <c r="X176" i="37" s="1"/>
  <c r="F177" i="19" s="1"/>
  <c r="W65" i="37"/>
  <c r="X65" i="37" s="1"/>
  <c r="F65" i="19" s="1"/>
  <c r="W266" i="37"/>
  <c r="X266" i="37" s="1"/>
  <c r="F269" i="19" s="1"/>
  <c r="W125" i="37"/>
  <c r="X125" i="37" s="1"/>
  <c r="F126" i="19" s="1"/>
  <c r="W312" i="37"/>
  <c r="X312" i="37" s="1"/>
  <c r="F315" i="19" s="1"/>
  <c r="W107" i="37"/>
  <c r="X107" i="37" s="1"/>
  <c r="F108" i="19" s="1"/>
  <c r="W212" i="37"/>
  <c r="X212" i="37" s="1"/>
  <c r="F214" i="19" s="1"/>
  <c r="W260" i="37"/>
  <c r="X260" i="37" s="1"/>
  <c r="F263" i="19" s="1"/>
  <c r="W38" i="37"/>
  <c r="X38" i="37" s="1"/>
  <c r="F38" i="19" s="1"/>
  <c r="W249" i="37"/>
  <c r="X249" i="37" s="1"/>
  <c r="F252" i="19" s="1"/>
  <c r="W246" i="37"/>
  <c r="X246" i="37" s="1"/>
  <c r="F249" i="19" s="1"/>
  <c r="W235" i="37"/>
  <c r="X235" i="37" s="1"/>
  <c r="F238" i="19" s="1"/>
  <c r="W154" i="37"/>
  <c r="X154" i="37" s="1"/>
  <c r="F155" i="19" s="1"/>
  <c r="W164" i="37"/>
  <c r="X164" i="37" s="1"/>
  <c r="F165" i="19" s="1"/>
  <c r="W298" i="37"/>
  <c r="X298" i="37" s="1"/>
  <c r="F301" i="19" s="1"/>
  <c r="W213" i="37"/>
  <c r="X213" i="37" s="1"/>
  <c r="F215" i="19" s="1"/>
  <c r="W106" i="37"/>
  <c r="X106" i="37" s="1"/>
  <c r="F107" i="19" s="1"/>
  <c r="W146" i="37"/>
  <c r="X146" i="37" s="1"/>
  <c r="F147" i="19" s="1"/>
  <c r="W184" i="37"/>
  <c r="X184" i="37" s="1"/>
  <c r="F185" i="19" s="1"/>
  <c r="W11" i="37"/>
  <c r="X11" i="37" s="1"/>
  <c r="F11" i="19" s="1"/>
  <c r="W109" i="37"/>
  <c r="X109" i="37" s="1"/>
  <c r="F110" i="19" s="1"/>
  <c r="W72" i="37"/>
  <c r="X72" i="37" s="1"/>
  <c r="F72" i="19" s="1"/>
  <c r="W308" i="37"/>
  <c r="X308" i="37" s="1"/>
  <c r="F311" i="19" s="1"/>
  <c r="W279" i="37"/>
  <c r="X279" i="37" s="1"/>
  <c r="F282" i="19" s="1"/>
  <c r="W16" i="37"/>
  <c r="X16" i="37" s="1"/>
  <c r="F16" i="19" s="1"/>
  <c r="W96" i="37"/>
  <c r="X96" i="37" s="1"/>
  <c r="F96" i="19" s="1"/>
  <c r="W316" i="37"/>
  <c r="X316" i="37" s="1"/>
  <c r="F195" i="19" s="1"/>
  <c r="W108" i="37"/>
  <c r="X108" i="37" s="1"/>
  <c r="F109" i="19" s="1"/>
  <c r="W104" i="37"/>
  <c r="X104" i="37" s="1"/>
  <c r="F104" i="19" s="1"/>
  <c r="W220" i="37"/>
  <c r="X220" i="37" s="1"/>
  <c r="F222" i="19" s="1"/>
  <c r="W271" i="37"/>
  <c r="X271" i="37" s="1"/>
  <c r="F274" i="19" s="1"/>
  <c r="W162" i="37"/>
  <c r="X162" i="37" s="1"/>
  <c r="F163" i="19" s="1"/>
  <c r="W53" i="37"/>
  <c r="X53" i="37" s="1"/>
  <c r="F53" i="19" s="1"/>
  <c r="W172" i="37"/>
  <c r="X172" i="37" s="1"/>
  <c r="F173" i="19" s="1"/>
  <c r="W239" i="37"/>
  <c r="X239" i="37" s="1"/>
  <c r="F242" i="19" s="1"/>
  <c r="W149" i="37"/>
  <c r="X149" i="37" s="1"/>
  <c r="F150" i="19" s="1"/>
  <c r="W170" i="37"/>
  <c r="X170" i="37" s="1"/>
  <c r="F171" i="19" s="1"/>
  <c r="W290" i="37"/>
  <c r="X290" i="37" s="1"/>
  <c r="F293" i="19" s="1"/>
  <c r="W232" i="37"/>
  <c r="X232" i="37" s="1"/>
  <c r="F235" i="19" s="1"/>
  <c r="W218" i="37"/>
  <c r="X218" i="37" s="1"/>
  <c r="F220" i="19" s="1"/>
  <c r="W310" i="37"/>
  <c r="X310" i="37" s="1"/>
  <c r="F313" i="19" s="1"/>
  <c r="W160" i="37"/>
  <c r="X160" i="37" s="1"/>
  <c r="F161" i="19" s="1"/>
  <c r="W126" i="37"/>
  <c r="X126" i="37" s="1"/>
  <c r="F127" i="19" s="1"/>
  <c r="W227" i="37"/>
  <c r="X227" i="37" s="1"/>
  <c r="F229" i="19" s="1"/>
  <c r="W187" i="37"/>
  <c r="X187" i="37" s="1"/>
  <c r="F188" i="19" s="1"/>
  <c r="W57" i="37"/>
  <c r="X57" i="37" s="1"/>
  <c r="F57" i="19" s="1"/>
  <c r="W158" i="37"/>
  <c r="X158" i="37" s="1"/>
  <c r="F159" i="19" s="1"/>
  <c r="W231" i="37"/>
  <c r="X231" i="37" s="1"/>
  <c r="F234" i="19" s="1"/>
  <c r="W54" i="37"/>
  <c r="X54" i="37" s="1"/>
  <c r="F54" i="19" s="1"/>
  <c r="W159" i="37"/>
  <c r="X159" i="37" s="1"/>
  <c r="F160" i="19" s="1"/>
  <c r="W277" i="37"/>
  <c r="X277" i="37" s="1"/>
  <c r="F280" i="19" s="1"/>
  <c r="W302" i="37"/>
  <c r="X302" i="37" s="1"/>
  <c r="F305" i="19" s="1"/>
  <c r="W88" i="37"/>
  <c r="X88" i="37" s="1"/>
  <c r="F88" i="19" s="1"/>
  <c r="W311" i="37"/>
  <c r="X311" i="37" s="1"/>
  <c r="F314" i="19" s="1"/>
  <c r="W199" i="37"/>
  <c r="X199" i="37" s="1"/>
  <c r="F201" i="19" s="1"/>
  <c r="W138" i="37"/>
  <c r="X138" i="37" s="1"/>
  <c r="F139" i="19" s="1"/>
  <c r="W32" i="37"/>
  <c r="X32" i="37" s="1"/>
  <c r="F32" i="19" s="1"/>
  <c r="W17" i="37"/>
  <c r="X17" i="37" s="1"/>
  <c r="F17" i="19" s="1"/>
  <c r="W98" i="37"/>
  <c r="X98" i="37" s="1"/>
  <c r="F98" i="19" s="1"/>
  <c r="W256" i="37"/>
  <c r="X256" i="37" s="1"/>
  <c r="F259" i="19" s="1"/>
  <c r="W19" i="37"/>
  <c r="X19" i="37" s="1"/>
  <c r="F19" i="19" s="1"/>
  <c r="W305" i="37"/>
  <c r="X305" i="37" s="1"/>
  <c r="F308" i="19" s="1"/>
  <c r="W144" i="37"/>
  <c r="X144" i="37" s="1"/>
  <c r="F145" i="19" s="1"/>
  <c r="W118" i="37"/>
  <c r="X118" i="37" s="1"/>
  <c r="F119" i="19" s="1"/>
  <c r="W233" i="37"/>
  <c r="X233" i="37" s="1"/>
  <c r="F236" i="19" s="1"/>
  <c r="W112" i="37"/>
  <c r="X112" i="37" s="1"/>
  <c r="F113" i="19" s="1"/>
  <c r="W133" i="37"/>
  <c r="X133" i="37" s="1"/>
  <c r="F134" i="19" s="1"/>
  <c r="W14" i="37"/>
  <c r="X14" i="37" s="1"/>
  <c r="F14" i="19" s="1"/>
  <c r="W182" i="37"/>
  <c r="X182" i="37" s="1"/>
  <c r="F183" i="19" s="1"/>
  <c r="W62" i="37"/>
  <c r="X62" i="37" s="1"/>
  <c r="F62" i="19" s="1"/>
  <c r="W92" i="37"/>
  <c r="X92" i="37" s="1"/>
  <c r="F92" i="19" s="1"/>
  <c r="W86" i="37"/>
  <c r="X86" i="37" s="1"/>
  <c r="F86" i="19" s="1"/>
  <c r="W236" i="37"/>
  <c r="X236" i="37" s="1"/>
  <c r="F239" i="19" s="1"/>
  <c r="W52" i="37"/>
  <c r="X52" i="37" s="1"/>
  <c r="F52" i="19" s="1"/>
  <c r="W70" i="37"/>
  <c r="X70" i="37" s="1"/>
  <c r="F70" i="19" s="1"/>
  <c r="W79" i="37"/>
  <c r="X79" i="37" s="1"/>
  <c r="F79" i="19" s="1"/>
  <c r="W49" i="37"/>
  <c r="X49" i="37" s="1"/>
  <c r="F49" i="19" s="1"/>
  <c r="W83" i="37"/>
  <c r="X83" i="37" s="1"/>
  <c r="F83" i="19" s="1"/>
  <c r="W168" i="37"/>
  <c r="X168" i="37" s="1"/>
  <c r="F169" i="19" s="1"/>
  <c r="W284" i="37"/>
  <c r="X284" i="37" s="1"/>
  <c r="F287" i="19" s="1"/>
  <c r="W18" i="37"/>
  <c r="X18" i="37" s="1"/>
  <c r="F18" i="19" s="1"/>
  <c r="W198" i="37"/>
  <c r="X198" i="37" s="1"/>
  <c r="F200" i="19" s="1"/>
  <c r="W183" i="37"/>
  <c r="X183" i="37" s="1"/>
  <c r="F184" i="19" s="1"/>
  <c r="W193" i="37"/>
  <c r="X193" i="37" s="1"/>
  <c r="F194" i="19" s="1"/>
  <c r="W71" i="37"/>
  <c r="X71" i="37" s="1"/>
  <c r="F71" i="19" s="1"/>
  <c r="W210" i="37"/>
  <c r="X210" i="37" s="1"/>
  <c r="F212" i="19" s="1"/>
  <c r="W275" i="37"/>
  <c r="X275" i="37" s="1"/>
  <c r="F278" i="19" s="1"/>
  <c r="W224" i="37"/>
  <c r="X224" i="37" s="1"/>
  <c r="F226" i="19" s="1"/>
  <c r="W139" i="37"/>
  <c r="X139" i="37" s="1"/>
  <c r="F140" i="19" s="1"/>
  <c r="W274" i="37"/>
  <c r="X274" i="37" s="1"/>
  <c r="F277" i="19" s="1"/>
  <c r="W46" i="37"/>
  <c r="X46" i="37" s="1"/>
  <c r="F46" i="19" s="1"/>
  <c r="W93" i="37"/>
  <c r="X93" i="37" s="1"/>
  <c r="F93" i="19" s="1"/>
  <c r="W197" i="37"/>
  <c r="X197" i="37" s="1"/>
  <c r="F199" i="19" s="1"/>
  <c r="W288" i="37"/>
  <c r="X288" i="37" s="1"/>
  <c r="F291" i="19" s="1"/>
  <c r="W221" i="37"/>
  <c r="X221" i="37" s="1"/>
  <c r="F223" i="19" s="1"/>
  <c r="W91" i="37"/>
  <c r="X91" i="37" s="1"/>
  <c r="F91" i="19" s="1"/>
  <c r="W59" i="37"/>
  <c r="X59" i="37" s="1"/>
  <c r="F59" i="19" s="1"/>
  <c r="W282" i="37"/>
  <c r="X282" i="37" s="1"/>
  <c r="F285" i="19" s="1"/>
  <c r="W244" i="37"/>
  <c r="X244" i="37" s="1"/>
  <c r="F247" i="19" s="1"/>
  <c r="W189" i="37"/>
  <c r="X189" i="37" s="1"/>
  <c r="F190" i="19" s="1"/>
  <c r="W117" i="37"/>
  <c r="X117" i="37" s="1"/>
  <c r="F118" i="19" s="1"/>
  <c r="W132" i="37"/>
  <c r="X132" i="37" s="1"/>
  <c r="F133" i="19" s="1"/>
  <c r="W177" i="37"/>
  <c r="X177" i="37" s="1"/>
  <c r="F178" i="19" s="1"/>
  <c r="W255" i="37"/>
  <c r="X255" i="37" s="1"/>
  <c r="F258" i="19" s="1"/>
  <c r="W60" i="37"/>
  <c r="X60" i="37" s="1"/>
  <c r="F60" i="19" s="1"/>
  <c r="W287" i="37"/>
  <c r="X287" i="37" s="1"/>
  <c r="F290" i="19" s="1"/>
  <c r="W155" i="37"/>
  <c r="X155" i="37" s="1"/>
  <c r="F156" i="19" s="1"/>
  <c r="W276" i="37"/>
  <c r="X276" i="37" s="1"/>
  <c r="F279" i="19" s="1"/>
  <c r="W204" i="37"/>
  <c r="X204" i="37" s="1"/>
  <c r="F206" i="19" s="1"/>
  <c r="W131" i="37"/>
  <c r="X131" i="37" s="1"/>
  <c r="F132" i="19" s="1"/>
  <c r="W22" i="37"/>
  <c r="X22" i="37" s="1"/>
  <c r="F22" i="19" s="1"/>
  <c r="W211" i="37"/>
  <c r="X211" i="37" s="1"/>
  <c r="F213" i="19" s="1"/>
  <c r="W278" i="37"/>
  <c r="X278" i="37" s="1"/>
  <c r="F281" i="19" s="1"/>
  <c r="W280" i="37"/>
  <c r="X280" i="37" s="1"/>
  <c r="F283" i="19" s="1"/>
  <c r="W56" i="37"/>
  <c r="X56" i="37" s="1"/>
  <c r="F56" i="19" s="1"/>
  <c r="W134" i="37"/>
  <c r="X134" i="37" s="1"/>
  <c r="F135" i="19" s="1"/>
  <c r="W74" i="37"/>
  <c r="X74" i="37" s="1"/>
  <c r="F74" i="19" s="1"/>
  <c r="W207" i="37"/>
  <c r="X207" i="37" s="1"/>
  <c r="F209" i="19" s="1"/>
  <c r="W121" i="37"/>
  <c r="X121" i="37" s="1"/>
  <c r="F122" i="19" s="1"/>
  <c r="W21" i="37"/>
  <c r="X21" i="37" s="1"/>
  <c r="F21" i="19" s="1"/>
  <c r="W296" i="37"/>
  <c r="X296" i="37" s="1"/>
  <c r="F299" i="19" s="1"/>
  <c r="W223" i="37"/>
  <c r="X223" i="37" s="1"/>
  <c r="F225" i="19" s="1"/>
  <c r="W30" i="37"/>
  <c r="X30" i="37" s="1"/>
  <c r="F30" i="19" s="1"/>
  <c r="W7" i="37"/>
  <c r="X7" i="37" s="1"/>
  <c r="F7" i="19" s="1"/>
  <c r="W103" i="37"/>
  <c r="X103" i="37" s="1"/>
  <c r="F103" i="19" s="1"/>
  <c r="W161" i="37"/>
  <c r="X161" i="37" s="1"/>
  <c r="F162" i="19" s="1"/>
  <c r="W190" i="37"/>
  <c r="X190" i="37" s="1"/>
  <c r="F191" i="19" s="1"/>
  <c r="W150" i="37"/>
  <c r="X150" i="37" s="1"/>
  <c r="F151" i="19" s="1"/>
  <c r="W261" i="37"/>
  <c r="X261" i="37" s="1"/>
  <c r="F264" i="19" s="1"/>
  <c r="W101" i="37"/>
  <c r="X101" i="37" s="1"/>
  <c r="F101" i="19" s="1"/>
  <c r="W128" i="37"/>
  <c r="X128" i="37" s="1"/>
  <c r="F129" i="19" s="1"/>
  <c r="W110" i="37"/>
  <c r="X110" i="37" s="1"/>
  <c r="F111" i="19" s="1"/>
  <c r="W10" i="37"/>
  <c r="X10" i="37" s="1"/>
  <c r="F10" i="19" s="1"/>
  <c r="W206" i="37"/>
  <c r="X206" i="37" s="1"/>
  <c r="F208" i="19" s="1"/>
  <c r="W142" i="37"/>
  <c r="X142" i="37" s="1"/>
  <c r="F143" i="19" s="1"/>
  <c r="W242" i="37"/>
  <c r="X242" i="37" s="1"/>
  <c r="F245" i="19" s="1"/>
  <c r="W265" i="37"/>
  <c r="X265" i="37" s="1"/>
  <c r="F268" i="19" s="1"/>
  <c r="W300" i="37"/>
  <c r="X300" i="37" s="1"/>
  <c r="F303" i="19" s="1"/>
  <c r="W9" i="37"/>
  <c r="X9" i="37" s="1"/>
  <c r="F9" i="19" s="1"/>
  <c r="W113" i="37"/>
  <c r="X113" i="37" s="1"/>
  <c r="F114" i="19" s="1"/>
  <c r="W147" i="37"/>
  <c r="X147" i="37" s="1"/>
  <c r="F148" i="19" s="1"/>
  <c r="W195" i="37"/>
  <c r="X195" i="37" s="1"/>
  <c r="F197" i="19" s="1"/>
  <c r="W44" i="37"/>
  <c r="X44" i="37" s="1"/>
  <c r="F44" i="19" s="1"/>
  <c r="W87" i="37"/>
  <c r="X87" i="37" s="1"/>
  <c r="F87" i="19" s="1"/>
  <c r="W78" i="37"/>
  <c r="X78" i="37" s="1"/>
  <c r="F78" i="19" s="1"/>
  <c r="W215" i="37"/>
  <c r="X215" i="37" s="1"/>
  <c r="F217" i="19" s="1"/>
  <c r="W15" i="37"/>
  <c r="X15" i="37" s="1"/>
  <c r="F15" i="19" s="1"/>
  <c r="W192" i="37"/>
  <c r="X192" i="37" s="1"/>
  <c r="F193" i="19" s="1"/>
  <c r="W43" i="37"/>
  <c r="X43" i="37" s="1"/>
  <c r="F43" i="19" s="1"/>
  <c r="W165" i="37"/>
  <c r="X165" i="37" s="1"/>
  <c r="F166" i="19" s="1"/>
  <c r="W76" i="37"/>
  <c r="X76" i="37" s="1"/>
  <c r="F76" i="19" s="1"/>
  <c r="W66" i="37"/>
  <c r="X66" i="37" s="1"/>
  <c r="F66" i="19" s="1"/>
  <c r="W156" i="37"/>
  <c r="X156" i="37" s="1"/>
  <c r="F157" i="19" s="1"/>
  <c r="W201" i="37"/>
  <c r="X201" i="37" s="1"/>
  <c r="F203" i="19" s="1"/>
  <c r="W303" i="37"/>
  <c r="X303" i="37" s="1"/>
  <c r="F306" i="19" s="1"/>
  <c r="W36" i="37"/>
  <c r="X36" i="37" s="1"/>
  <c r="F36" i="19" s="1"/>
  <c r="W67" i="37"/>
  <c r="X67" i="37" s="1"/>
  <c r="F67" i="19" s="1"/>
  <c r="W123" i="37"/>
  <c r="X123" i="37" s="1"/>
  <c r="F124" i="19" s="1"/>
  <c r="W90" i="37"/>
  <c r="X90" i="37" s="1"/>
  <c r="F90" i="19" s="1"/>
  <c r="W241" i="37"/>
  <c r="X241" i="37" s="1"/>
  <c r="F244" i="19" s="1"/>
  <c r="W167" i="37"/>
  <c r="X167" i="37" s="1"/>
  <c r="F168" i="19" s="1"/>
  <c r="W42" i="37"/>
  <c r="X42" i="37" s="1"/>
  <c r="F42" i="19" s="1"/>
  <c r="W306" i="37"/>
  <c r="X306" i="37" s="1"/>
  <c r="F309" i="19" s="1"/>
  <c r="W313" i="37"/>
  <c r="X313" i="37" s="1"/>
  <c r="F316" i="19" s="1"/>
  <c r="W267" i="37"/>
  <c r="X267" i="37" s="1"/>
  <c r="F270" i="19" s="1"/>
  <c r="W181" i="37"/>
  <c r="X181" i="37" s="1"/>
  <c r="F182" i="19" s="1"/>
  <c r="W136" i="37"/>
  <c r="X136" i="37" s="1"/>
  <c r="F137" i="19" s="1"/>
  <c r="W61" i="37"/>
  <c r="X61" i="37" s="1"/>
  <c r="F61" i="19" s="1"/>
  <c r="W166" i="37"/>
  <c r="X166" i="37" s="1"/>
  <c r="F167" i="19" s="1"/>
  <c r="W257" i="37"/>
  <c r="X257" i="37" s="1"/>
  <c r="F260" i="19" s="1"/>
  <c r="W81" i="37"/>
  <c r="X81" i="37" s="1"/>
  <c r="F81" i="19" s="1"/>
  <c r="W209" i="37"/>
  <c r="X209" i="37" s="1"/>
  <c r="F211" i="19" s="1"/>
  <c r="W253" i="37"/>
  <c r="X253" i="37" s="1"/>
  <c r="F256" i="19" s="1"/>
  <c r="W200" i="37"/>
  <c r="X200" i="37" s="1"/>
  <c r="F202" i="19" s="1"/>
  <c r="W151" i="37"/>
  <c r="X151" i="37" s="1"/>
  <c r="F152" i="19" s="1"/>
  <c r="W245" i="37"/>
  <c r="X245" i="37" s="1"/>
  <c r="F248" i="19" s="1"/>
  <c r="W73" i="37"/>
  <c r="X73" i="37" s="1"/>
  <c r="F73" i="19" s="1"/>
  <c r="W13" i="37"/>
  <c r="X13" i="37" s="1"/>
  <c r="F13" i="19" s="1"/>
  <c r="W188" i="37"/>
  <c r="X188" i="37" s="1"/>
  <c r="F189" i="19" s="1"/>
  <c r="W238" i="37"/>
  <c r="X238" i="37" s="1"/>
  <c r="F241" i="19" s="1"/>
  <c r="W137" i="37"/>
  <c r="X137" i="37" s="1"/>
  <c r="F138" i="19" s="1"/>
  <c r="W157" i="37"/>
  <c r="X157" i="37" s="1"/>
  <c r="F158" i="19" s="1"/>
  <c r="W315" i="37"/>
  <c r="X315" i="37" s="1"/>
  <c r="F318" i="19" s="1"/>
  <c r="W171" i="37"/>
  <c r="X171" i="37" s="1"/>
  <c r="F172" i="19" s="1"/>
  <c r="W234" i="37"/>
  <c r="X234" i="37" s="1"/>
  <c r="F237" i="19" s="1"/>
  <c r="W35" i="37"/>
  <c r="X35" i="37" s="1"/>
  <c r="F35" i="19" s="1"/>
  <c r="W237" i="37"/>
  <c r="X237" i="37" s="1"/>
  <c r="F240" i="19" s="1"/>
  <c r="W8" i="37"/>
  <c r="X8" i="37" s="1"/>
  <c r="F8" i="19" s="1"/>
  <c r="W180" i="37"/>
  <c r="X180" i="37" s="1"/>
  <c r="F181" i="19" s="1"/>
  <c r="W229" i="37"/>
  <c r="X229" i="37" s="1"/>
  <c r="F232" i="19" s="1"/>
  <c r="W163" i="37"/>
  <c r="X163" i="37" s="1"/>
  <c r="F164" i="19" s="1"/>
  <c r="W39" i="37"/>
  <c r="X39" i="37" s="1"/>
  <c r="F39" i="19" s="1"/>
  <c r="W263" i="37"/>
  <c r="X263" i="37" s="1"/>
  <c r="F266" i="19" s="1"/>
  <c r="W51" i="37"/>
  <c r="X51" i="37" s="1"/>
  <c r="F51" i="19" s="1"/>
  <c r="W173" i="37"/>
  <c r="X173" i="37" s="1"/>
  <c r="F174" i="19" s="1"/>
  <c r="W225" i="37"/>
  <c r="X225" i="37" s="1"/>
  <c r="F227" i="19" s="1"/>
  <c r="W314" i="37"/>
  <c r="X314" i="37" s="1"/>
  <c r="F317" i="19" s="1"/>
  <c r="W41" i="37"/>
  <c r="X41" i="37" s="1"/>
  <c r="F41" i="19" s="1"/>
  <c r="W97" i="37"/>
  <c r="X97" i="37" s="1"/>
  <c r="F97" i="19" s="1"/>
  <c r="W291" i="37"/>
  <c r="X291" i="37" s="1"/>
  <c r="F294" i="19" s="1"/>
  <c r="W148" i="37"/>
  <c r="X148" i="37" s="1"/>
  <c r="F149" i="19" s="1"/>
  <c r="W27" i="37"/>
  <c r="X27" i="37" s="1"/>
  <c r="F27" i="19" s="1"/>
  <c r="W120" i="37"/>
  <c r="X120" i="37" s="1"/>
  <c r="F121" i="19" s="1"/>
  <c r="W230" i="37"/>
  <c r="X230" i="37" s="1"/>
  <c r="F233" i="19" s="1"/>
  <c r="W77" i="37"/>
  <c r="X77" i="37" s="1"/>
  <c r="F77" i="19" s="1"/>
  <c r="W140" i="37"/>
  <c r="X140" i="37" s="1"/>
  <c r="F141" i="19" s="1"/>
  <c r="W216" i="37"/>
  <c r="X216" i="37" s="1"/>
  <c r="F218" i="19" s="1"/>
  <c r="W247" i="37"/>
  <c r="X247" i="37" s="1"/>
  <c r="F250" i="19" s="1"/>
  <c r="W254" i="37"/>
  <c r="X254" i="37" s="1"/>
  <c r="F257" i="19" s="1"/>
  <c r="W45" i="37"/>
  <c r="X45" i="37" s="1"/>
  <c r="F45" i="19" s="1"/>
  <c r="W100" i="37"/>
  <c r="X100" i="37" s="1"/>
  <c r="F100" i="19" s="1"/>
  <c r="W40" i="37"/>
  <c r="X40" i="37" s="1"/>
  <c r="F40" i="19" s="1"/>
  <c r="W191" i="37"/>
  <c r="X191" i="37" s="1"/>
  <c r="F192" i="19" s="1"/>
  <c r="W262" i="37"/>
  <c r="X262" i="37" s="1"/>
  <c r="F265" i="19" s="1"/>
  <c r="W175" i="37"/>
  <c r="X175" i="37" s="1"/>
  <c r="F176" i="19" s="1"/>
  <c r="W127" i="37"/>
  <c r="X127" i="37" s="1"/>
  <c r="F128" i="19" s="1"/>
  <c r="W20" i="37"/>
  <c r="X20" i="37" s="1"/>
  <c r="F20" i="19" s="1"/>
  <c r="W75" i="37"/>
  <c r="X75" i="37" s="1"/>
  <c r="F75" i="19" s="1"/>
  <c r="W99" i="37"/>
  <c r="X99" i="37" s="1"/>
  <c r="F99" i="19" s="1"/>
  <c r="W293" i="37"/>
  <c r="X293" i="37" s="1"/>
  <c r="F296" i="19" s="1"/>
  <c r="W63" i="37"/>
  <c r="X63" i="37" s="1"/>
  <c r="F63" i="19" s="1"/>
  <c r="W268" i="37"/>
  <c r="X268" i="37" s="1"/>
  <c r="F271" i="19" s="1"/>
  <c r="W205" i="37"/>
  <c r="X205" i="37" s="1"/>
  <c r="F207" i="19" s="1"/>
  <c r="W299" i="37"/>
  <c r="X299" i="37" s="1"/>
  <c r="F302" i="19" s="1"/>
  <c r="W286" i="37"/>
  <c r="X286" i="37" s="1"/>
  <c r="F289" i="19" s="1"/>
  <c r="W48" i="37"/>
  <c r="X48" i="37" s="1"/>
  <c r="F48" i="19" s="1"/>
  <c r="W222" i="37"/>
  <c r="X222" i="37" s="1"/>
  <c r="F224" i="19" s="1"/>
  <c r="W95" i="37"/>
  <c r="X95" i="37" s="1"/>
  <c r="F95" i="19" s="1"/>
  <c r="W295" i="37"/>
  <c r="X295" i="37" s="1"/>
  <c r="F298" i="19" s="1"/>
  <c r="W219" i="37"/>
  <c r="X219" i="37" s="1"/>
  <c r="F221" i="19" s="1"/>
  <c r="W6" i="37"/>
  <c r="X6" i="37" s="1"/>
  <c r="F6" i="19" s="1"/>
  <c r="W31" i="37"/>
  <c r="X31" i="37" s="1"/>
  <c r="F31" i="19" s="1"/>
  <c r="W186" i="37"/>
  <c r="X186" i="37" s="1"/>
  <c r="F187" i="19" s="1"/>
  <c r="W12" i="37"/>
  <c r="X12" i="37" s="1"/>
  <c r="F12" i="19" s="1"/>
  <c r="W115" i="37"/>
  <c r="X115" i="37" s="1"/>
  <c r="F116" i="19" s="1"/>
  <c r="W24" i="37"/>
  <c r="X24" i="37" s="1"/>
  <c r="F24" i="19" s="1"/>
  <c r="W292" i="37"/>
  <c r="X292" i="37" s="1"/>
  <c r="F295" i="19" s="1"/>
  <c r="W270" i="37"/>
  <c r="X270" i="37" s="1"/>
  <c r="F273" i="19" s="1"/>
  <c r="W196" i="37"/>
  <c r="X196" i="37" s="1"/>
  <c r="F198" i="19" s="1"/>
  <c r="W208" i="37"/>
  <c r="X208" i="37" s="1"/>
  <c r="F210" i="19" s="1"/>
  <c r="W178" i="37"/>
  <c r="X178" i="37" s="1"/>
  <c r="F179" i="19" s="1"/>
  <c r="W152" i="37"/>
  <c r="X152" i="37" s="1"/>
  <c r="F153" i="19" s="1"/>
  <c r="W248" i="37"/>
  <c r="X248" i="37" s="1"/>
  <c r="F251" i="19" s="1"/>
  <c r="W297" i="37"/>
  <c r="X297" i="37" s="1"/>
  <c r="F300" i="19" s="1"/>
  <c r="W269" i="37"/>
  <c r="X269" i="37" s="1"/>
  <c r="F272" i="19" s="1"/>
  <c r="W251" i="37"/>
  <c r="X251" i="37" s="1"/>
  <c r="F254" i="19" s="1"/>
  <c r="W80" i="37"/>
  <c r="X80" i="37" s="1"/>
  <c r="F80" i="19" s="1"/>
  <c r="W252" i="37"/>
  <c r="X252" i="37" s="1"/>
  <c r="F255" i="19" s="1"/>
  <c r="W84" i="37"/>
  <c r="X84" i="37" s="1"/>
  <c r="F84" i="19" s="1"/>
  <c r="W169" i="37"/>
  <c r="X169" i="37" s="1"/>
  <c r="F170" i="19" s="1"/>
  <c r="W259" i="37"/>
  <c r="X259" i="37" s="1"/>
  <c r="F262" i="19" s="1"/>
  <c r="W37" i="37"/>
  <c r="X37" i="37" s="1"/>
  <c r="F37" i="19" s="1"/>
  <c r="W122" i="37"/>
  <c r="X122" i="37" s="1"/>
  <c r="F123" i="19" s="1"/>
  <c r="W283" i="37"/>
  <c r="X283" i="37" s="1"/>
  <c r="F286" i="19" s="1"/>
  <c r="W28" i="37"/>
  <c r="X28" i="37" s="1"/>
  <c r="F28" i="19" s="1"/>
  <c r="W264" i="37"/>
  <c r="X264" i="37" s="1"/>
  <c r="F267" i="19" s="1"/>
  <c r="W304" i="37"/>
  <c r="X304" i="37" s="1"/>
  <c r="F307" i="19" s="1"/>
  <c r="W29" i="37"/>
  <c r="X29" i="37" s="1"/>
  <c r="F29" i="19" s="1"/>
  <c r="W50" i="37"/>
  <c r="X50" i="37" s="1"/>
  <c r="F50" i="19" s="1"/>
  <c r="W119" i="37"/>
  <c r="X119" i="37" s="1"/>
  <c r="F120" i="19" s="1"/>
  <c r="W33" i="37"/>
  <c r="X33" i="37" s="1"/>
  <c r="F33" i="19" s="1"/>
  <c r="W102" i="37"/>
  <c r="X102" i="37" s="1"/>
  <c r="F102" i="19" s="1"/>
  <c r="W26" i="37"/>
  <c r="X26" i="37" s="1"/>
  <c r="F26" i="19" s="1"/>
  <c r="W23" i="37"/>
  <c r="X23" i="37" s="1"/>
  <c r="F23" i="19" s="1"/>
  <c r="W145" i="37"/>
  <c r="X145" i="37" s="1"/>
  <c r="F146" i="19" s="1"/>
  <c r="W294" i="37"/>
  <c r="X294" i="37" s="1"/>
  <c r="F297" i="19" s="1"/>
  <c r="W68" i="37"/>
  <c r="X68" i="37" s="1"/>
  <c r="F68" i="19" s="1"/>
  <c r="X4" i="36"/>
  <c r="W3" i="37" l="1" a="1"/>
  <c r="W3" i="37" s="1"/>
  <c r="Y318" i="39"/>
  <c r="H230" i="19"/>
  <c r="Y317" i="39"/>
  <c r="H106" i="19"/>
  <c r="Y317" i="38"/>
  <c r="G106" i="19"/>
  <c r="Y318" i="38"/>
  <c r="G230" i="19"/>
  <c r="Y318" i="37"/>
  <c r="F230" i="19"/>
  <c r="Y317" i="37"/>
  <c r="F106" i="19"/>
  <c r="X3" i="36" a="1"/>
  <c r="X3" i="36" s="1"/>
  <c r="E4" i="19"/>
  <c r="W3" i="38" a="1"/>
  <c r="W3" i="38" s="1"/>
  <c r="X4" i="37"/>
  <c r="Y4" i="37" s="1"/>
  <c r="W4" i="39"/>
  <c r="Y293" i="37"/>
  <c r="Y29" i="37"/>
  <c r="Y48" i="37"/>
  <c r="Y51" i="37"/>
  <c r="Y306" i="37"/>
  <c r="Y30" i="37"/>
  <c r="Y244" i="37"/>
  <c r="Y79" i="37"/>
  <c r="Y187" i="37"/>
  <c r="Y109" i="37"/>
  <c r="Y130" i="37"/>
  <c r="Y309" i="37"/>
  <c r="Y9" i="38"/>
  <c r="Y235" i="38"/>
  <c r="Y292" i="38"/>
  <c r="Y73" i="38"/>
  <c r="Y264" i="37"/>
  <c r="Y208" i="37"/>
  <c r="Y299" i="37"/>
  <c r="Y291" i="37"/>
  <c r="Y171" i="37"/>
  <c r="Y61" i="37"/>
  <c r="Y156" i="37"/>
  <c r="Y265" i="37"/>
  <c r="Y296" i="37"/>
  <c r="Y60" i="37"/>
  <c r="Y274" i="37"/>
  <c r="Y52" i="37"/>
  <c r="Y17" i="37"/>
  <c r="Y126" i="37"/>
  <c r="Y316" i="37"/>
  <c r="Y246" i="37"/>
  <c r="Y105" i="37"/>
  <c r="Y82" i="37"/>
  <c r="Y55" i="37"/>
  <c r="Y81" i="38"/>
  <c r="Y210" i="38"/>
  <c r="Y90" i="38"/>
  <c r="Y176" i="38"/>
  <c r="Y160" i="38"/>
  <c r="Y27" i="38"/>
  <c r="Y82" i="38"/>
  <c r="Y316" i="38"/>
  <c r="Y42" i="38"/>
  <c r="Y287" i="38"/>
  <c r="Y23" i="38"/>
  <c r="Y194" i="38"/>
  <c r="Y66" i="38"/>
  <c r="Y304" i="38"/>
  <c r="Y297" i="38"/>
  <c r="Y48" i="38"/>
  <c r="Y130" i="38"/>
  <c r="Y110" i="38"/>
  <c r="Y32" i="38"/>
  <c r="Y93" i="38"/>
  <c r="Y164" i="38"/>
  <c r="Y58" i="38"/>
  <c r="Y157" i="38"/>
  <c r="Y182" i="38"/>
  <c r="Y241" i="38"/>
  <c r="Y102" i="37"/>
  <c r="Y268" i="37"/>
  <c r="Y157" i="37"/>
  <c r="Y44" i="37"/>
  <c r="Y221" i="37"/>
  <c r="Y54" i="37"/>
  <c r="Y65" i="37"/>
  <c r="Y202" i="37"/>
  <c r="Y37" i="37"/>
  <c r="Y230" i="37"/>
  <c r="Y152" i="37"/>
  <c r="Y75" i="37"/>
  <c r="Y35" i="37"/>
  <c r="Y303" i="37"/>
  <c r="Y128" i="37"/>
  <c r="Y56" i="37"/>
  <c r="Y193" i="37"/>
  <c r="Y88" i="37"/>
  <c r="Y170" i="37"/>
  <c r="Y107" i="37"/>
  <c r="Y258" i="37"/>
  <c r="Y116" i="37"/>
  <c r="Y288" i="38"/>
  <c r="Y139" i="38"/>
  <c r="Y296" i="38"/>
  <c r="Y108" i="38"/>
  <c r="Y312" i="38"/>
  <c r="Y86" i="38"/>
  <c r="Y277" i="38"/>
  <c r="Y226" i="38"/>
  <c r="Y172" i="38"/>
  <c r="Y34" i="38"/>
  <c r="Y98" i="38"/>
  <c r="Y252" i="38"/>
  <c r="Y269" i="38"/>
  <c r="Y23" i="37"/>
  <c r="Y252" i="37"/>
  <c r="Y31" i="37"/>
  <c r="Y127" i="37"/>
  <c r="Y247" i="37"/>
  <c r="Y39" i="37"/>
  <c r="Y245" i="37"/>
  <c r="Y167" i="37"/>
  <c r="Y78" i="37"/>
  <c r="Y261" i="37"/>
  <c r="Y278" i="37"/>
  <c r="Y59" i="37"/>
  <c r="Y198" i="37"/>
  <c r="Y112" i="37"/>
  <c r="Y277" i="37"/>
  <c r="Y239" i="37"/>
  <c r="Y184" i="37"/>
  <c r="Y125" i="37"/>
  <c r="Y141" i="37"/>
  <c r="Y273" i="37"/>
  <c r="Y153" i="37"/>
  <c r="Y302" i="38"/>
  <c r="Y105" i="38"/>
  <c r="Y188" i="38"/>
  <c r="Y78" i="38"/>
  <c r="Y218" i="38"/>
  <c r="Y249" i="38"/>
  <c r="Y169" i="38"/>
  <c r="Y13" i="38"/>
  <c r="Y294" i="38"/>
  <c r="Y87" i="38"/>
  <c r="Y196" i="38"/>
  <c r="Y57" i="38"/>
  <c r="Y261" i="38"/>
  <c r="Y133" i="38"/>
  <c r="Y26" i="37"/>
  <c r="Y28" i="37"/>
  <c r="Y80" i="37"/>
  <c r="Y196" i="37"/>
  <c r="Y6" i="37"/>
  <c r="Y205" i="37"/>
  <c r="Y175" i="37"/>
  <c r="Y216" i="37"/>
  <c r="Y97" i="37"/>
  <c r="Y163" i="37"/>
  <c r="Y315" i="37"/>
  <c r="Y151" i="37"/>
  <c r="Y136" i="37"/>
  <c r="Y241" i="37"/>
  <c r="Y66" i="37"/>
  <c r="Y87" i="37"/>
  <c r="Y242" i="37"/>
  <c r="Y150" i="37"/>
  <c r="Y21" i="37"/>
  <c r="Y211" i="37"/>
  <c r="Y255" i="37"/>
  <c r="Y91" i="37"/>
  <c r="Y139" i="37"/>
  <c r="Y18" i="37"/>
  <c r="Y236" i="37"/>
  <c r="Y233" i="37"/>
  <c r="Y32" i="37"/>
  <c r="Y159" i="37"/>
  <c r="Y160" i="37"/>
  <c r="Y172" i="37"/>
  <c r="Y96" i="37"/>
  <c r="Y146" i="37"/>
  <c r="Y249" i="37"/>
  <c r="Y266" i="37"/>
  <c r="Y58" i="37"/>
  <c r="Y194" i="37"/>
  <c r="Y281" i="37"/>
  <c r="Y250" i="37"/>
  <c r="Y214" i="37"/>
  <c r="Y113" i="38"/>
  <c r="Y40" i="38"/>
  <c r="Y195" i="38"/>
  <c r="Y232" i="38"/>
  <c r="Y213" i="38"/>
  <c r="Y305" i="38"/>
  <c r="Y37" i="38"/>
  <c r="Y149" i="38"/>
  <c r="Y290" i="38"/>
  <c r="Y276" i="38"/>
  <c r="Y77" i="38"/>
  <c r="Y231" i="38"/>
  <c r="Y118" i="38"/>
  <c r="Y208" i="38"/>
  <c r="Y128" i="38"/>
  <c r="Y111" i="38"/>
  <c r="Y234" i="38"/>
  <c r="Y85" i="38"/>
  <c r="Y24" i="38"/>
  <c r="Y29" i="38"/>
  <c r="Y206" i="38"/>
  <c r="Y247" i="38"/>
  <c r="Y311" i="38"/>
  <c r="Y281" i="38"/>
  <c r="Y242" i="38"/>
  <c r="Y251" i="38"/>
  <c r="Y270" i="38"/>
  <c r="Y153" i="38"/>
  <c r="Y184" i="38"/>
  <c r="Y313" i="38"/>
  <c r="Y7" i="38"/>
  <c r="Y55" i="38"/>
  <c r="Y144" i="38"/>
  <c r="Y50" i="38"/>
  <c r="Y47" i="38"/>
  <c r="Y141" i="38"/>
  <c r="Y257" i="38"/>
  <c r="Y161" i="38"/>
  <c r="Y270" i="37"/>
  <c r="Y229" i="37"/>
  <c r="Y190" i="37"/>
  <c r="Y284" i="37"/>
  <c r="Y53" i="37"/>
  <c r="Y69" i="37"/>
  <c r="Y47" i="37"/>
  <c r="Y283" i="38"/>
  <c r="Y15" i="38"/>
  <c r="Y221" i="38"/>
  <c r="Y245" i="38"/>
  <c r="Y41" i="38"/>
  <c r="Y205" i="38"/>
  <c r="Y60" i="38"/>
  <c r="Y178" i="38"/>
  <c r="Y171" i="38"/>
  <c r="Y59" i="38"/>
  <c r="Y243" i="38"/>
  <c r="Y215" i="38"/>
  <c r="Y223" i="38"/>
  <c r="Y236" i="38"/>
  <c r="Y28" i="38"/>
  <c r="Y12" i="38"/>
  <c r="Y260" i="38"/>
  <c r="Y310" i="38"/>
  <c r="Y99" i="38"/>
  <c r="Y121" i="38"/>
  <c r="Y122" i="38"/>
  <c r="Y143" i="38"/>
  <c r="Y222" i="38"/>
  <c r="Y70" i="38"/>
  <c r="Y227" i="38"/>
  <c r="Y46" i="38"/>
  <c r="Y211" i="38"/>
  <c r="Y159" i="38"/>
  <c r="Y289" i="38"/>
  <c r="Y56" i="38"/>
  <c r="Y142" i="38"/>
  <c r="Y239" i="38"/>
  <c r="Y262" i="38"/>
  <c r="Y102" i="38"/>
  <c r="Y259" i="38"/>
  <c r="Y33" i="37"/>
  <c r="Y122" i="37"/>
  <c r="Y269" i="37"/>
  <c r="Y292" i="37"/>
  <c r="Y295" i="37"/>
  <c r="Y63" i="37"/>
  <c r="Y191" i="37"/>
  <c r="Y77" i="37"/>
  <c r="Y314" i="37"/>
  <c r="Y180" i="37"/>
  <c r="Y137" i="37"/>
  <c r="Y253" i="37"/>
  <c r="Y123" i="37"/>
  <c r="Y165" i="37"/>
  <c r="Y195" i="37"/>
  <c r="Y206" i="37"/>
  <c r="Y161" i="37"/>
  <c r="Y207" i="37"/>
  <c r="Y131" i="37"/>
  <c r="Y132" i="37"/>
  <c r="Y288" i="37"/>
  <c r="Y275" i="37"/>
  <c r="Y168" i="37"/>
  <c r="Y92" i="37"/>
  <c r="Y144" i="37"/>
  <c r="Y231" i="37"/>
  <c r="Y218" i="37"/>
  <c r="Y162" i="37"/>
  <c r="Y279" i="37"/>
  <c r="Y213" i="37"/>
  <c r="Y38" i="37"/>
  <c r="Y176" i="37"/>
  <c r="Y240" i="37"/>
  <c r="Y272" i="37"/>
  <c r="Y226" i="37"/>
  <c r="Y289" i="37"/>
  <c r="Y89" i="37"/>
  <c r="Y150" i="38"/>
  <c r="Y17" i="38"/>
  <c r="Y63" i="38"/>
  <c r="Y237" i="38"/>
  <c r="Y314" i="38"/>
  <c r="Y291" i="38"/>
  <c r="Y38" i="38"/>
  <c r="Y74" i="38"/>
  <c r="Y129" i="38"/>
  <c r="Y214" i="38"/>
  <c r="Y303" i="38"/>
  <c r="Y75" i="38"/>
  <c r="Y116" i="38"/>
  <c r="Y181" i="38"/>
  <c r="Y246" i="38"/>
  <c r="Y61" i="38"/>
  <c r="Y180" i="38"/>
  <c r="Y258" i="38"/>
  <c r="Y8" i="38"/>
  <c r="Y89" i="38"/>
  <c r="Y165" i="38"/>
  <c r="Y298" i="38"/>
  <c r="Y33" i="38"/>
  <c r="Y175" i="38"/>
  <c r="Y31" i="38"/>
  <c r="Y284" i="38"/>
  <c r="Y162" i="38"/>
  <c r="Y254" i="38"/>
  <c r="Y255" i="38"/>
  <c r="Y167" i="38"/>
  <c r="Y253" i="38"/>
  <c r="Y11" i="38"/>
  <c r="Y275" i="38"/>
  <c r="Y189" i="38"/>
  <c r="Y187" i="38"/>
  <c r="Y54" i="38"/>
  <c r="Y295" i="38"/>
  <c r="Y19" i="38"/>
  <c r="Y20" i="38"/>
  <c r="Y115" i="38"/>
  <c r="Y140" i="37"/>
  <c r="Y90" i="37"/>
  <c r="Y121" i="37"/>
  <c r="Y86" i="37"/>
  <c r="Y106" i="37"/>
  <c r="Y190" i="38"/>
  <c r="Y95" i="37"/>
  <c r="Y225" i="37"/>
  <c r="Y238" i="37"/>
  <c r="Y67" i="37"/>
  <c r="Y147" i="37"/>
  <c r="Y103" i="37"/>
  <c r="Y204" i="37"/>
  <c r="Y197" i="37"/>
  <c r="Y83" i="37"/>
  <c r="Y305" i="37"/>
  <c r="Y158" i="37"/>
  <c r="Y271" i="37"/>
  <c r="Y298" i="37"/>
  <c r="Y228" i="37"/>
  <c r="Y185" i="37"/>
  <c r="Y5" i="37"/>
  <c r="Y134" i="38"/>
  <c r="Y264" i="38"/>
  <c r="Y10" i="38"/>
  <c r="Y152" i="38"/>
  <c r="Y273" i="38"/>
  <c r="Y155" i="38"/>
  <c r="Y16" i="38"/>
  <c r="Y79" i="38"/>
  <c r="Y265" i="38"/>
  <c r="Y192" i="38"/>
  <c r="Y163" i="38"/>
  <c r="Y283" i="37"/>
  <c r="Y262" i="37"/>
  <c r="Y200" i="37"/>
  <c r="Y142" i="37"/>
  <c r="Y224" i="37"/>
  <c r="Y310" i="37"/>
  <c r="Y301" i="37"/>
  <c r="Y203" i="37"/>
  <c r="Y119" i="37"/>
  <c r="Y40" i="37"/>
  <c r="Y8" i="37"/>
  <c r="Y209" i="37"/>
  <c r="Y267" i="37"/>
  <c r="Y43" i="37"/>
  <c r="Y10" i="37"/>
  <c r="Y74" i="37"/>
  <c r="Y117" i="37"/>
  <c r="Y210" i="37"/>
  <c r="Y62" i="37"/>
  <c r="Y199" i="37"/>
  <c r="Y232" i="37"/>
  <c r="Y308" i="37"/>
  <c r="Y260" i="37"/>
  <c r="Y243" i="37"/>
  <c r="Y143" i="37"/>
  <c r="Y94" i="37"/>
  <c r="Y308" i="38"/>
  <c r="Y301" i="38"/>
  <c r="Y125" i="38"/>
  <c r="Y53" i="38"/>
  <c r="Y14" i="38"/>
  <c r="Y112" i="38"/>
  <c r="Y107" i="38"/>
  <c r="Y137" i="38"/>
  <c r="Y72" i="38"/>
  <c r="Y156" i="38"/>
  <c r="Y306" i="38"/>
  <c r="Y114" i="38"/>
  <c r="Y44" i="38"/>
  <c r="Y299" i="38"/>
  <c r="Y256" i="38"/>
  <c r="Y268" i="38"/>
  <c r="Y45" i="38"/>
  <c r="Y52" i="38"/>
  <c r="Y67" i="38"/>
  <c r="Y62" i="38"/>
  <c r="Y91" i="38"/>
  <c r="Y307" i="38"/>
  <c r="Y97" i="38"/>
  <c r="Y200" i="38"/>
  <c r="Y217" i="38"/>
  <c r="Y272" i="38"/>
  <c r="Y158" i="38"/>
  <c r="Y201" i="38"/>
  <c r="Y68" i="37"/>
  <c r="Y50" i="37"/>
  <c r="Y259" i="37"/>
  <c r="Y248" i="37"/>
  <c r="Y115" i="37"/>
  <c r="Y222" i="37"/>
  <c r="Y99" i="37"/>
  <c r="Y100" i="37"/>
  <c r="Y120" i="37"/>
  <c r="Y173" i="37"/>
  <c r="Y237" i="37"/>
  <c r="Y188" i="37"/>
  <c r="Y81" i="37"/>
  <c r="Y313" i="37"/>
  <c r="Y36" i="37"/>
  <c r="Y192" i="37"/>
  <c r="Y113" i="37"/>
  <c r="Y110" i="37"/>
  <c r="Y7" i="37"/>
  <c r="Y134" i="37"/>
  <c r="Y276" i="37"/>
  <c r="Y189" i="37"/>
  <c r="Y71" i="37"/>
  <c r="Y49" i="37"/>
  <c r="Y182" i="37"/>
  <c r="Y19" i="37"/>
  <c r="Y311" i="37"/>
  <c r="Y57" i="37"/>
  <c r="Y290" i="37"/>
  <c r="Y220" i="37"/>
  <c r="Y72" i="37"/>
  <c r="Y164" i="37"/>
  <c r="Y212" i="37"/>
  <c r="Y179" i="37"/>
  <c r="Y114" i="37"/>
  <c r="Y111" i="37"/>
  <c r="Y85" i="37"/>
  <c r="Y25" i="37"/>
  <c r="Y129" i="37"/>
  <c r="Y220" i="38"/>
  <c r="Y117" i="38"/>
  <c r="Y240" i="38"/>
  <c r="Y225" i="38"/>
  <c r="Y198" i="38"/>
  <c r="Y293" i="38"/>
  <c r="Y197" i="38"/>
  <c r="Y6" i="38"/>
  <c r="Y119" i="38"/>
  <c r="Y80" i="38"/>
  <c r="Y138" i="38"/>
  <c r="Y267" i="38"/>
  <c r="Y92" i="38"/>
  <c r="Y216" i="38"/>
  <c r="Y212" i="38"/>
  <c r="Y202" i="38"/>
  <c r="Y69" i="38"/>
  <c r="Y203" i="38"/>
  <c r="Y233" i="38"/>
  <c r="Y271" i="38"/>
  <c r="Y282" i="38"/>
  <c r="Y280" i="38"/>
  <c r="Y274" i="38"/>
  <c r="Y101" i="38"/>
  <c r="Y36" i="38"/>
  <c r="Y76" i="38"/>
  <c r="Y230" i="38"/>
  <c r="Y135" i="38"/>
  <c r="Y207" i="38"/>
  <c r="Y131" i="38"/>
  <c r="Y285" i="38"/>
  <c r="Y5" i="38"/>
  <c r="Y166" i="38"/>
  <c r="Y244" i="38"/>
  <c r="Y145" i="38"/>
  <c r="Y104" i="38"/>
  <c r="Y71" i="38"/>
  <c r="Y154" i="38"/>
  <c r="Y174" i="38"/>
  <c r="Y278" i="38"/>
  <c r="Y219" i="37"/>
  <c r="Y181" i="37"/>
  <c r="Y22" i="37"/>
  <c r="Y138" i="37"/>
  <c r="Y146" i="38"/>
  <c r="Y24" i="37"/>
  <c r="Y169" i="37"/>
  <c r="Y45" i="37"/>
  <c r="Y13" i="37"/>
  <c r="Y9" i="37"/>
  <c r="Y93" i="37"/>
  <c r="Y256" i="37"/>
  <c r="Y154" i="37"/>
  <c r="Y285" i="37"/>
  <c r="Y30" i="38"/>
  <c r="Y209" i="38"/>
  <c r="Y123" i="38"/>
  <c r="Y43" i="38"/>
  <c r="Y25" i="38"/>
  <c r="Y315" i="38"/>
  <c r="Y51" i="38"/>
  <c r="Y35" i="38"/>
  <c r="Y95" i="38"/>
  <c r="Y219" i="38"/>
  <c r="Y96" i="38"/>
  <c r="Y26" i="38"/>
  <c r="Y251" i="37"/>
  <c r="Y41" i="37"/>
  <c r="Y76" i="37"/>
  <c r="Y177" i="37"/>
  <c r="Y118" i="37"/>
  <c r="Y16" i="37"/>
  <c r="Y136" i="38"/>
  <c r="Y297" i="37"/>
  <c r="Y294" i="37"/>
  <c r="Y12" i="37"/>
  <c r="Y27" i="37"/>
  <c r="Y257" i="37"/>
  <c r="Y15" i="37"/>
  <c r="Y155" i="37"/>
  <c r="Y14" i="37"/>
  <c r="Y104" i="37"/>
  <c r="Y217" i="37"/>
  <c r="Y173" i="38"/>
  <c r="Y199" i="38"/>
  <c r="Y266" i="38"/>
  <c r="Y263" i="38"/>
  <c r="Y177" i="38"/>
  <c r="Y147" i="38"/>
  <c r="Y84" i="38"/>
  <c r="Y224" i="38"/>
  <c r="Y127" i="38"/>
  <c r="Y94" i="38"/>
  <c r="Y145" i="37"/>
  <c r="Y304" i="37"/>
  <c r="Y84" i="37"/>
  <c r="Y178" i="37"/>
  <c r="Y186" i="37"/>
  <c r="Y286" i="37"/>
  <c r="Y20" i="37"/>
  <c r="Y254" i="37"/>
  <c r="Y148" i="37"/>
  <c r="Y263" i="37"/>
  <c r="Y234" i="37"/>
  <c r="Y73" i="37"/>
  <c r="Y166" i="37"/>
  <c r="Y42" i="37"/>
  <c r="Y201" i="37"/>
  <c r="Y215" i="37"/>
  <c r="Y300" i="37"/>
  <c r="Y101" i="37"/>
  <c r="Y223" i="37"/>
  <c r="Y280" i="37"/>
  <c r="Y287" i="37"/>
  <c r="Y282" i="37"/>
  <c r="Y46" i="37"/>
  <c r="Y183" i="37"/>
  <c r="Y70" i="37"/>
  <c r="Y133" i="37"/>
  <c r="Y98" i="37"/>
  <c r="Y302" i="37"/>
  <c r="Y227" i="37"/>
  <c r="Y149" i="37"/>
  <c r="Y108" i="37"/>
  <c r="Y11" i="37"/>
  <c r="Y235" i="37"/>
  <c r="Y312" i="37"/>
  <c r="Y64" i="37"/>
  <c r="Y34" i="37"/>
  <c r="Y174" i="37"/>
  <c r="Y307" i="37"/>
  <c r="Y124" i="37"/>
  <c r="Y135" i="37"/>
  <c r="Y106" i="38"/>
  <c r="Y103" i="38"/>
  <c r="Y21" i="38"/>
  <c r="Y126" i="38"/>
  <c r="Y124" i="38"/>
  <c r="Y39" i="38"/>
  <c r="Y109" i="38"/>
  <c r="Y64" i="38"/>
  <c r="Y309" i="38"/>
  <c r="Y140" i="38"/>
  <c r="Y49" i="38"/>
  <c r="Y68" i="38"/>
  <c r="Y168" i="38"/>
  <c r="Y65" i="38"/>
  <c r="Y238" i="38"/>
  <c r="Y286" i="38"/>
  <c r="Y132" i="38"/>
  <c r="Y229" i="38"/>
  <c r="Y228" i="38"/>
  <c r="Y170" i="38"/>
  <c r="Y120" i="38"/>
  <c r="Y88" i="38"/>
  <c r="Y148" i="38"/>
  <c r="Y250" i="38"/>
  <c r="Y83" i="38"/>
  <c r="Y279" i="38"/>
  <c r="Y22" i="38"/>
  <c r="Y193" i="38"/>
  <c r="Y151" i="38"/>
  <c r="Y179" i="38"/>
  <c r="Y191" i="38"/>
  <c r="Y18" i="38"/>
  <c r="Y248" i="38"/>
  <c r="Y204" i="38"/>
  <c r="Y183" i="38"/>
  <c r="Y100" i="38"/>
  <c r="Y300" i="38"/>
  <c r="Y185" i="38"/>
  <c r="Y186" i="38"/>
  <c r="W159" i="39"/>
  <c r="X159" i="39" s="1"/>
  <c r="H160" i="19" s="1"/>
  <c r="W113" i="39"/>
  <c r="X113" i="39" s="1"/>
  <c r="H114" i="19" s="1"/>
  <c r="W12" i="39"/>
  <c r="X12" i="39" s="1"/>
  <c r="H12" i="19" s="1"/>
  <c r="W109" i="39"/>
  <c r="X109" i="39" s="1"/>
  <c r="H110" i="19" s="1"/>
  <c r="W56" i="39"/>
  <c r="X56" i="39" s="1"/>
  <c r="H56" i="19" s="1"/>
  <c r="W291" i="39"/>
  <c r="X291" i="39" s="1"/>
  <c r="H294" i="19" s="1"/>
  <c r="W27" i="39"/>
  <c r="X27" i="39" s="1"/>
  <c r="H27" i="19" s="1"/>
  <c r="W145" i="39"/>
  <c r="X145" i="39" s="1"/>
  <c r="H146" i="19" s="1"/>
  <c r="W84" i="39"/>
  <c r="X84" i="39" s="1"/>
  <c r="H84" i="19" s="1"/>
  <c r="W284" i="39"/>
  <c r="X284" i="39" s="1"/>
  <c r="H287" i="19" s="1"/>
  <c r="W7" i="39"/>
  <c r="X7" i="39" s="1"/>
  <c r="H7" i="19" s="1"/>
  <c r="W8" i="39"/>
  <c r="X8" i="39" s="1"/>
  <c r="H8" i="19" s="1"/>
  <c r="W22" i="39"/>
  <c r="X22" i="39" s="1"/>
  <c r="H22" i="19" s="1"/>
  <c r="W16" i="39"/>
  <c r="X16" i="39" s="1"/>
  <c r="H16" i="19" s="1"/>
  <c r="W232" i="39"/>
  <c r="X232" i="39" s="1"/>
  <c r="H235" i="19" s="1"/>
  <c r="W97" i="39"/>
  <c r="X97" i="39" s="1"/>
  <c r="H97" i="19" s="1"/>
  <c r="W314" i="39"/>
  <c r="X314" i="39" s="1"/>
  <c r="H317" i="19" s="1"/>
  <c r="W26" i="39"/>
  <c r="X26" i="39" s="1"/>
  <c r="H26" i="19" s="1"/>
  <c r="W57" i="39"/>
  <c r="X57" i="39" s="1"/>
  <c r="H57" i="19" s="1"/>
  <c r="W160" i="39"/>
  <c r="X160" i="39" s="1"/>
  <c r="H161" i="19" s="1"/>
  <c r="W50" i="39"/>
  <c r="X50" i="39" s="1"/>
  <c r="H50" i="19" s="1"/>
  <c r="W176" i="39"/>
  <c r="X176" i="39" s="1"/>
  <c r="H177" i="19" s="1"/>
  <c r="W281" i="39"/>
  <c r="X281" i="39" s="1"/>
  <c r="H284" i="19" s="1"/>
  <c r="W59" i="39"/>
  <c r="X59" i="39" s="1"/>
  <c r="H59" i="19" s="1"/>
  <c r="W224" i="39"/>
  <c r="X224" i="39" s="1"/>
  <c r="H226" i="19" s="1"/>
  <c r="W218" i="39"/>
  <c r="X218" i="39" s="1"/>
  <c r="H220" i="19" s="1"/>
  <c r="W178" i="39"/>
  <c r="X178" i="39" s="1"/>
  <c r="H179" i="19" s="1"/>
  <c r="W180" i="39"/>
  <c r="X180" i="39" s="1"/>
  <c r="H181" i="19" s="1"/>
  <c r="W277" i="39"/>
  <c r="X277" i="39" s="1"/>
  <c r="H280" i="19" s="1"/>
  <c r="W94" i="39"/>
  <c r="X94" i="39" s="1"/>
  <c r="H94" i="19" s="1"/>
  <c r="W152" i="39"/>
  <c r="X152" i="39" s="1"/>
  <c r="H153" i="19" s="1"/>
  <c r="W96" i="39"/>
  <c r="X96" i="39" s="1"/>
  <c r="H96" i="19" s="1"/>
  <c r="W260" i="39"/>
  <c r="X260" i="39" s="1"/>
  <c r="H263" i="19" s="1"/>
  <c r="W42" i="39"/>
  <c r="X42" i="39" s="1"/>
  <c r="H42" i="19" s="1"/>
  <c r="W216" i="39"/>
  <c r="X216" i="39" s="1"/>
  <c r="H218" i="19" s="1"/>
  <c r="W194" i="39"/>
  <c r="X194" i="39" s="1"/>
  <c r="H196" i="19" s="1"/>
  <c r="W225" i="39"/>
  <c r="X225" i="39" s="1"/>
  <c r="H227" i="19" s="1"/>
  <c r="W184" i="39"/>
  <c r="X184" i="39" s="1"/>
  <c r="H185" i="19" s="1"/>
  <c r="W37" i="39"/>
  <c r="X37" i="39" s="1"/>
  <c r="H37" i="19" s="1"/>
  <c r="W34" i="39"/>
  <c r="X34" i="39" s="1"/>
  <c r="H34" i="19" s="1"/>
  <c r="W200" i="39"/>
  <c r="X200" i="39" s="1"/>
  <c r="H202" i="19" s="1"/>
  <c r="W136" i="39"/>
  <c r="X136" i="39" s="1"/>
  <c r="H137" i="19" s="1"/>
  <c r="W158" i="39"/>
  <c r="X158" i="39" s="1"/>
  <c r="H159" i="19" s="1"/>
  <c r="W250" i="39"/>
  <c r="X250" i="39" s="1"/>
  <c r="H253" i="19" s="1"/>
  <c r="W211" i="39"/>
  <c r="X211" i="39" s="1"/>
  <c r="H213" i="19" s="1"/>
  <c r="W119" i="39"/>
  <c r="X119" i="39" s="1"/>
  <c r="H120" i="19" s="1"/>
  <c r="W305" i="39"/>
  <c r="X305" i="39" s="1"/>
  <c r="H308" i="19" s="1"/>
  <c r="W75" i="39"/>
  <c r="X75" i="39" s="1"/>
  <c r="H75" i="19" s="1"/>
  <c r="W164" i="39"/>
  <c r="X164" i="39" s="1"/>
  <c r="H165" i="19" s="1"/>
  <c r="W290" i="39"/>
  <c r="X290" i="39" s="1"/>
  <c r="H293" i="19" s="1"/>
  <c r="W264" i="39"/>
  <c r="X264" i="39" s="1"/>
  <c r="H267" i="19" s="1"/>
  <c r="W41" i="39"/>
  <c r="X41" i="39" s="1"/>
  <c r="H41" i="19" s="1"/>
  <c r="W78" i="39"/>
  <c r="X78" i="39" s="1"/>
  <c r="H78" i="19" s="1"/>
  <c r="W167" i="39"/>
  <c r="X167" i="39" s="1"/>
  <c r="H168" i="19" s="1"/>
  <c r="W100" i="39"/>
  <c r="X100" i="39" s="1"/>
  <c r="H100" i="19" s="1"/>
  <c r="W316" i="39"/>
  <c r="X316" i="39" s="1"/>
  <c r="H195" i="19" s="1"/>
  <c r="W134" i="39"/>
  <c r="X134" i="39" s="1"/>
  <c r="H135" i="19" s="1"/>
  <c r="W292" i="39"/>
  <c r="X292" i="39" s="1"/>
  <c r="H295" i="19" s="1"/>
  <c r="W102" i="39"/>
  <c r="X102" i="39" s="1"/>
  <c r="H102" i="19" s="1"/>
  <c r="W185" i="39"/>
  <c r="X185" i="39" s="1"/>
  <c r="H186" i="19" s="1"/>
  <c r="W289" i="39"/>
  <c r="X289" i="39" s="1"/>
  <c r="H292" i="19" s="1"/>
  <c r="W155" i="39"/>
  <c r="X155" i="39" s="1"/>
  <c r="H156" i="19" s="1"/>
  <c r="W68" i="39"/>
  <c r="X68" i="39" s="1"/>
  <c r="H68" i="19" s="1"/>
  <c r="W188" i="39"/>
  <c r="X188" i="39" s="1"/>
  <c r="H189" i="19" s="1"/>
  <c r="W74" i="39"/>
  <c r="X74" i="39" s="1"/>
  <c r="H74" i="19" s="1"/>
  <c r="W301" i="39"/>
  <c r="X301" i="39" s="1"/>
  <c r="H304" i="19" s="1"/>
  <c r="W70" i="39"/>
  <c r="X70" i="39" s="1"/>
  <c r="H70" i="19" s="1"/>
  <c r="W227" i="39"/>
  <c r="X227" i="39" s="1"/>
  <c r="H229" i="19" s="1"/>
  <c r="W229" i="39"/>
  <c r="X229" i="39" s="1"/>
  <c r="H232" i="19" s="1"/>
  <c r="W213" i="39"/>
  <c r="X213" i="39" s="1"/>
  <c r="H215" i="19" s="1"/>
  <c r="W282" i="39"/>
  <c r="X282" i="39" s="1"/>
  <c r="H285" i="19" s="1"/>
  <c r="W121" i="39"/>
  <c r="X121" i="39" s="1"/>
  <c r="H122" i="19" s="1"/>
  <c r="W307" i="39"/>
  <c r="X307" i="39" s="1"/>
  <c r="H310" i="19" s="1"/>
  <c r="W217" i="39"/>
  <c r="X217" i="39" s="1"/>
  <c r="H219" i="19" s="1"/>
  <c r="W79" i="39"/>
  <c r="X79" i="39" s="1"/>
  <c r="H79" i="19" s="1"/>
  <c r="W311" i="39"/>
  <c r="X311" i="39" s="1"/>
  <c r="H314" i="19" s="1"/>
  <c r="W90" i="39"/>
  <c r="X90" i="39" s="1"/>
  <c r="H90" i="19" s="1"/>
  <c r="W249" i="39"/>
  <c r="X249" i="39" s="1"/>
  <c r="H252" i="19" s="1"/>
  <c r="W246" i="39"/>
  <c r="X246" i="39" s="1"/>
  <c r="H249" i="19" s="1"/>
  <c r="W61" i="39"/>
  <c r="X61" i="39" s="1"/>
  <c r="H61" i="19" s="1"/>
  <c r="W203" i="39"/>
  <c r="X203" i="39" s="1"/>
  <c r="H205" i="19" s="1"/>
  <c r="W157" i="39"/>
  <c r="X157" i="39" s="1"/>
  <c r="H158" i="19" s="1"/>
  <c r="W107" i="39"/>
  <c r="X107" i="39" s="1"/>
  <c r="H108" i="19" s="1"/>
  <c r="W268" i="39"/>
  <c r="X268" i="39" s="1"/>
  <c r="H271" i="19" s="1"/>
  <c r="W24" i="39"/>
  <c r="X24" i="39" s="1"/>
  <c r="H24" i="19" s="1"/>
  <c r="W126" i="39"/>
  <c r="X126" i="39" s="1"/>
  <c r="H127" i="19" s="1"/>
  <c r="W148" i="39"/>
  <c r="X148" i="39" s="1"/>
  <c r="H149" i="19" s="1"/>
  <c r="W11" i="39"/>
  <c r="X11" i="39" s="1"/>
  <c r="H11" i="19" s="1"/>
  <c r="W201" i="39"/>
  <c r="X201" i="39" s="1"/>
  <c r="H203" i="19" s="1"/>
  <c r="W270" i="39"/>
  <c r="X270" i="39" s="1"/>
  <c r="H273" i="19" s="1"/>
  <c r="W275" i="39"/>
  <c r="X275" i="39" s="1"/>
  <c r="H278" i="19" s="1"/>
  <c r="W214" i="39"/>
  <c r="X214" i="39" s="1"/>
  <c r="H216" i="19" s="1"/>
  <c r="W186" i="39"/>
  <c r="X186" i="39" s="1"/>
  <c r="H187" i="19" s="1"/>
  <c r="W111" i="39"/>
  <c r="X111" i="39" s="1"/>
  <c r="H112" i="19" s="1"/>
  <c r="W209" i="39"/>
  <c r="X209" i="39" s="1"/>
  <c r="H211" i="19" s="1"/>
  <c r="W36" i="39"/>
  <c r="X36" i="39" s="1"/>
  <c r="H36" i="19" s="1"/>
  <c r="W31" i="39"/>
  <c r="X31" i="39" s="1"/>
  <c r="H31" i="19" s="1"/>
  <c r="W243" i="39"/>
  <c r="X243" i="39" s="1"/>
  <c r="H246" i="19" s="1"/>
  <c r="W261" i="39"/>
  <c r="X261" i="39" s="1"/>
  <c r="H264" i="19" s="1"/>
  <c r="W49" i="39"/>
  <c r="X49" i="39" s="1"/>
  <c r="H49" i="19" s="1"/>
  <c r="W280" i="39"/>
  <c r="X280" i="39" s="1"/>
  <c r="H283" i="19" s="1"/>
  <c r="W46" i="39"/>
  <c r="X46" i="39" s="1"/>
  <c r="H46" i="19" s="1"/>
  <c r="W137" i="39"/>
  <c r="X137" i="39" s="1"/>
  <c r="H138" i="19" s="1"/>
  <c r="W219" i="39"/>
  <c r="X219" i="39" s="1"/>
  <c r="H221" i="19" s="1"/>
  <c r="W73" i="39"/>
  <c r="X73" i="39" s="1"/>
  <c r="H73" i="19" s="1"/>
  <c r="W10" i="39"/>
  <c r="X10" i="39" s="1"/>
  <c r="H10" i="19" s="1"/>
  <c r="W244" i="39"/>
  <c r="X244" i="39" s="1"/>
  <c r="H247" i="19" s="1"/>
  <c r="W142" i="39"/>
  <c r="X142" i="39" s="1"/>
  <c r="H143" i="19" s="1"/>
  <c r="W256" i="39"/>
  <c r="X256" i="39" s="1"/>
  <c r="H259" i="19" s="1"/>
  <c r="W147" i="39"/>
  <c r="X147" i="39" s="1"/>
  <c r="H148" i="19" s="1"/>
  <c r="W125" i="39"/>
  <c r="X125" i="39" s="1"/>
  <c r="H126" i="19" s="1"/>
  <c r="W212" i="39"/>
  <c r="X212" i="39" s="1"/>
  <c r="H214" i="19" s="1"/>
  <c r="W171" i="39"/>
  <c r="X171" i="39" s="1"/>
  <c r="H172" i="19" s="1"/>
  <c r="W131" i="39"/>
  <c r="X131" i="39" s="1"/>
  <c r="H132" i="19" s="1"/>
  <c r="W5" i="39"/>
  <c r="X5" i="39" s="1"/>
  <c r="H5" i="19" s="1"/>
  <c r="W272" i="39"/>
  <c r="X272" i="39" s="1"/>
  <c r="H275" i="19" s="1"/>
  <c r="W165" i="39"/>
  <c r="X165" i="39" s="1"/>
  <c r="H166" i="19" s="1"/>
  <c r="W150" i="39"/>
  <c r="X150" i="39" s="1"/>
  <c r="H151" i="19" s="1"/>
  <c r="W82" i="39"/>
  <c r="X82" i="39" s="1"/>
  <c r="H82" i="19" s="1"/>
  <c r="W166" i="39"/>
  <c r="X166" i="39" s="1"/>
  <c r="H167" i="19" s="1"/>
  <c r="W139" i="39"/>
  <c r="X139" i="39" s="1"/>
  <c r="H140" i="19" s="1"/>
  <c r="W196" i="39"/>
  <c r="X196" i="39" s="1"/>
  <c r="H198" i="19" s="1"/>
  <c r="W242" i="39"/>
  <c r="X242" i="39" s="1"/>
  <c r="H245" i="19" s="1"/>
  <c r="W173" i="39"/>
  <c r="X173" i="39" s="1"/>
  <c r="H174" i="19" s="1"/>
  <c r="W153" i="39"/>
  <c r="X153" i="39" s="1"/>
  <c r="H154" i="19" s="1"/>
  <c r="W204" i="39"/>
  <c r="X204" i="39" s="1"/>
  <c r="H206" i="19" s="1"/>
  <c r="W65" i="39"/>
  <c r="X65" i="39" s="1"/>
  <c r="H65" i="19" s="1"/>
  <c r="W80" i="39"/>
  <c r="X80" i="39" s="1"/>
  <c r="H80" i="19" s="1"/>
  <c r="W117" i="39"/>
  <c r="X117" i="39" s="1"/>
  <c r="H118" i="19" s="1"/>
  <c r="W54" i="39"/>
  <c r="X54" i="39" s="1"/>
  <c r="H54" i="19" s="1"/>
  <c r="W279" i="39"/>
  <c r="X279" i="39" s="1"/>
  <c r="H282" i="19" s="1"/>
  <c r="W63" i="39"/>
  <c r="X63" i="39" s="1"/>
  <c r="H63" i="19" s="1"/>
  <c r="W302" i="39"/>
  <c r="X302" i="39" s="1"/>
  <c r="H305" i="19" s="1"/>
  <c r="W192" i="39"/>
  <c r="X192" i="39" s="1"/>
  <c r="H193" i="19" s="1"/>
  <c r="W202" i="39"/>
  <c r="X202" i="39" s="1"/>
  <c r="H204" i="19" s="1"/>
  <c r="W258" i="39"/>
  <c r="X258" i="39" s="1"/>
  <c r="H261" i="19" s="1"/>
  <c r="W286" i="39"/>
  <c r="X286" i="39" s="1"/>
  <c r="H289" i="19" s="1"/>
  <c r="W115" i="39"/>
  <c r="X115" i="39" s="1"/>
  <c r="H116" i="19" s="1"/>
  <c r="W81" i="39"/>
  <c r="X81" i="39" s="1"/>
  <c r="H81" i="19" s="1"/>
  <c r="W58" i="39"/>
  <c r="X58" i="39" s="1"/>
  <c r="H58" i="19" s="1"/>
  <c r="W187" i="39"/>
  <c r="X187" i="39" s="1"/>
  <c r="H188" i="19" s="1"/>
  <c r="W72" i="39"/>
  <c r="X72" i="39" s="1"/>
  <c r="H72" i="19" s="1"/>
  <c r="W181" i="39"/>
  <c r="X181" i="39" s="1"/>
  <c r="H182" i="19" s="1"/>
  <c r="W239" i="39"/>
  <c r="X239" i="39" s="1"/>
  <c r="H242" i="19" s="1"/>
  <c r="W296" i="39"/>
  <c r="X296" i="39" s="1"/>
  <c r="H299" i="19" s="1"/>
  <c r="W86" i="39"/>
  <c r="X86" i="39" s="1"/>
  <c r="H86" i="19" s="1"/>
  <c r="W182" i="39"/>
  <c r="X182" i="39" s="1"/>
  <c r="H183" i="19" s="1"/>
  <c r="W315" i="39"/>
  <c r="X315" i="39" s="1"/>
  <c r="H318" i="19" s="1"/>
  <c r="W28" i="39"/>
  <c r="X28" i="39" s="1"/>
  <c r="H28" i="19" s="1"/>
  <c r="W255" i="39"/>
  <c r="X255" i="39" s="1"/>
  <c r="H258" i="19" s="1"/>
  <c r="W298" i="39"/>
  <c r="X298" i="39" s="1"/>
  <c r="H301" i="19" s="1"/>
  <c r="W199" i="39"/>
  <c r="X199" i="39" s="1"/>
  <c r="H201" i="19" s="1"/>
  <c r="W262" i="39"/>
  <c r="X262" i="39" s="1"/>
  <c r="H265" i="19" s="1"/>
  <c r="W183" i="39"/>
  <c r="X183" i="39" s="1"/>
  <c r="H184" i="19" s="1"/>
  <c r="W141" i="39"/>
  <c r="X141" i="39" s="1"/>
  <c r="H142" i="19" s="1"/>
  <c r="W179" i="39"/>
  <c r="X179" i="39" s="1"/>
  <c r="H180" i="19" s="1"/>
  <c r="W6" i="39"/>
  <c r="X6" i="39" s="1"/>
  <c r="H6" i="19" s="1"/>
  <c r="W105" i="39"/>
  <c r="X105" i="39" s="1"/>
  <c r="H105" i="19" s="1"/>
  <c r="W285" i="39"/>
  <c r="X285" i="39" s="1"/>
  <c r="H288" i="19" s="1"/>
  <c r="W228" i="39"/>
  <c r="X228" i="39" s="1"/>
  <c r="H231" i="19" s="1"/>
  <c r="W120" i="39"/>
  <c r="X120" i="39" s="1"/>
  <c r="H121" i="19" s="1"/>
  <c r="W110" i="39"/>
  <c r="X110" i="39" s="1"/>
  <c r="H111" i="19" s="1"/>
  <c r="W71" i="39"/>
  <c r="X71" i="39" s="1"/>
  <c r="H71" i="19" s="1"/>
  <c r="W294" i="39"/>
  <c r="X294" i="39" s="1"/>
  <c r="H297" i="19" s="1"/>
  <c r="W236" i="39"/>
  <c r="X236" i="39" s="1"/>
  <c r="H239" i="19" s="1"/>
  <c r="W191" i="39"/>
  <c r="X191" i="39" s="1"/>
  <c r="H192" i="19" s="1"/>
  <c r="W69" i="39"/>
  <c r="X69" i="39" s="1"/>
  <c r="H69" i="19" s="1"/>
  <c r="W15" i="39"/>
  <c r="X15" i="39" s="1"/>
  <c r="H15" i="19" s="1"/>
  <c r="W151" i="39"/>
  <c r="X151" i="39" s="1"/>
  <c r="H152" i="19" s="1"/>
  <c r="W35" i="39"/>
  <c r="X35" i="39" s="1"/>
  <c r="H35" i="19" s="1"/>
  <c r="W44" i="39"/>
  <c r="X44" i="39" s="1"/>
  <c r="H44" i="19" s="1"/>
  <c r="W293" i="39"/>
  <c r="X293" i="39" s="1"/>
  <c r="H296" i="19" s="1"/>
  <c r="W310" i="39"/>
  <c r="X310" i="39" s="1"/>
  <c r="H313" i="19" s="1"/>
  <c r="W40" i="39"/>
  <c r="X40" i="39" s="1"/>
  <c r="H40" i="19" s="1"/>
  <c r="W48" i="39"/>
  <c r="X48" i="39" s="1"/>
  <c r="H48" i="19" s="1"/>
  <c r="W266" i="39"/>
  <c r="X266" i="39" s="1"/>
  <c r="H269" i="19" s="1"/>
  <c r="W9" i="39"/>
  <c r="X9" i="39" s="1"/>
  <c r="H9" i="19" s="1"/>
  <c r="W77" i="39"/>
  <c r="X77" i="39" s="1"/>
  <c r="H77" i="19" s="1"/>
  <c r="W106" i="39"/>
  <c r="X106" i="39" s="1"/>
  <c r="H107" i="19" s="1"/>
  <c r="W288" i="39"/>
  <c r="X288" i="39" s="1"/>
  <c r="H291" i="19" s="1"/>
  <c r="W247" i="39"/>
  <c r="X247" i="39" s="1"/>
  <c r="H250" i="19" s="1"/>
  <c r="W45" i="39"/>
  <c r="X45" i="39" s="1"/>
  <c r="H45" i="19" s="1"/>
  <c r="W62" i="39"/>
  <c r="X62" i="39" s="1"/>
  <c r="H62" i="19" s="1"/>
  <c r="W308" i="39"/>
  <c r="X308" i="39" s="1"/>
  <c r="H311" i="19" s="1"/>
  <c r="W233" i="39"/>
  <c r="X233" i="39" s="1"/>
  <c r="H236" i="19" s="1"/>
  <c r="W118" i="39"/>
  <c r="X118" i="39" s="1"/>
  <c r="H119" i="19" s="1"/>
  <c r="W207" i="39"/>
  <c r="X207" i="39" s="1"/>
  <c r="H209" i="19" s="1"/>
  <c r="W206" i="39"/>
  <c r="X206" i="39" s="1"/>
  <c r="H208" i="19" s="1"/>
  <c r="W253" i="39"/>
  <c r="X253" i="39" s="1"/>
  <c r="H256" i="19" s="1"/>
  <c r="W168" i="39"/>
  <c r="X168" i="39" s="1"/>
  <c r="H169" i="19" s="1"/>
  <c r="W276" i="39"/>
  <c r="X276" i="39" s="1"/>
  <c r="H279" i="19" s="1"/>
  <c r="W210" i="39"/>
  <c r="X210" i="39" s="1"/>
  <c r="H212" i="19" s="1"/>
  <c r="W32" i="39"/>
  <c r="X32" i="39" s="1"/>
  <c r="H32" i="19" s="1"/>
  <c r="W112" i="39"/>
  <c r="X112" i="39" s="1"/>
  <c r="H113" i="19" s="1"/>
  <c r="W17" i="39"/>
  <c r="X17" i="39" s="1"/>
  <c r="H17" i="19" s="1"/>
  <c r="W85" i="39"/>
  <c r="X85" i="39" s="1"/>
  <c r="H85" i="19" s="1"/>
  <c r="W21" i="39"/>
  <c r="X21" i="39" s="1"/>
  <c r="H21" i="19" s="1"/>
  <c r="W64" i="39"/>
  <c r="X64" i="39" s="1"/>
  <c r="H64" i="19" s="1"/>
  <c r="W283" i="39"/>
  <c r="X283" i="39" s="1"/>
  <c r="H286" i="19" s="1"/>
  <c r="W29" i="39"/>
  <c r="X29" i="39" s="1"/>
  <c r="H29" i="19" s="1"/>
  <c r="W138" i="39"/>
  <c r="X138" i="39" s="1"/>
  <c r="H139" i="19" s="1"/>
  <c r="W161" i="39"/>
  <c r="X161" i="39" s="1"/>
  <c r="H162" i="19" s="1"/>
  <c r="W190" i="39"/>
  <c r="X190" i="39" s="1"/>
  <c r="H191" i="19" s="1"/>
  <c r="W92" i="39"/>
  <c r="X92" i="39" s="1"/>
  <c r="H92" i="19" s="1"/>
  <c r="W205" i="39"/>
  <c r="X205" i="39" s="1"/>
  <c r="H207" i="19" s="1"/>
  <c r="W198" i="39"/>
  <c r="X198" i="39" s="1"/>
  <c r="H200" i="19" s="1"/>
  <c r="W278" i="39"/>
  <c r="X278" i="39" s="1"/>
  <c r="H281" i="19" s="1"/>
  <c r="W132" i="39"/>
  <c r="X132" i="39" s="1"/>
  <c r="H133" i="19" s="1"/>
  <c r="W175" i="39"/>
  <c r="X175" i="39" s="1"/>
  <c r="H176" i="19" s="1"/>
  <c r="W14" i="39"/>
  <c r="X14" i="39" s="1"/>
  <c r="H14" i="19" s="1"/>
  <c r="W140" i="39"/>
  <c r="X140" i="39" s="1"/>
  <c r="H141" i="19" s="1"/>
  <c r="W230" i="39"/>
  <c r="X230" i="39" s="1"/>
  <c r="H233" i="19" s="1"/>
  <c r="W189" i="39"/>
  <c r="X189" i="39" s="1"/>
  <c r="H190" i="19" s="1"/>
  <c r="W263" i="39"/>
  <c r="X263" i="39" s="1"/>
  <c r="H266" i="19" s="1"/>
  <c r="W19" i="39"/>
  <c r="X19" i="39" s="1"/>
  <c r="H19" i="19" s="1"/>
  <c r="W104" i="39"/>
  <c r="X104" i="39" s="1"/>
  <c r="H104" i="19" s="1"/>
  <c r="W101" i="39"/>
  <c r="X101" i="39" s="1"/>
  <c r="H101" i="19" s="1"/>
  <c r="W60" i="39"/>
  <c r="X60" i="39" s="1"/>
  <c r="H60" i="19" s="1"/>
  <c r="W297" i="39"/>
  <c r="X297" i="39" s="1"/>
  <c r="H300" i="19" s="1"/>
  <c r="W30" i="39"/>
  <c r="X30" i="39" s="1"/>
  <c r="H30" i="19" s="1"/>
  <c r="W240" i="39"/>
  <c r="X240" i="39" s="1"/>
  <c r="H243" i="19" s="1"/>
  <c r="W135" i="39"/>
  <c r="X135" i="39" s="1"/>
  <c r="H136" i="19" s="1"/>
  <c r="W231" i="39"/>
  <c r="X231" i="39" s="1"/>
  <c r="H234" i="19" s="1"/>
  <c r="W300" i="39"/>
  <c r="X300" i="39" s="1"/>
  <c r="H303" i="19" s="1"/>
  <c r="W18" i="39"/>
  <c r="X18" i="39" s="1"/>
  <c r="H18" i="19" s="1"/>
  <c r="W304" i="39"/>
  <c r="X304" i="39" s="1"/>
  <c r="H307" i="19" s="1"/>
  <c r="W66" i="39"/>
  <c r="X66" i="39" s="1"/>
  <c r="H66" i="19" s="1"/>
  <c r="W265" i="39"/>
  <c r="X265" i="39" s="1"/>
  <c r="H268" i="19" s="1"/>
  <c r="W312" i="39"/>
  <c r="X312" i="39" s="1"/>
  <c r="H315" i="19" s="1"/>
  <c r="W197" i="39"/>
  <c r="X197" i="39" s="1"/>
  <c r="H199" i="19" s="1"/>
  <c r="W133" i="39"/>
  <c r="X133" i="39" s="1"/>
  <c r="H134" i="19" s="1"/>
  <c r="W122" i="39"/>
  <c r="X122" i="39" s="1"/>
  <c r="H123" i="19" s="1"/>
  <c r="W89" i="39"/>
  <c r="X89" i="39" s="1"/>
  <c r="H89" i="19" s="1"/>
  <c r="W55" i="39"/>
  <c r="X55" i="39" s="1"/>
  <c r="H55" i="19" s="1"/>
  <c r="W241" i="39"/>
  <c r="X241" i="39" s="1"/>
  <c r="H244" i="19" s="1"/>
  <c r="W123" i="39"/>
  <c r="X123" i="39" s="1"/>
  <c r="H124" i="19" s="1"/>
  <c r="W257" i="39"/>
  <c r="X257" i="39" s="1"/>
  <c r="H260" i="19" s="1"/>
  <c r="W130" i="39"/>
  <c r="X130" i="39" s="1"/>
  <c r="H131" i="19" s="1"/>
  <c r="W129" i="39"/>
  <c r="X129" i="39" s="1"/>
  <c r="H130" i="19" s="1"/>
  <c r="W252" i="39"/>
  <c r="X252" i="39" s="1"/>
  <c r="H255" i="19" s="1"/>
  <c r="W234" i="39"/>
  <c r="X234" i="39" s="1"/>
  <c r="H237" i="19" s="1"/>
  <c r="W269" i="39"/>
  <c r="X269" i="39" s="1"/>
  <c r="H272" i="19" s="1"/>
  <c r="W98" i="39"/>
  <c r="X98" i="39" s="1"/>
  <c r="H98" i="19" s="1"/>
  <c r="W87" i="39"/>
  <c r="X87" i="39" s="1"/>
  <c r="H87" i="19" s="1"/>
  <c r="W103" i="39"/>
  <c r="X103" i="39" s="1"/>
  <c r="H103" i="19" s="1"/>
  <c r="W251" i="39"/>
  <c r="X251" i="39" s="1"/>
  <c r="H254" i="19" s="1"/>
  <c r="W52" i="39"/>
  <c r="X52" i="39" s="1"/>
  <c r="H52" i="19" s="1"/>
  <c r="W303" i="39"/>
  <c r="X303" i="39" s="1"/>
  <c r="H306" i="19" s="1"/>
  <c r="W287" i="39"/>
  <c r="X287" i="39" s="1"/>
  <c r="H290" i="19" s="1"/>
  <c r="W226" i="39"/>
  <c r="X226" i="39" s="1"/>
  <c r="H228" i="19" s="1"/>
  <c r="W154" i="39"/>
  <c r="X154" i="39" s="1"/>
  <c r="H155" i="19" s="1"/>
  <c r="W91" i="39"/>
  <c r="X91" i="39" s="1"/>
  <c r="H91" i="19" s="1"/>
  <c r="W23" i="39"/>
  <c r="X23" i="39" s="1"/>
  <c r="H23" i="19" s="1"/>
  <c r="W195" i="39"/>
  <c r="X195" i="39" s="1"/>
  <c r="H197" i="19" s="1"/>
  <c r="W108" i="39"/>
  <c r="X108" i="39" s="1"/>
  <c r="H109" i="19" s="1"/>
  <c r="W273" i="39"/>
  <c r="X273" i="39" s="1"/>
  <c r="H276" i="19" s="1"/>
  <c r="W274" i="39"/>
  <c r="X274" i="39" s="1"/>
  <c r="H277" i="19" s="1"/>
  <c r="W47" i="39"/>
  <c r="X47" i="39" s="1"/>
  <c r="H47" i="19" s="1"/>
  <c r="W313" i="39"/>
  <c r="X313" i="39" s="1"/>
  <c r="H316" i="19" s="1"/>
  <c r="W221" i="39"/>
  <c r="X221" i="39" s="1"/>
  <c r="H223" i="19" s="1"/>
  <c r="W254" i="39"/>
  <c r="X254" i="39" s="1"/>
  <c r="H257" i="19" s="1"/>
  <c r="W174" i="39"/>
  <c r="X174" i="39" s="1"/>
  <c r="H175" i="19" s="1"/>
  <c r="W149" i="39"/>
  <c r="X149" i="39" s="1"/>
  <c r="H150" i="19" s="1"/>
  <c r="W169" i="39"/>
  <c r="X169" i="39" s="1"/>
  <c r="H170" i="19" s="1"/>
  <c r="W172" i="39"/>
  <c r="X172" i="39" s="1"/>
  <c r="H173" i="19" s="1"/>
  <c r="W76" i="39"/>
  <c r="X76" i="39" s="1"/>
  <c r="H76" i="19" s="1"/>
  <c r="W299" i="39"/>
  <c r="X299" i="39" s="1"/>
  <c r="H302" i="19" s="1"/>
  <c r="W163" i="39"/>
  <c r="X163" i="39" s="1"/>
  <c r="H164" i="19" s="1"/>
  <c r="W170" i="39"/>
  <c r="X170" i="39" s="1"/>
  <c r="H171" i="19" s="1"/>
  <c r="W193" i="39"/>
  <c r="X193" i="39" s="1"/>
  <c r="H194" i="19" s="1"/>
  <c r="W39" i="39"/>
  <c r="X39" i="39" s="1"/>
  <c r="H39" i="19" s="1"/>
  <c r="W51" i="39"/>
  <c r="X51" i="39" s="1"/>
  <c r="H51" i="19" s="1"/>
  <c r="W43" i="39"/>
  <c r="X43" i="39" s="1"/>
  <c r="H43" i="19" s="1"/>
  <c r="W295" i="39"/>
  <c r="X295" i="39" s="1"/>
  <c r="H298" i="19" s="1"/>
  <c r="W38" i="39"/>
  <c r="X38" i="39" s="1"/>
  <c r="H38" i="19" s="1"/>
  <c r="W88" i="39"/>
  <c r="X88" i="39" s="1"/>
  <c r="H88" i="19" s="1"/>
  <c r="W248" i="39"/>
  <c r="X248" i="39" s="1"/>
  <c r="H251" i="19" s="1"/>
  <c r="W25" i="39"/>
  <c r="X25" i="39" s="1"/>
  <c r="H25" i="19" s="1"/>
  <c r="W235" i="39"/>
  <c r="X235" i="39" s="1"/>
  <c r="H238" i="19" s="1"/>
  <c r="W245" i="39"/>
  <c r="X245" i="39" s="1"/>
  <c r="H248" i="19" s="1"/>
  <c r="W208" i="39"/>
  <c r="X208" i="39" s="1"/>
  <c r="H210" i="19" s="1"/>
  <c r="W237" i="39"/>
  <c r="X237" i="39" s="1"/>
  <c r="H240" i="19" s="1"/>
  <c r="W127" i="39"/>
  <c r="X127" i="39" s="1"/>
  <c r="H128" i="19" s="1"/>
  <c r="W162" i="39"/>
  <c r="X162" i="39" s="1"/>
  <c r="H163" i="19" s="1"/>
  <c r="W222" i="39"/>
  <c r="X222" i="39" s="1"/>
  <c r="H224" i="19" s="1"/>
  <c r="W99" i="39"/>
  <c r="X99" i="39" s="1"/>
  <c r="H99" i="19" s="1"/>
  <c r="W238" i="39"/>
  <c r="X238" i="39" s="1"/>
  <c r="H241" i="19" s="1"/>
  <c r="W95" i="39"/>
  <c r="X95" i="39" s="1"/>
  <c r="H95" i="19" s="1"/>
  <c r="W124" i="39"/>
  <c r="X124" i="39" s="1"/>
  <c r="H125" i="19" s="1"/>
  <c r="W143" i="39"/>
  <c r="X143" i="39" s="1"/>
  <c r="H144" i="19" s="1"/>
  <c r="W220" i="39"/>
  <c r="X220" i="39" s="1"/>
  <c r="H222" i="19" s="1"/>
  <c r="W259" i="39"/>
  <c r="X259" i="39" s="1"/>
  <c r="H262" i="19" s="1"/>
  <c r="W156" i="39"/>
  <c r="X156" i="39" s="1"/>
  <c r="H157" i="19" s="1"/>
  <c r="W20" i="39"/>
  <c r="X20" i="39" s="1"/>
  <c r="H20" i="19" s="1"/>
  <c r="W271" i="39"/>
  <c r="X271" i="39" s="1"/>
  <c r="H274" i="19" s="1"/>
  <c r="W93" i="39"/>
  <c r="X93" i="39" s="1"/>
  <c r="H93" i="19" s="1"/>
  <c r="W116" i="39"/>
  <c r="X116" i="39" s="1"/>
  <c r="H117" i="19" s="1"/>
  <c r="W223" i="39"/>
  <c r="X223" i="39" s="1"/>
  <c r="H225" i="19" s="1"/>
  <c r="W53" i="39"/>
  <c r="X53" i="39" s="1"/>
  <c r="H53" i="19" s="1"/>
  <c r="W215" i="39"/>
  <c r="X215" i="39" s="1"/>
  <c r="H217" i="19" s="1"/>
  <c r="W306" i="39"/>
  <c r="X306" i="39" s="1"/>
  <c r="H309" i="19" s="1"/>
  <c r="W67" i="39"/>
  <c r="X67" i="39" s="1"/>
  <c r="H67" i="19" s="1"/>
  <c r="W146" i="39"/>
  <c r="X146" i="39" s="1"/>
  <c r="H147" i="19" s="1"/>
  <c r="W128" i="39"/>
  <c r="X128" i="39" s="1"/>
  <c r="H129" i="19" s="1"/>
  <c r="W114" i="39"/>
  <c r="X114" i="39" s="1"/>
  <c r="H115" i="19" s="1"/>
  <c r="W33" i="39"/>
  <c r="X33" i="39" s="1"/>
  <c r="H33" i="19" s="1"/>
  <c r="W13" i="39"/>
  <c r="X13" i="39" s="1"/>
  <c r="H13" i="19" s="1"/>
  <c r="W144" i="39"/>
  <c r="X144" i="39" s="1"/>
  <c r="H145" i="19" s="1"/>
  <c r="W267" i="39"/>
  <c r="X267" i="39" s="1"/>
  <c r="H270" i="19" s="1"/>
  <c r="W83" i="39"/>
  <c r="X83" i="39" s="1"/>
  <c r="H83" i="19" s="1"/>
  <c r="W177" i="39"/>
  <c r="X177" i="39" s="1"/>
  <c r="H178" i="19" s="1"/>
  <c r="W309" i="39"/>
  <c r="X309" i="39" s="1"/>
  <c r="H312" i="19" s="1"/>
  <c r="X4" i="38"/>
  <c r="Y4" i="36"/>
  <c r="Y3" i="36" s="1" a="1"/>
  <c r="Y3" i="36" s="1"/>
  <c r="E3" i="19" l="1"/>
  <c r="C11" i="41"/>
  <c r="I106" i="19"/>
  <c r="J106" i="19" s="1"/>
  <c r="Y3" i="37" a="1"/>
  <c r="Y3" i="37" s="1"/>
  <c r="I230" i="19"/>
  <c r="J230" i="19" s="1"/>
  <c r="W3" i="39" a="1"/>
  <c r="W3" i="39" s="1"/>
  <c r="X3" i="37" a="1"/>
  <c r="X3" i="37" s="1"/>
  <c r="F4" i="19"/>
  <c r="C12" i="41" s="1"/>
  <c r="G4" i="19"/>
  <c r="X3" i="38" a="1"/>
  <c r="X3" i="38" s="1"/>
  <c r="Z1" i="38" s="1"/>
  <c r="X4" i="39"/>
  <c r="Y124" i="39"/>
  <c r="Y98" i="39"/>
  <c r="Y297" i="39"/>
  <c r="Y310" i="39"/>
  <c r="Y187" i="39"/>
  <c r="Y256" i="39"/>
  <c r="Y24" i="39"/>
  <c r="Y78" i="39"/>
  <c r="Y211" i="39"/>
  <c r="Y50" i="39"/>
  <c r="Y22" i="39"/>
  <c r="Y56" i="39"/>
  <c r="Y53" i="39"/>
  <c r="Y162" i="39"/>
  <c r="Y163" i="39"/>
  <c r="Y23" i="39"/>
  <c r="Y257" i="39"/>
  <c r="Y240" i="39"/>
  <c r="Y278" i="39"/>
  <c r="Y276" i="39"/>
  <c r="Y48" i="39"/>
  <c r="Y285" i="39"/>
  <c r="Y181" i="39"/>
  <c r="Y65" i="39"/>
  <c r="Y125" i="39"/>
  <c r="Y209" i="39"/>
  <c r="Y246" i="39"/>
  <c r="Y68" i="39"/>
  <c r="Y100" i="39"/>
  <c r="Y37" i="39"/>
  <c r="Y152" i="39"/>
  <c r="Y281" i="39"/>
  <c r="Y232" i="39"/>
  <c r="Y27" i="39"/>
  <c r="Y76" i="39"/>
  <c r="Y230" i="39"/>
  <c r="Y6" i="39"/>
  <c r="Y153" i="39"/>
  <c r="Y229" i="39"/>
  <c r="Y238" i="39"/>
  <c r="Y234" i="39"/>
  <c r="Y101" i="39"/>
  <c r="Y17" i="39"/>
  <c r="Y44" i="39"/>
  <c r="Y182" i="39"/>
  <c r="Y242" i="39"/>
  <c r="Y261" i="39"/>
  <c r="Y79" i="39"/>
  <c r="Y102" i="39"/>
  <c r="Y216" i="39"/>
  <c r="Y7" i="39"/>
  <c r="Y306" i="39"/>
  <c r="Y25" i="39"/>
  <c r="Y108" i="39"/>
  <c r="Y133" i="39"/>
  <c r="Y175" i="39"/>
  <c r="Y233" i="39"/>
  <c r="Y120" i="39"/>
  <c r="Y286" i="39"/>
  <c r="Y171" i="39"/>
  <c r="Y307" i="39"/>
  <c r="Y13" i="39"/>
  <c r="Y220" i="39"/>
  <c r="Y88" i="39"/>
  <c r="Y254" i="39"/>
  <c r="Y103" i="39"/>
  <c r="Y312" i="39"/>
  <c r="Y263" i="39"/>
  <c r="Y283" i="39"/>
  <c r="Y62" i="39"/>
  <c r="Y69" i="39"/>
  <c r="Y298" i="39"/>
  <c r="Y202" i="39"/>
  <c r="Y82" i="39"/>
  <c r="Y137" i="39"/>
  <c r="Y148" i="39"/>
  <c r="Y282" i="39"/>
  <c r="Y305" i="39"/>
  <c r="Y33" i="39"/>
  <c r="Y223" i="39"/>
  <c r="Y143" i="39"/>
  <c r="Y127" i="39"/>
  <c r="Y38" i="39"/>
  <c r="Y299" i="39"/>
  <c r="Y221" i="39"/>
  <c r="Y91" i="39"/>
  <c r="Y87" i="39"/>
  <c r="Y123" i="39"/>
  <c r="Y265" i="39"/>
  <c r="Y30" i="39"/>
  <c r="Y189" i="39"/>
  <c r="Y198" i="39"/>
  <c r="Y64" i="39"/>
  <c r="Y168" i="39"/>
  <c r="Y45" i="39"/>
  <c r="Y40" i="39"/>
  <c r="Y191" i="39"/>
  <c r="Y105" i="39"/>
  <c r="Y255" i="39"/>
  <c r="Y72" i="39"/>
  <c r="Y192" i="39"/>
  <c r="Y204" i="39"/>
  <c r="Y150" i="39"/>
  <c r="Y147" i="39"/>
  <c r="Y46" i="39"/>
  <c r="Y111" i="39"/>
  <c r="Y126" i="39"/>
  <c r="Y249" i="39"/>
  <c r="Y213" i="39"/>
  <c r="Y155" i="39"/>
  <c r="Y167" i="39"/>
  <c r="Y119" i="39"/>
  <c r="Y184" i="39"/>
  <c r="Y94" i="39"/>
  <c r="Y176" i="39"/>
  <c r="Y16" i="39"/>
  <c r="Y291" i="39"/>
  <c r="Y205" i="39"/>
  <c r="Y309" i="39"/>
  <c r="Y128" i="39"/>
  <c r="Y93" i="39"/>
  <c r="Y95" i="39"/>
  <c r="Y208" i="39"/>
  <c r="Y43" i="39"/>
  <c r="Y172" i="39"/>
  <c r="Y47" i="39"/>
  <c r="Y226" i="39"/>
  <c r="Y269" i="39"/>
  <c r="Y55" i="39"/>
  <c r="Y304" i="39"/>
  <c r="Y60" i="39"/>
  <c r="Y92" i="39"/>
  <c r="Y85" i="39"/>
  <c r="Y206" i="39"/>
  <c r="Y288" i="39"/>
  <c r="Y293" i="39"/>
  <c r="Y294" i="39"/>
  <c r="Y179" i="39"/>
  <c r="Y315" i="39"/>
  <c r="Y58" i="39"/>
  <c r="Y63" i="39"/>
  <c r="Y173" i="39"/>
  <c r="Y272" i="39"/>
  <c r="Y142" i="39"/>
  <c r="Y49" i="39"/>
  <c r="Y214" i="39"/>
  <c r="Y268" i="39"/>
  <c r="Y311" i="39"/>
  <c r="Y227" i="39"/>
  <c r="Y185" i="39"/>
  <c r="Y41" i="39"/>
  <c r="Y250" i="39"/>
  <c r="Y194" i="39"/>
  <c r="Y180" i="39"/>
  <c r="Y160" i="39"/>
  <c r="Y8" i="39"/>
  <c r="Y109" i="39"/>
  <c r="Y116" i="39"/>
  <c r="Y313" i="39"/>
  <c r="Y66" i="39"/>
  <c r="Y247" i="39"/>
  <c r="Y28" i="39"/>
  <c r="Y165" i="39"/>
  <c r="Y186" i="39"/>
  <c r="Y289" i="39"/>
  <c r="Y225" i="39"/>
  <c r="Y146" i="39"/>
  <c r="Y207" i="39"/>
  <c r="Y295" i="39"/>
  <c r="Y21" i="39"/>
  <c r="Y271" i="39"/>
  <c r="Y51" i="39"/>
  <c r="Y287" i="39"/>
  <c r="Y89" i="39"/>
  <c r="Y140" i="39"/>
  <c r="Y106" i="39"/>
  <c r="Y141" i="39"/>
  <c r="Y279" i="39"/>
  <c r="Y244" i="39"/>
  <c r="Y107" i="39"/>
  <c r="Y264" i="39"/>
  <c r="Y57" i="39"/>
  <c r="Y83" i="39"/>
  <c r="Y67" i="39"/>
  <c r="Y20" i="39"/>
  <c r="Y99" i="39"/>
  <c r="Y235" i="39"/>
  <c r="Y39" i="39"/>
  <c r="Y169" i="39"/>
  <c r="Y273" i="39"/>
  <c r="Y303" i="39"/>
  <c r="Y252" i="39"/>
  <c r="Y122" i="39"/>
  <c r="Y300" i="39"/>
  <c r="Y104" i="39"/>
  <c r="Y14" i="39"/>
  <c r="Y161" i="39"/>
  <c r="Y112" i="39"/>
  <c r="Y118" i="39"/>
  <c r="Y77" i="39"/>
  <c r="Y35" i="39"/>
  <c r="Y110" i="39"/>
  <c r="Y183" i="39"/>
  <c r="Y86" i="39"/>
  <c r="Y115" i="39"/>
  <c r="Y54" i="39"/>
  <c r="Y196" i="39"/>
  <c r="Y131" i="39"/>
  <c r="Y10" i="39"/>
  <c r="Y243" i="39"/>
  <c r="Y270" i="39"/>
  <c r="Y157" i="39"/>
  <c r="Y217" i="39"/>
  <c r="Y301" i="39"/>
  <c r="Y292" i="39"/>
  <c r="Y290" i="39"/>
  <c r="Y136" i="39"/>
  <c r="Y42" i="39"/>
  <c r="Y218" i="39"/>
  <c r="Y26" i="39"/>
  <c r="Y284" i="39"/>
  <c r="Y113" i="39"/>
  <c r="Y237" i="39"/>
  <c r="Y241" i="39"/>
  <c r="Y236" i="39"/>
  <c r="Y302" i="39"/>
  <c r="Y280" i="39"/>
  <c r="Y90" i="39"/>
  <c r="Y277" i="39"/>
  <c r="Y156" i="39"/>
  <c r="Y193" i="39"/>
  <c r="Y52" i="39"/>
  <c r="Y231" i="39"/>
  <c r="Y138" i="39"/>
  <c r="Y9" i="39"/>
  <c r="Y262" i="39"/>
  <c r="Y117" i="39"/>
  <c r="Y73" i="39"/>
  <c r="Y201" i="39"/>
  <c r="Y74" i="39"/>
  <c r="Y164" i="39"/>
  <c r="Y260" i="39"/>
  <c r="Y314" i="39"/>
  <c r="Y159" i="39"/>
  <c r="Y114" i="39"/>
  <c r="Y154" i="39"/>
  <c r="Y253" i="39"/>
  <c r="Y177" i="39"/>
  <c r="Y245" i="39"/>
  <c r="Y274" i="39"/>
  <c r="Y18" i="39"/>
  <c r="Y190" i="39"/>
  <c r="Y71" i="39"/>
  <c r="Y81" i="39"/>
  <c r="Y5" i="39"/>
  <c r="Y275" i="39"/>
  <c r="Y70" i="39"/>
  <c r="Y158" i="39"/>
  <c r="Y178" i="39"/>
  <c r="Y12" i="39"/>
  <c r="Y267" i="39"/>
  <c r="Y149" i="39"/>
  <c r="Y129" i="39"/>
  <c r="Y32" i="39"/>
  <c r="Y151" i="39"/>
  <c r="Y296" i="39"/>
  <c r="Y139" i="39"/>
  <c r="Y31" i="39"/>
  <c r="Y203" i="39"/>
  <c r="Y134" i="39"/>
  <c r="Y200" i="39"/>
  <c r="Y224" i="39"/>
  <c r="Y84" i="39"/>
  <c r="Y144" i="39"/>
  <c r="Y215" i="39"/>
  <c r="Y259" i="39"/>
  <c r="Y222" i="39"/>
  <c r="Y248" i="39"/>
  <c r="Y170" i="39"/>
  <c r="Y174" i="39"/>
  <c r="Y195" i="39"/>
  <c r="Y251" i="39"/>
  <c r="Y130" i="39"/>
  <c r="Y197" i="39"/>
  <c r="Y135" i="39"/>
  <c r="Y19" i="39"/>
  <c r="Y132" i="39"/>
  <c r="Y29" i="39"/>
  <c r="Y210" i="39"/>
  <c r="Y308" i="39"/>
  <c r="Y266" i="39"/>
  <c r="Y15" i="39"/>
  <c r="Y228" i="39"/>
  <c r="Y199" i="39"/>
  <c r="Y239" i="39"/>
  <c r="Y258" i="39"/>
  <c r="Y80" i="39"/>
  <c r="Y166" i="39"/>
  <c r="Y212" i="39"/>
  <c r="Y219" i="39"/>
  <c r="Y36" i="39"/>
  <c r="Y11" i="39"/>
  <c r="Y61" i="39"/>
  <c r="Y121" i="39"/>
  <c r="Y188" i="39"/>
  <c r="Y316" i="39"/>
  <c r="Y75" i="39"/>
  <c r="Y34" i="39"/>
  <c r="Y96" i="39"/>
  <c r="Y59" i="39"/>
  <c r="Y97" i="39"/>
  <c r="Y145" i="39"/>
  <c r="Y4" i="38"/>
  <c r="Y3" i="38" s="1" a="1"/>
  <c r="Y3" i="38" s="1"/>
  <c r="G3" i="19" l="1"/>
  <c r="C13" i="41"/>
  <c r="F3" i="19"/>
  <c r="Y4" i="39"/>
  <c r="Y3" i="39" s="1" a="1"/>
  <c r="Y3" i="39" s="1"/>
  <c r="H4" i="19"/>
  <c r="C14" i="41" s="1"/>
  <c r="X3" i="39" a="1"/>
  <c r="X3" i="39" s="1"/>
  <c r="Z1" i="39" s="1"/>
  <c r="H3" i="19" l="1"/>
  <c r="AD195" i="19"/>
  <c r="AD318" i="19"/>
  <c r="AD317" i="19"/>
  <c r="AD316" i="19"/>
  <c r="AD315" i="19"/>
  <c r="AD314" i="19"/>
  <c r="AD313" i="19"/>
  <c r="AD312" i="19"/>
  <c r="AD311" i="19"/>
  <c r="AD310" i="19"/>
  <c r="AD309" i="19"/>
  <c r="AD308" i="19"/>
  <c r="AD307" i="19"/>
  <c r="AD306" i="19"/>
  <c r="AD305" i="19"/>
  <c r="AD304" i="19"/>
  <c r="AD303" i="19"/>
  <c r="AD302" i="19"/>
  <c r="AD301" i="19"/>
  <c r="AD300" i="19"/>
  <c r="AD299" i="19"/>
  <c r="AD298" i="19"/>
  <c r="AD297" i="19"/>
  <c r="AD296" i="19"/>
  <c r="AD295" i="19"/>
  <c r="AD294" i="19"/>
  <c r="AD293" i="19"/>
  <c r="AD292" i="19"/>
  <c r="AD291" i="19"/>
  <c r="AD290" i="19"/>
  <c r="AD289" i="19"/>
  <c r="AD288" i="19"/>
  <c r="AD287" i="19"/>
  <c r="AD286" i="19"/>
  <c r="AD285" i="19"/>
  <c r="AD284" i="19"/>
  <c r="AD283" i="19"/>
  <c r="AD282" i="19"/>
  <c r="AD281" i="19"/>
  <c r="AD280" i="19"/>
  <c r="AD279" i="19"/>
  <c r="AD278" i="19"/>
  <c r="AD277" i="19"/>
  <c r="AD276" i="19"/>
  <c r="AD275" i="19"/>
  <c r="AD274" i="19"/>
  <c r="AD273" i="19"/>
  <c r="AD272" i="19"/>
  <c r="AD271" i="19"/>
  <c r="AD270" i="19"/>
  <c r="AD269" i="19"/>
  <c r="AD268" i="19"/>
  <c r="AD267" i="19"/>
  <c r="AD266" i="19"/>
  <c r="AD265" i="19"/>
  <c r="AD264" i="19"/>
  <c r="AD263" i="19"/>
  <c r="AD262" i="19"/>
  <c r="AD261" i="19"/>
  <c r="AD260" i="19"/>
  <c r="AD259" i="19"/>
  <c r="AD258" i="19"/>
  <c r="AD257" i="19"/>
  <c r="AD256" i="19"/>
  <c r="AD255" i="19"/>
  <c r="AD254" i="19"/>
  <c r="AD253" i="19"/>
  <c r="AD252" i="19"/>
  <c r="AD251" i="19"/>
  <c r="AD250" i="19"/>
  <c r="AD249" i="19"/>
  <c r="AD248" i="19"/>
  <c r="AD247" i="19"/>
  <c r="AD246" i="19"/>
  <c r="AD245" i="19"/>
  <c r="AD244" i="19"/>
  <c r="AD243" i="19"/>
  <c r="AD242" i="19"/>
  <c r="AD241" i="19"/>
  <c r="AD240" i="19"/>
  <c r="AD239" i="19"/>
  <c r="AD238" i="19"/>
  <c r="AD237" i="19"/>
  <c r="AD236" i="19"/>
  <c r="AD235" i="19"/>
  <c r="AD234" i="19"/>
  <c r="AD233" i="19"/>
  <c r="AD232" i="19"/>
  <c r="AD231" i="19"/>
  <c r="AD229" i="19"/>
  <c r="AD228" i="19"/>
  <c r="AD227" i="19"/>
  <c r="AD226" i="19"/>
  <c r="AD225" i="19"/>
  <c r="AD224" i="19"/>
  <c r="AD223" i="19"/>
  <c r="AD222" i="19"/>
  <c r="AD221" i="19"/>
  <c r="AD220" i="19"/>
  <c r="AD219" i="19"/>
  <c r="AD218" i="19"/>
  <c r="AD217" i="19"/>
  <c r="AD216" i="19"/>
  <c r="AD215" i="19"/>
  <c r="AD214" i="19"/>
  <c r="AD213" i="19"/>
  <c r="AD212" i="19"/>
  <c r="AD210" i="19"/>
  <c r="AD209" i="19"/>
  <c r="AD208" i="19"/>
  <c r="AD207" i="19"/>
  <c r="AD206" i="19"/>
  <c r="AD205" i="19"/>
  <c r="AD204" i="19"/>
  <c r="AD203" i="19"/>
  <c r="AD202" i="19"/>
  <c r="AD201" i="19"/>
  <c r="AD200" i="19"/>
  <c r="AD199" i="19"/>
  <c r="AD198" i="19"/>
  <c r="AD197" i="19"/>
  <c r="AD196" i="19"/>
  <c r="AD194" i="19"/>
  <c r="AD193" i="19"/>
  <c r="AD192" i="19"/>
  <c r="AD191" i="19"/>
  <c r="AD190" i="19"/>
  <c r="AD189" i="19"/>
  <c r="AD188" i="19"/>
  <c r="AD187" i="19"/>
  <c r="AD186" i="19"/>
  <c r="AD185" i="19"/>
  <c r="AD184" i="19"/>
  <c r="AD183" i="19"/>
  <c r="AD182" i="19"/>
  <c r="AD181" i="19"/>
  <c r="AD180" i="19"/>
  <c r="AD179" i="19"/>
  <c r="AD178" i="19"/>
  <c r="AD177" i="19"/>
  <c r="AD176" i="19"/>
  <c r="AD175" i="19"/>
  <c r="AD174" i="19"/>
  <c r="AD173" i="19"/>
  <c r="AD172" i="19"/>
  <c r="AD171" i="19"/>
  <c r="AD170" i="19"/>
  <c r="AD169" i="19"/>
  <c r="AD168" i="19"/>
  <c r="AD167" i="19"/>
  <c r="AD166" i="19"/>
  <c r="AD165" i="19"/>
  <c r="AD164" i="19"/>
  <c r="AD163" i="19"/>
  <c r="AD162" i="19"/>
  <c r="AD161" i="19"/>
  <c r="AD160" i="19"/>
  <c r="AD159" i="19"/>
  <c r="AD158" i="19"/>
  <c r="AD157" i="19"/>
  <c r="AD156" i="19"/>
  <c r="AD155" i="19"/>
  <c r="AD154" i="19"/>
  <c r="AD153" i="19"/>
  <c r="AD152" i="19"/>
  <c r="AD151" i="19"/>
  <c r="AD150" i="19"/>
  <c r="AD149" i="19"/>
  <c r="AD148" i="19"/>
  <c r="AD147" i="19"/>
  <c r="AD146" i="19"/>
  <c r="AD145" i="19"/>
  <c r="AD144" i="19"/>
  <c r="AD143" i="19"/>
  <c r="AD142" i="19"/>
  <c r="AD141" i="19"/>
  <c r="AD140" i="19"/>
  <c r="AD139" i="19"/>
  <c r="AD138" i="19"/>
  <c r="AD137" i="19"/>
  <c r="AD136" i="19"/>
  <c r="AD135" i="19"/>
  <c r="AD134" i="19"/>
  <c r="AD133" i="19"/>
  <c r="AD132" i="19"/>
  <c r="AD131" i="19"/>
  <c r="AD130" i="19"/>
  <c r="AD129" i="19"/>
  <c r="AD128" i="19"/>
  <c r="AD127" i="19"/>
  <c r="AD126" i="19"/>
  <c r="AD125" i="19"/>
  <c r="AD124" i="19"/>
  <c r="AD123" i="19"/>
  <c r="AD122" i="19"/>
  <c r="AD121" i="19"/>
  <c r="AD120" i="19"/>
  <c r="AD119" i="19"/>
  <c r="AD118" i="19"/>
  <c r="AD117" i="19"/>
  <c r="AD116" i="19"/>
  <c r="AD115" i="19"/>
  <c r="AD114" i="19"/>
  <c r="AD113" i="19"/>
  <c r="AD112" i="19"/>
  <c r="AD111" i="19"/>
  <c r="AD110" i="19"/>
  <c r="AD109" i="19"/>
  <c r="AD108" i="19"/>
  <c r="AD107" i="19"/>
  <c r="AD105" i="19"/>
  <c r="AD104" i="19"/>
  <c r="AD103" i="19"/>
  <c r="AD102" i="19"/>
  <c r="AD101" i="19"/>
  <c r="AD100" i="19"/>
  <c r="AD99" i="19"/>
  <c r="AD98" i="19"/>
  <c r="AD97" i="19"/>
  <c r="AD96" i="19"/>
  <c r="AD95" i="19"/>
  <c r="AD94" i="19"/>
  <c r="AD93" i="19"/>
  <c r="AD92" i="19"/>
  <c r="AD91" i="19"/>
  <c r="AD90" i="19"/>
  <c r="AD89" i="19"/>
  <c r="AD88" i="19"/>
  <c r="AD87" i="19"/>
  <c r="AD86" i="19"/>
  <c r="AD85" i="19"/>
  <c r="AD84" i="19"/>
  <c r="AD83" i="19"/>
  <c r="AD82" i="19"/>
  <c r="AD81" i="19"/>
  <c r="AD80" i="19"/>
  <c r="AD79" i="19"/>
  <c r="AD78" i="19"/>
  <c r="AD77" i="19"/>
  <c r="AD76" i="19"/>
  <c r="AD75" i="19"/>
  <c r="AD74" i="19"/>
  <c r="AD73" i="19"/>
  <c r="AD72" i="19"/>
  <c r="AD71" i="19"/>
  <c r="AD70" i="19"/>
  <c r="AD69" i="19"/>
  <c r="AD68" i="19"/>
  <c r="AD67" i="19"/>
  <c r="AD66" i="19"/>
  <c r="AD65" i="19"/>
  <c r="AD64" i="19"/>
  <c r="AD63" i="19"/>
  <c r="AD62" i="19"/>
  <c r="AD61" i="19"/>
  <c r="AD60" i="19"/>
  <c r="AD59" i="19"/>
  <c r="AD58" i="19"/>
  <c r="AD57" i="19"/>
  <c r="AD56" i="19"/>
  <c r="AD55" i="19"/>
  <c r="AD54" i="19"/>
  <c r="AD53" i="19"/>
  <c r="AD52" i="19"/>
  <c r="AD51" i="19"/>
  <c r="AD50" i="19"/>
  <c r="AD49" i="19"/>
  <c r="AD48" i="19"/>
  <c r="AD47" i="19"/>
  <c r="AD46" i="19"/>
  <c r="AD45" i="19"/>
  <c r="AD44" i="19"/>
  <c r="AD43" i="19"/>
  <c r="AD42" i="19"/>
  <c r="AD41" i="19"/>
  <c r="AD40" i="19"/>
  <c r="AD39" i="19"/>
  <c r="AD38" i="19"/>
  <c r="AD37" i="19"/>
  <c r="AD36" i="19"/>
  <c r="AD35" i="19"/>
  <c r="AD34" i="19"/>
  <c r="AD33" i="19"/>
  <c r="AD32" i="19"/>
  <c r="AD31" i="19"/>
  <c r="AD30" i="19"/>
  <c r="AD29" i="19"/>
  <c r="AD28" i="19"/>
  <c r="AD27" i="19"/>
  <c r="AD26" i="19"/>
  <c r="AD25" i="19"/>
  <c r="AD24" i="19"/>
  <c r="AD23" i="19"/>
  <c r="AD22" i="19"/>
  <c r="AD21" i="19"/>
  <c r="AD20" i="19"/>
  <c r="AD19" i="19"/>
  <c r="AD18" i="19"/>
  <c r="AD17" i="19"/>
  <c r="AD16" i="19"/>
  <c r="AD15" i="19"/>
  <c r="AD14" i="19"/>
  <c r="AD13" i="19"/>
  <c r="AD12" i="19"/>
  <c r="AD11" i="19"/>
  <c r="AD10" i="19"/>
  <c r="AD9" i="19"/>
  <c r="AD8" i="19"/>
  <c r="AD7" i="19"/>
  <c r="AD6" i="19"/>
  <c r="AD5" i="19"/>
  <c r="AD4" i="19"/>
  <c r="C22" i="41" l="1"/>
  <c r="B19" i="12" l="1"/>
  <c r="Y1" i="19" s="1"/>
  <c r="B6" i="12"/>
  <c r="I1" i="19" l="1"/>
  <c r="B10" i="12"/>
  <c r="B17" i="12" l="1"/>
  <c r="I218" i="19" l="1"/>
  <c r="J218" i="19" s="1"/>
  <c r="I217" i="19"/>
  <c r="J217" i="19" s="1"/>
  <c r="I304" i="19"/>
  <c r="I308" i="19"/>
  <c r="J308" i="19" s="1"/>
  <c r="I255" i="19"/>
  <c r="J255" i="19" s="1"/>
  <c r="I104" i="19"/>
  <c r="J104" i="19" s="1"/>
  <c r="I271" i="19"/>
  <c r="J271" i="19" s="1"/>
  <c r="I266" i="19"/>
  <c r="J266" i="19" s="1"/>
  <c r="I267" i="19"/>
  <c r="J267" i="19" s="1"/>
  <c r="I207" i="19"/>
  <c r="J207" i="19" s="1"/>
  <c r="I236" i="19"/>
  <c r="I235" i="19"/>
  <c r="J235" i="19" s="1"/>
  <c r="I107" i="19"/>
  <c r="J107" i="19" s="1"/>
  <c r="I201" i="19"/>
  <c r="J201" i="19" s="1"/>
  <c r="I105" i="19"/>
  <c r="J105" i="19" s="1"/>
  <c r="I31" i="19"/>
  <c r="J31" i="19" s="1"/>
  <c r="I134" i="19"/>
  <c r="J134" i="19" s="1"/>
  <c r="U255" i="19" l="1"/>
  <c r="S255" i="19"/>
  <c r="V255" i="19"/>
  <c r="O255" i="19"/>
  <c r="P255" i="19"/>
  <c r="R255" i="19"/>
  <c r="S105" i="19"/>
  <c r="V105" i="19"/>
  <c r="U105" i="19"/>
  <c r="R105" i="19"/>
  <c r="P105" i="19"/>
  <c r="O105" i="19"/>
  <c r="U207" i="19"/>
  <c r="S207" i="19"/>
  <c r="O207" i="19"/>
  <c r="V207" i="19"/>
  <c r="R207" i="19"/>
  <c r="P207" i="19"/>
  <c r="U134" i="19"/>
  <c r="O134" i="19"/>
  <c r="V134" i="19"/>
  <c r="S134" i="19"/>
  <c r="P134" i="19"/>
  <c r="R134" i="19"/>
  <c r="S201" i="19"/>
  <c r="V201" i="19"/>
  <c r="R201" i="19"/>
  <c r="U201" i="19"/>
  <c r="O201" i="19"/>
  <c r="P201" i="19"/>
  <c r="U218" i="19"/>
  <c r="V218" i="19"/>
  <c r="O218" i="19"/>
  <c r="S218" i="19"/>
  <c r="P218" i="19"/>
  <c r="R218" i="19"/>
  <c r="L255" i="19"/>
  <c r="M255" i="19"/>
  <c r="L134" i="19"/>
  <c r="M134" i="19"/>
  <c r="L105" i="19"/>
  <c r="M105" i="19"/>
  <c r="L207" i="19"/>
  <c r="M207" i="19"/>
  <c r="L201" i="19"/>
  <c r="M201" i="19"/>
  <c r="L218" i="19"/>
  <c r="M218" i="19"/>
  <c r="J236" i="19"/>
  <c r="J304" i="19"/>
  <c r="I246" i="19"/>
  <c r="I10" i="19"/>
  <c r="J10" i="19" s="1"/>
  <c r="I53" i="19"/>
  <c r="J53" i="19" s="1"/>
  <c r="I116" i="19"/>
  <c r="J116" i="19" s="1"/>
  <c r="I161" i="19"/>
  <c r="J161" i="19" s="1"/>
  <c r="I192" i="19"/>
  <c r="J192" i="19" s="1"/>
  <c r="I272" i="19"/>
  <c r="J272" i="19" s="1"/>
  <c r="I165" i="19"/>
  <c r="J165" i="19" s="1"/>
  <c r="I43" i="19"/>
  <c r="J43" i="19" s="1"/>
  <c r="I114" i="19"/>
  <c r="J114" i="19" s="1"/>
  <c r="I42" i="19"/>
  <c r="J42" i="19" s="1"/>
  <c r="I125" i="19"/>
  <c r="J125" i="19" s="1"/>
  <c r="I233" i="19"/>
  <c r="J233" i="19" s="1"/>
  <c r="I87" i="19"/>
  <c r="J87" i="19" s="1"/>
  <c r="I294" i="19"/>
  <c r="J294" i="19" s="1"/>
  <c r="I50" i="19"/>
  <c r="J50" i="19" s="1"/>
  <c r="I84" i="19"/>
  <c r="J84" i="19" s="1"/>
  <c r="I24" i="19"/>
  <c r="J24" i="19" s="1"/>
  <c r="I25" i="19"/>
  <c r="J25" i="19" s="1"/>
  <c r="I132" i="19"/>
  <c r="J132" i="19" s="1"/>
  <c r="I60" i="19"/>
  <c r="J60" i="19" s="1"/>
  <c r="I48" i="19"/>
  <c r="J48" i="19" s="1"/>
  <c r="I306" i="19"/>
  <c r="J306" i="19" s="1"/>
  <c r="I295" i="19"/>
  <c r="J295" i="19" s="1"/>
  <c r="I81" i="19"/>
  <c r="J81" i="19" s="1"/>
  <c r="I98" i="19"/>
  <c r="J98" i="19" s="1"/>
  <c r="I268" i="19"/>
  <c r="J268" i="19" s="1"/>
  <c r="I141" i="19"/>
  <c r="J141" i="19" s="1"/>
  <c r="I176" i="19"/>
  <c r="J176" i="19" s="1"/>
  <c r="I30" i="19"/>
  <c r="J30" i="19" s="1"/>
  <c r="I270" i="19"/>
  <c r="J270" i="19" s="1"/>
  <c r="I226" i="19"/>
  <c r="J226" i="19" s="1"/>
  <c r="I232" i="19"/>
  <c r="J232" i="19" s="1"/>
  <c r="I252" i="19"/>
  <c r="J252" i="19" s="1"/>
  <c r="I45" i="19"/>
  <c r="J45" i="19" s="1"/>
  <c r="I173" i="19"/>
  <c r="J173" i="19" s="1"/>
  <c r="I109" i="19"/>
  <c r="J109" i="19" s="1"/>
  <c r="I195" i="19"/>
  <c r="J195" i="19" s="1"/>
  <c r="I115" i="19"/>
  <c r="J115" i="19" s="1"/>
  <c r="I17" i="19"/>
  <c r="J17" i="19" s="1"/>
  <c r="I285" i="19"/>
  <c r="J285" i="19" s="1"/>
  <c r="I146" i="19"/>
  <c r="J146" i="19" s="1"/>
  <c r="I292" i="19"/>
  <c r="J292" i="19" s="1"/>
  <c r="I22" i="19"/>
  <c r="J22" i="19" s="1"/>
  <c r="I80" i="19"/>
  <c r="J80" i="19" s="1"/>
  <c r="I183" i="19"/>
  <c r="J183" i="19" s="1"/>
  <c r="I298" i="19"/>
  <c r="J298" i="19" s="1"/>
  <c r="I263" i="19"/>
  <c r="J263" i="19" s="1"/>
  <c r="I110" i="19"/>
  <c r="J110" i="19" s="1"/>
  <c r="I130" i="19"/>
  <c r="J130" i="19" s="1"/>
  <c r="I163" i="19"/>
  <c r="J163" i="19" s="1"/>
  <c r="I185" i="19"/>
  <c r="J185" i="19" s="1"/>
  <c r="I44" i="19"/>
  <c r="J44" i="19" s="1"/>
  <c r="I311" i="19"/>
  <c r="J311" i="19" s="1"/>
  <c r="I289" i="19"/>
  <c r="J289" i="19" s="1"/>
  <c r="I133" i="19"/>
  <c r="J133" i="19" s="1"/>
  <c r="I229" i="19"/>
  <c r="J229" i="19" s="1"/>
  <c r="I307" i="19"/>
  <c r="J307" i="19" s="1"/>
  <c r="I148" i="19"/>
  <c r="J148" i="19" s="1"/>
  <c r="I297" i="19"/>
  <c r="J297" i="19" s="1"/>
  <c r="I91" i="19"/>
  <c r="J91" i="19" s="1"/>
  <c r="I178" i="19"/>
  <c r="J178" i="19" s="1"/>
  <c r="I7" i="19"/>
  <c r="J7" i="19" s="1"/>
  <c r="I275" i="19"/>
  <c r="J275" i="19" s="1"/>
  <c r="I254" i="19"/>
  <c r="J254" i="19" s="1"/>
  <c r="I251" i="19"/>
  <c r="J251" i="19" s="1"/>
  <c r="I18" i="19"/>
  <c r="J18" i="19" s="1"/>
  <c r="I46" i="19"/>
  <c r="J46" i="19" s="1"/>
  <c r="I154" i="19"/>
  <c r="J154" i="19" s="1"/>
  <c r="I290" i="19"/>
  <c r="J290" i="19" s="1"/>
  <c r="I149" i="19"/>
  <c r="J149" i="19" s="1"/>
  <c r="I300" i="19"/>
  <c r="J300" i="19" s="1"/>
  <c r="I72" i="19"/>
  <c r="J72" i="19" s="1"/>
  <c r="I213" i="19"/>
  <c r="J213" i="19" s="1"/>
  <c r="I57" i="19"/>
  <c r="J57" i="19" s="1"/>
  <c r="I202" i="19"/>
  <c r="J202" i="19" s="1"/>
  <c r="I33" i="19"/>
  <c r="J33" i="19" s="1"/>
  <c r="I279" i="19"/>
  <c r="J279" i="19" s="1"/>
  <c r="I239" i="19"/>
  <c r="J239" i="19" s="1"/>
  <c r="I69" i="19"/>
  <c r="J69" i="19" s="1"/>
  <c r="I51" i="19"/>
  <c r="J51" i="19" s="1"/>
  <c r="I206" i="19"/>
  <c r="J206" i="19" s="1"/>
  <c r="I208" i="19"/>
  <c r="J208" i="19" s="1"/>
  <c r="I55" i="19"/>
  <c r="J55" i="19" s="1"/>
  <c r="I287" i="19"/>
  <c r="J287" i="19" s="1"/>
  <c r="I108" i="19"/>
  <c r="J108" i="19" s="1"/>
  <c r="I240" i="19"/>
  <c r="J240" i="19" s="1"/>
  <c r="I62" i="19"/>
  <c r="J62" i="19" s="1"/>
  <c r="I171" i="19"/>
  <c r="J171" i="19" s="1"/>
  <c r="I199" i="19"/>
  <c r="J199" i="19" s="1"/>
  <c r="I145" i="19"/>
  <c r="J145" i="19" s="1"/>
  <c r="I180" i="19"/>
  <c r="J180" i="19" s="1"/>
  <c r="I6" i="19"/>
  <c r="I40" i="19"/>
  <c r="J40" i="19" s="1"/>
  <c r="I223" i="19"/>
  <c r="J223" i="19" s="1"/>
  <c r="I131" i="19"/>
  <c r="J131" i="19" s="1"/>
  <c r="I85" i="19"/>
  <c r="J85" i="19" s="1"/>
  <c r="I258" i="19"/>
  <c r="J258" i="19" s="1"/>
  <c r="I179" i="19"/>
  <c r="J179" i="19" s="1"/>
  <c r="I152" i="19"/>
  <c r="J152" i="19" s="1"/>
  <c r="I139" i="19"/>
  <c r="J139" i="19" s="1"/>
  <c r="I169" i="19"/>
  <c r="J169" i="19" s="1"/>
  <c r="I135" i="19"/>
  <c r="J135" i="19" s="1"/>
  <c r="I193" i="19"/>
  <c r="J193" i="19" s="1"/>
  <c r="I191" i="19"/>
  <c r="J191" i="19" s="1"/>
  <c r="I54" i="19"/>
  <c r="J54" i="19" s="1"/>
  <c r="I274" i="19"/>
  <c r="J274" i="19" s="1"/>
  <c r="I41" i="19"/>
  <c r="J41" i="19" s="1"/>
  <c r="I122" i="19"/>
  <c r="J122" i="19" s="1"/>
  <c r="I301" i="19"/>
  <c r="J301" i="19" s="1"/>
  <c r="I253" i="19"/>
  <c r="J253" i="19" s="1"/>
  <c r="I8" i="19"/>
  <c r="J8" i="19" s="1"/>
  <c r="I318" i="19"/>
  <c r="I67" i="19"/>
  <c r="J67" i="19" s="1"/>
  <c r="I203" i="19"/>
  <c r="J203" i="19" s="1"/>
  <c r="I13" i="19"/>
  <c r="J13" i="19" s="1"/>
  <c r="I284" i="19"/>
  <c r="J284" i="19" s="1"/>
  <c r="I181" i="19"/>
  <c r="J181" i="19" s="1"/>
  <c r="I248" i="19"/>
  <c r="J248" i="19" s="1"/>
  <c r="I282" i="19"/>
  <c r="J282" i="19" s="1"/>
  <c r="I103" i="19"/>
  <c r="J103" i="19" s="1"/>
  <c r="I196" i="19"/>
  <c r="J196" i="19" s="1"/>
  <c r="I215" i="19"/>
  <c r="J215" i="19" s="1"/>
  <c r="I170" i="19"/>
  <c r="J170" i="19" s="1"/>
  <c r="I243" i="19"/>
  <c r="J243" i="19" s="1"/>
  <c r="I100" i="19"/>
  <c r="J100" i="19" s="1"/>
  <c r="I288" i="19"/>
  <c r="J288" i="19" s="1"/>
  <c r="I283" i="19"/>
  <c r="J283" i="19" s="1"/>
  <c r="I166" i="19"/>
  <c r="J166" i="19" s="1"/>
  <c r="I93" i="19"/>
  <c r="J93" i="19" s="1"/>
  <c r="I212" i="19"/>
  <c r="J212" i="19" s="1"/>
  <c r="I309" i="19"/>
  <c r="J309" i="19" s="1"/>
  <c r="I16" i="19"/>
  <c r="J16" i="19" s="1"/>
  <c r="I34" i="19"/>
  <c r="J34" i="19" s="1"/>
  <c r="I88" i="19"/>
  <c r="J88" i="19" s="1"/>
  <c r="I303" i="19"/>
  <c r="J303" i="19" s="1"/>
  <c r="I299" i="19"/>
  <c r="J299" i="19" s="1"/>
  <c r="I140" i="19"/>
  <c r="J140" i="19" s="1"/>
  <c r="I159" i="19"/>
  <c r="J159" i="19" s="1"/>
  <c r="I58" i="19"/>
  <c r="I222" i="19"/>
  <c r="J222" i="19" s="1"/>
  <c r="I216" i="19"/>
  <c r="J216" i="19" s="1"/>
  <c r="I227" i="19"/>
  <c r="J227" i="19" s="1"/>
  <c r="I71" i="19"/>
  <c r="J71" i="19" s="1"/>
  <c r="I214" i="19"/>
  <c r="J214" i="19" s="1"/>
  <c r="I305" i="19"/>
  <c r="J305" i="19" s="1"/>
  <c r="I269" i="19"/>
  <c r="J269" i="19" s="1"/>
  <c r="I113" i="19"/>
  <c r="J113" i="19" s="1"/>
  <c r="I129" i="19"/>
  <c r="J129" i="19" s="1"/>
  <c r="I231" i="19"/>
  <c r="J231" i="19" s="1"/>
  <c r="I220" i="19"/>
  <c r="J220" i="19" s="1"/>
  <c r="I99" i="19"/>
  <c r="J99" i="19" s="1"/>
  <c r="I49" i="19"/>
  <c r="J49" i="19" s="1"/>
  <c r="I238" i="19"/>
  <c r="J238" i="19" s="1"/>
  <c r="I160" i="19"/>
  <c r="J160" i="19" s="1"/>
  <c r="I291" i="19"/>
  <c r="J291" i="19" s="1"/>
  <c r="I77" i="19"/>
  <c r="J77" i="19" s="1"/>
  <c r="I63" i="19"/>
  <c r="J63" i="19" s="1"/>
  <c r="I138" i="19"/>
  <c r="J138" i="19" s="1"/>
  <c r="I47" i="19"/>
  <c r="J47" i="19" s="1"/>
  <c r="I259" i="19"/>
  <c r="I264" i="19"/>
  <c r="J264" i="19" s="1"/>
  <c r="I172" i="19"/>
  <c r="J172" i="19" s="1"/>
  <c r="I187" i="19"/>
  <c r="J187" i="19" s="1"/>
  <c r="I111" i="19"/>
  <c r="J111" i="19" s="1"/>
  <c r="I250" i="19"/>
  <c r="J250" i="19" s="1"/>
  <c r="I121" i="19"/>
  <c r="J121" i="19" s="1"/>
  <c r="I5" i="19"/>
  <c r="J5" i="19" s="1"/>
  <c r="I92" i="19"/>
  <c r="J92" i="19" s="1"/>
  <c r="I56" i="19"/>
  <c r="J56" i="19" s="1"/>
  <c r="I59" i="19"/>
  <c r="J59" i="19" s="1"/>
  <c r="I101" i="19"/>
  <c r="J101" i="19" s="1"/>
  <c r="I118" i="19"/>
  <c r="J118" i="19" s="1"/>
  <c r="I158" i="19"/>
  <c r="J158" i="19" s="1"/>
  <c r="I75" i="19"/>
  <c r="J75" i="19" s="1"/>
  <c r="I241" i="19"/>
  <c r="J241" i="19" s="1"/>
  <c r="I228" i="19"/>
  <c r="J228" i="19" s="1"/>
  <c r="I164" i="19"/>
  <c r="J164" i="19" s="1"/>
  <c r="I137" i="19"/>
  <c r="J137" i="19" s="1"/>
  <c r="I310" i="19"/>
  <c r="J310" i="19" s="1"/>
  <c r="I262" i="19"/>
  <c r="J262" i="19" s="1"/>
  <c r="I39" i="19"/>
  <c r="J39" i="19" s="1"/>
  <c r="I177" i="19"/>
  <c r="J177" i="19" s="1"/>
  <c r="I273" i="19"/>
  <c r="J273" i="19" s="1"/>
  <c r="I23" i="19"/>
  <c r="J23" i="19" s="1"/>
  <c r="I147" i="19"/>
  <c r="J147" i="19" s="1"/>
  <c r="I70" i="19"/>
  <c r="J70" i="19" s="1"/>
  <c r="I157" i="19"/>
  <c r="I188" i="19"/>
  <c r="J188" i="19" s="1"/>
  <c r="I117" i="19"/>
  <c r="J117" i="19" s="1"/>
  <c r="I168" i="19"/>
  <c r="J168" i="19" s="1"/>
  <c r="I61" i="19"/>
  <c r="J61" i="19" s="1"/>
  <c r="I20" i="19"/>
  <c r="J20" i="19" s="1"/>
  <c r="I38" i="19"/>
  <c r="J38" i="19" s="1"/>
  <c r="I9" i="19"/>
  <c r="J9" i="19" s="1"/>
  <c r="I89" i="19"/>
  <c r="J89" i="19" s="1"/>
  <c r="I29" i="19"/>
  <c r="J29" i="19" s="1"/>
  <c r="I83" i="19"/>
  <c r="J83" i="19" s="1"/>
  <c r="I79" i="19"/>
  <c r="J79" i="19" s="1"/>
  <c r="I156" i="19"/>
  <c r="J156" i="19" s="1"/>
  <c r="I317" i="19"/>
  <c r="J317" i="19" s="1"/>
  <c r="I96" i="19"/>
  <c r="J96" i="19" s="1"/>
  <c r="I151" i="19"/>
  <c r="J151" i="19" s="1"/>
  <c r="I198" i="19"/>
  <c r="I296" i="19"/>
  <c r="J296" i="19" s="1"/>
  <c r="I68" i="19"/>
  <c r="I124" i="19"/>
  <c r="J124" i="19" s="1"/>
  <c r="I15" i="19"/>
  <c r="I14" i="19"/>
  <c r="J14" i="19" s="1"/>
  <c r="I184" i="19"/>
  <c r="J184" i="19" s="1"/>
  <c r="I189" i="19"/>
  <c r="J189" i="19" s="1"/>
  <c r="I209" i="19"/>
  <c r="J209" i="19" s="1"/>
  <c r="I64" i="19"/>
  <c r="J64" i="19" s="1"/>
  <c r="I247" i="19"/>
  <c r="J247" i="19" s="1"/>
  <c r="I277" i="19"/>
  <c r="J277" i="19" s="1"/>
  <c r="I245" i="19"/>
  <c r="J245" i="19" s="1"/>
  <c r="I78" i="19"/>
  <c r="J78" i="19" s="1"/>
  <c r="I94" i="19"/>
  <c r="J94" i="19" s="1"/>
  <c r="I237" i="19"/>
  <c r="J237" i="19" s="1"/>
  <c r="I120" i="19"/>
  <c r="J120" i="19" s="1"/>
  <c r="I182" i="19"/>
  <c r="J182" i="19" s="1"/>
  <c r="I194" i="19"/>
  <c r="J194" i="19" s="1"/>
  <c r="I219" i="19"/>
  <c r="J219" i="19" s="1"/>
  <c r="I175" i="19"/>
  <c r="J175" i="19" s="1"/>
  <c r="I225" i="19"/>
  <c r="J225" i="19" s="1"/>
  <c r="I249" i="19"/>
  <c r="J249" i="19" s="1"/>
  <c r="I257" i="19"/>
  <c r="J257" i="19" s="1"/>
  <c r="I35" i="19"/>
  <c r="J35" i="19" s="1"/>
  <c r="I242" i="19"/>
  <c r="I286" i="19"/>
  <c r="J286" i="19" s="1"/>
  <c r="I210" i="19"/>
  <c r="J210" i="19" s="1"/>
  <c r="I174" i="19"/>
  <c r="J174" i="19" s="1"/>
  <c r="I36" i="19"/>
  <c r="J36" i="19" s="1"/>
  <c r="I224" i="19"/>
  <c r="J224" i="19" s="1"/>
  <c r="I204" i="19"/>
  <c r="J204" i="19" s="1"/>
  <c r="I12" i="19"/>
  <c r="J12" i="19" s="1"/>
  <c r="I200" i="19"/>
  <c r="J200" i="19" s="1"/>
  <c r="I281" i="19"/>
  <c r="J281" i="19" s="1"/>
  <c r="I112" i="19"/>
  <c r="J112" i="19" s="1"/>
  <c r="I119" i="19"/>
  <c r="J119" i="19" s="1"/>
  <c r="I302" i="19"/>
  <c r="J302" i="19" s="1"/>
  <c r="I19" i="19"/>
  <c r="J19" i="19" s="1"/>
  <c r="I197" i="19"/>
  <c r="J197" i="19" s="1"/>
  <c r="I276" i="19"/>
  <c r="J276" i="19" s="1"/>
  <c r="I313" i="19"/>
  <c r="J313" i="19" s="1"/>
  <c r="I11" i="19"/>
  <c r="J11" i="19" s="1"/>
  <c r="I102" i="19"/>
  <c r="J102" i="19" s="1"/>
  <c r="I73" i="19"/>
  <c r="J73" i="19" s="1"/>
  <c r="I155" i="19"/>
  <c r="J155" i="19" s="1"/>
  <c r="I128" i="19"/>
  <c r="I144" i="19"/>
  <c r="J144" i="19" s="1"/>
  <c r="I90" i="19"/>
  <c r="J90" i="19" s="1"/>
  <c r="I126" i="19"/>
  <c r="J126" i="19" s="1"/>
  <c r="I143" i="19"/>
  <c r="J143" i="19" s="1"/>
  <c r="I52" i="19"/>
  <c r="J52" i="19" s="1"/>
  <c r="I293" i="19"/>
  <c r="J293" i="19" s="1"/>
  <c r="I150" i="19"/>
  <c r="J150" i="19" s="1"/>
  <c r="I28" i="19"/>
  <c r="J28" i="19" s="1"/>
  <c r="I234" i="19"/>
  <c r="J234" i="19" s="1"/>
  <c r="I315" i="19"/>
  <c r="J315" i="19" s="1"/>
  <c r="I278" i="19"/>
  <c r="J278" i="19" s="1"/>
  <c r="I76" i="19"/>
  <c r="J76" i="19" s="1"/>
  <c r="I265" i="19"/>
  <c r="J265" i="19" s="1"/>
  <c r="I280" i="19"/>
  <c r="J280" i="19" s="1"/>
  <c r="I314" i="19"/>
  <c r="J314" i="19" s="1"/>
  <c r="I153" i="19"/>
  <c r="J153" i="19" s="1"/>
  <c r="I27" i="19"/>
  <c r="I316" i="19"/>
  <c r="J316" i="19" s="1"/>
  <c r="I256" i="19"/>
  <c r="J256" i="19" s="1"/>
  <c r="I142" i="19"/>
  <c r="J142" i="19" s="1"/>
  <c r="I74" i="19"/>
  <c r="J74" i="19" s="1"/>
  <c r="I21" i="19"/>
  <c r="J21" i="19" s="1"/>
  <c r="I37" i="19"/>
  <c r="J37" i="19" s="1"/>
  <c r="I82" i="19"/>
  <c r="J82" i="19" s="1"/>
  <c r="I66" i="19"/>
  <c r="J66" i="19" s="1"/>
  <c r="I244" i="19"/>
  <c r="J244" i="19" s="1"/>
  <c r="I97" i="19"/>
  <c r="J97" i="19" s="1"/>
  <c r="I136" i="19"/>
  <c r="J136" i="19" s="1"/>
  <c r="I95" i="19"/>
  <c r="J95" i="19" s="1"/>
  <c r="I211" i="19"/>
  <c r="J211" i="19" s="1"/>
  <c r="I162" i="19"/>
  <c r="J162" i="19" s="1"/>
  <c r="I261" i="19"/>
  <c r="I190" i="19"/>
  <c r="J190" i="19" s="1"/>
  <c r="I65" i="19"/>
  <c r="J65" i="19" s="1"/>
  <c r="I127" i="19"/>
  <c r="J127" i="19" s="1"/>
  <c r="I26" i="19"/>
  <c r="J26" i="19" s="1"/>
  <c r="I32" i="19"/>
  <c r="J32" i="19" s="1"/>
  <c r="I86" i="19"/>
  <c r="J86" i="19" s="1"/>
  <c r="I123" i="19"/>
  <c r="J123" i="19" s="1"/>
  <c r="I312" i="19"/>
  <c r="J312" i="19" s="1"/>
  <c r="I260" i="19"/>
  <c r="J260" i="19" s="1"/>
  <c r="I186" i="19"/>
  <c r="J186" i="19" s="1"/>
  <c r="I167" i="19"/>
  <c r="J167" i="19" s="1"/>
  <c r="I205" i="19"/>
  <c r="J205" i="19" s="1"/>
  <c r="I4" i="19"/>
  <c r="J4" i="19" s="1"/>
  <c r="J318" i="19" l="1"/>
  <c r="C16" i="41"/>
  <c r="R297" i="19"/>
  <c r="S297" i="19"/>
  <c r="V297" i="19"/>
  <c r="P297" i="19"/>
  <c r="U297" i="19"/>
  <c r="O297" i="19"/>
  <c r="V263" i="19"/>
  <c r="S263" i="19"/>
  <c r="R263" i="19"/>
  <c r="O263" i="19"/>
  <c r="U263" i="19"/>
  <c r="P263" i="19"/>
  <c r="V304" i="19"/>
  <c r="U304" i="19"/>
  <c r="R304" i="19"/>
  <c r="O304" i="19"/>
  <c r="S304" i="19"/>
  <c r="P304" i="19"/>
  <c r="V144" i="19"/>
  <c r="R144" i="19"/>
  <c r="U144" i="19"/>
  <c r="O144" i="19"/>
  <c r="S144" i="19"/>
  <c r="P144" i="19"/>
  <c r="V168" i="19"/>
  <c r="S168" i="19"/>
  <c r="U168" i="19"/>
  <c r="R168" i="19"/>
  <c r="O168" i="19"/>
  <c r="P168" i="19"/>
  <c r="U121" i="19"/>
  <c r="S121" i="19"/>
  <c r="O121" i="19"/>
  <c r="R121" i="19"/>
  <c r="V121" i="19"/>
  <c r="P121" i="19"/>
  <c r="U160" i="19"/>
  <c r="S160" i="19"/>
  <c r="V160" i="19"/>
  <c r="O160" i="19"/>
  <c r="R160" i="19"/>
  <c r="P160" i="19"/>
  <c r="V227" i="19"/>
  <c r="S227" i="19"/>
  <c r="U227" i="19"/>
  <c r="R227" i="19"/>
  <c r="P227" i="19"/>
  <c r="O227" i="19"/>
  <c r="V248" i="19"/>
  <c r="U248" i="19"/>
  <c r="R248" i="19"/>
  <c r="S248" i="19"/>
  <c r="O248" i="19"/>
  <c r="P248" i="19"/>
  <c r="V298" i="19"/>
  <c r="U298" i="19"/>
  <c r="R298" i="19"/>
  <c r="P298" i="19"/>
  <c r="S298" i="19"/>
  <c r="O298" i="19"/>
  <c r="S45" i="19"/>
  <c r="V45" i="19"/>
  <c r="R45" i="19"/>
  <c r="U45" i="19"/>
  <c r="P45" i="19"/>
  <c r="O45" i="19"/>
  <c r="V306" i="19"/>
  <c r="U306" i="19"/>
  <c r="S306" i="19"/>
  <c r="R306" i="19"/>
  <c r="O306" i="19"/>
  <c r="P306" i="19"/>
  <c r="V236" i="19"/>
  <c r="U236" i="19"/>
  <c r="R236" i="19"/>
  <c r="O236" i="19"/>
  <c r="S236" i="19"/>
  <c r="P236" i="19"/>
  <c r="S93" i="19"/>
  <c r="V93" i="19"/>
  <c r="R93" i="19"/>
  <c r="O93" i="19"/>
  <c r="U93" i="19"/>
  <c r="P93" i="19"/>
  <c r="S117" i="19"/>
  <c r="V117" i="19"/>
  <c r="R117" i="19"/>
  <c r="U117" i="19"/>
  <c r="P117" i="19"/>
  <c r="O117" i="19"/>
  <c r="U37" i="19"/>
  <c r="S37" i="19"/>
  <c r="O37" i="19"/>
  <c r="R37" i="19"/>
  <c r="V37" i="19"/>
  <c r="P37" i="19"/>
  <c r="V317" i="19"/>
  <c r="R317" i="19"/>
  <c r="U317" i="19"/>
  <c r="S317" i="19"/>
  <c r="O317" i="19"/>
  <c r="P317" i="19"/>
  <c r="U111" i="19"/>
  <c r="S111" i="19"/>
  <c r="O111" i="19"/>
  <c r="V111" i="19"/>
  <c r="P111" i="19"/>
  <c r="R111" i="19"/>
  <c r="V191" i="19"/>
  <c r="U191" i="19"/>
  <c r="S191" i="19"/>
  <c r="R191" i="19"/>
  <c r="P191" i="19"/>
  <c r="O191" i="19"/>
  <c r="U229" i="19"/>
  <c r="S229" i="19"/>
  <c r="O229" i="19"/>
  <c r="V229" i="19"/>
  <c r="R229" i="19"/>
  <c r="P229" i="19"/>
  <c r="U232" i="19"/>
  <c r="S232" i="19"/>
  <c r="R232" i="19"/>
  <c r="V232" i="19"/>
  <c r="P232" i="19"/>
  <c r="O232" i="19"/>
  <c r="V65" i="19"/>
  <c r="U65" i="19"/>
  <c r="R65" i="19"/>
  <c r="O65" i="19"/>
  <c r="P65" i="19"/>
  <c r="S65" i="19"/>
  <c r="S12" i="19"/>
  <c r="V12" i="19"/>
  <c r="R12" i="19"/>
  <c r="U12" i="19"/>
  <c r="P12" i="19"/>
  <c r="O12" i="19"/>
  <c r="V156" i="19"/>
  <c r="U156" i="19"/>
  <c r="S156" i="19"/>
  <c r="R156" i="19"/>
  <c r="O156" i="19"/>
  <c r="P156" i="19"/>
  <c r="V187" i="19"/>
  <c r="U187" i="19"/>
  <c r="S187" i="19"/>
  <c r="R187" i="19"/>
  <c r="O187" i="19"/>
  <c r="P187" i="19"/>
  <c r="U99" i="19"/>
  <c r="S99" i="19"/>
  <c r="V99" i="19"/>
  <c r="O99" i="19"/>
  <c r="P99" i="19"/>
  <c r="R99" i="19"/>
  <c r="U193" i="19"/>
  <c r="S193" i="19"/>
  <c r="O193" i="19"/>
  <c r="V193" i="19"/>
  <c r="R193" i="19"/>
  <c r="P193" i="19"/>
  <c r="S69" i="19"/>
  <c r="V69" i="19"/>
  <c r="R69" i="19"/>
  <c r="U69" i="19"/>
  <c r="O69" i="19"/>
  <c r="P69" i="19"/>
  <c r="S22" i="19"/>
  <c r="R22" i="19"/>
  <c r="V22" i="19"/>
  <c r="U22" i="19"/>
  <c r="O22" i="19"/>
  <c r="P22" i="19"/>
  <c r="S165" i="19"/>
  <c r="V165" i="19"/>
  <c r="U165" i="19"/>
  <c r="R165" i="19"/>
  <c r="O165" i="19"/>
  <c r="P165" i="19"/>
  <c r="S82" i="19"/>
  <c r="V82" i="19"/>
  <c r="U82" i="19"/>
  <c r="R82" i="19"/>
  <c r="P82" i="19"/>
  <c r="O82" i="19"/>
  <c r="U181" i="19"/>
  <c r="S181" i="19"/>
  <c r="O181" i="19"/>
  <c r="P181" i="19"/>
  <c r="V181" i="19"/>
  <c r="R181" i="19"/>
  <c r="V190" i="19"/>
  <c r="U190" i="19"/>
  <c r="S190" i="19"/>
  <c r="R190" i="19"/>
  <c r="O190" i="19"/>
  <c r="P190" i="19"/>
  <c r="V234" i="19"/>
  <c r="R234" i="19"/>
  <c r="U234" i="19"/>
  <c r="O234" i="19"/>
  <c r="S234" i="19"/>
  <c r="P234" i="19"/>
  <c r="S189" i="19"/>
  <c r="V189" i="19"/>
  <c r="U189" i="19"/>
  <c r="R189" i="19"/>
  <c r="O189" i="19"/>
  <c r="P189" i="19"/>
  <c r="U220" i="19"/>
  <c r="S220" i="19"/>
  <c r="O220" i="19"/>
  <c r="V220" i="19"/>
  <c r="R220" i="19"/>
  <c r="P220" i="19"/>
  <c r="U145" i="19"/>
  <c r="S145" i="19"/>
  <c r="O145" i="19"/>
  <c r="V145" i="19"/>
  <c r="P145" i="19"/>
  <c r="R145" i="19"/>
  <c r="V18" i="19"/>
  <c r="U18" i="19"/>
  <c r="S18" i="19"/>
  <c r="O18" i="19"/>
  <c r="P18" i="19"/>
  <c r="R18" i="19"/>
  <c r="U289" i="19"/>
  <c r="S289" i="19"/>
  <c r="V289" i="19"/>
  <c r="O289" i="19"/>
  <c r="R289" i="19"/>
  <c r="P289" i="19"/>
  <c r="V216" i="19"/>
  <c r="U216" i="19"/>
  <c r="R216" i="19"/>
  <c r="O216" i="19"/>
  <c r="S216" i="19"/>
  <c r="P216" i="19"/>
  <c r="U64" i="19"/>
  <c r="S64" i="19"/>
  <c r="R64" i="19"/>
  <c r="O64" i="19"/>
  <c r="P64" i="19"/>
  <c r="V64" i="19"/>
  <c r="U28" i="19"/>
  <c r="S28" i="19"/>
  <c r="O28" i="19"/>
  <c r="R28" i="19"/>
  <c r="V28" i="19"/>
  <c r="P28" i="19"/>
  <c r="V224" i="19"/>
  <c r="U224" i="19"/>
  <c r="S224" i="19"/>
  <c r="R224" i="19"/>
  <c r="O224" i="19"/>
  <c r="P224" i="19"/>
  <c r="U194" i="19"/>
  <c r="O194" i="19"/>
  <c r="V194" i="19"/>
  <c r="S194" i="19"/>
  <c r="R194" i="19"/>
  <c r="P194" i="19"/>
  <c r="U184" i="19"/>
  <c r="S184" i="19"/>
  <c r="V184" i="19"/>
  <c r="O184" i="19"/>
  <c r="P184" i="19"/>
  <c r="R184" i="19"/>
  <c r="U158" i="19"/>
  <c r="V158" i="19"/>
  <c r="O158" i="19"/>
  <c r="S158" i="19"/>
  <c r="R158" i="19"/>
  <c r="P158" i="19"/>
  <c r="V140" i="19"/>
  <c r="U140" i="19"/>
  <c r="R140" i="19"/>
  <c r="O140" i="19"/>
  <c r="P140" i="19"/>
  <c r="S140" i="19"/>
  <c r="U169" i="19"/>
  <c r="S169" i="19"/>
  <c r="O169" i="19"/>
  <c r="V169" i="19"/>
  <c r="R169" i="19"/>
  <c r="P169" i="19"/>
  <c r="V199" i="19"/>
  <c r="U199" i="19"/>
  <c r="R199" i="19"/>
  <c r="O199" i="19"/>
  <c r="P199" i="19"/>
  <c r="S199" i="19"/>
  <c r="U279" i="19"/>
  <c r="S279" i="19"/>
  <c r="V279" i="19"/>
  <c r="P279" i="19"/>
  <c r="O279" i="19"/>
  <c r="R279" i="19"/>
  <c r="V251" i="19"/>
  <c r="U251" i="19"/>
  <c r="R251" i="19"/>
  <c r="O251" i="19"/>
  <c r="P251" i="19"/>
  <c r="S251" i="19"/>
  <c r="S24" i="19"/>
  <c r="V24" i="19"/>
  <c r="R24" i="19"/>
  <c r="U24" i="19"/>
  <c r="O24" i="19"/>
  <c r="P24" i="19"/>
  <c r="U182" i="19"/>
  <c r="O182" i="19"/>
  <c r="P182" i="19"/>
  <c r="S182" i="19"/>
  <c r="V182" i="19"/>
  <c r="R182" i="19"/>
  <c r="U14" i="19"/>
  <c r="S14" i="19"/>
  <c r="V14" i="19"/>
  <c r="O14" i="19"/>
  <c r="R14" i="19"/>
  <c r="P14" i="19"/>
  <c r="S23" i="19"/>
  <c r="V23" i="19"/>
  <c r="R23" i="19"/>
  <c r="U23" i="19"/>
  <c r="O23" i="19"/>
  <c r="P23" i="19"/>
  <c r="S118" i="19"/>
  <c r="R118" i="19"/>
  <c r="V118" i="19"/>
  <c r="P118" i="19"/>
  <c r="O118" i="19"/>
  <c r="U118" i="19"/>
  <c r="S129" i="19"/>
  <c r="V129" i="19"/>
  <c r="U129" i="19"/>
  <c r="R129" i="19"/>
  <c r="O129" i="19"/>
  <c r="P129" i="19"/>
  <c r="V299" i="19"/>
  <c r="U299" i="19"/>
  <c r="R299" i="19"/>
  <c r="P299" i="19"/>
  <c r="O299" i="19"/>
  <c r="S299" i="19"/>
  <c r="S33" i="19"/>
  <c r="V33" i="19"/>
  <c r="R33" i="19"/>
  <c r="O33" i="19"/>
  <c r="P33" i="19"/>
  <c r="U33" i="19"/>
  <c r="U254" i="19"/>
  <c r="V254" i="19"/>
  <c r="O254" i="19"/>
  <c r="P254" i="19"/>
  <c r="R254" i="19"/>
  <c r="S254" i="19"/>
  <c r="V176" i="19"/>
  <c r="U176" i="19"/>
  <c r="R176" i="19"/>
  <c r="S176" i="19"/>
  <c r="O176" i="19"/>
  <c r="P176" i="19"/>
  <c r="S84" i="19"/>
  <c r="V84" i="19"/>
  <c r="U84" i="19"/>
  <c r="R84" i="19"/>
  <c r="O84" i="19"/>
  <c r="P84" i="19"/>
  <c r="V310" i="19"/>
  <c r="U310" i="19"/>
  <c r="S310" i="19"/>
  <c r="R310" i="19"/>
  <c r="P310" i="19"/>
  <c r="O310" i="19"/>
  <c r="S96" i="19"/>
  <c r="V96" i="19"/>
  <c r="U96" i="19"/>
  <c r="R96" i="19"/>
  <c r="O96" i="19"/>
  <c r="P96" i="19"/>
  <c r="U290" i="19"/>
  <c r="S290" i="19"/>
  <c r="V290" i="19"/>
  <c r="O290" i="19"/>
  <c r="R290" i="19"/>
  <c r="P290" i="19"/>
  <c r="S225" i="19"/>
  <c r="V225" i="19"/>
  <c r="U225" i="19"/>
  <c r="R225" i="19"/>
  <c r="P225" i="19"/>
  <c r="O225" i="19"/>
  <c r="V211" i="19"/>
  <c r="U211" i="19"/>
  <c r="R211" i="19"/>
  <c r="S211" i="19"/>
  <c r="P211" i="19"/>
  <c r="O211" i="19"/>
  <c r="U276" i="19"/>
  <c r="S276" i="19"/>
  <c r="V276" i="19"/>
  <c r="O276" i="19"/>
  <c r="P276" i="19"/>
  <c r="R276" i="19"/>
  <c r="V120" i="19"/>
  <c r="R120" i="19"/>
  <c r="P120" i="19"/>
  <c r="S120" i="19"/>
  <c r="O120" i="19"/>
  <c r="U120" i="19"/>
  <c r="V89" i="19"/>
  <c r="U89" i="19"/>
  <c r="R89" i="19"/>
  <c r="O89" i="19"/>
  <c r="S89" i="19"/>
  <c r="P89" i="19"/>
  <c r="V152" i="19"/>
  <c r="U152" i="19"/>
  <c r="S152" i="19"/>
  <c r="R152" i="19"/>
  <c r="O152" i="19"/>
  <c r="P152" i="19"/>
  <c r="U62" i="19"/>
  <c r="O62" i="19"/>
  <c r="P62" i="19"/>
  <c r="V62" i="19"/>
  <c r="R62" i="19"/>
  <c r="S62" i="19"/>
  <c r="R202" i="19"/>
  <c r="V202" i="19"/>
  <c r="U202" i="19"/>
  <c r="O202" i="19"/>
  <c r="S202" i="19"/>
  <c r="P202" i="19"/>
  <c r="V275" i="19"/>
  <c r="U275" i="19"/>
  <c r="S275" i="19"/>
  <c r="R275" i="19"/>
  <c r="O275" i="19"/>
  <c r="P275" i="19"/>
  <c r="V17" i="19"/>
  <c r="U17" i="19"/>
  <c r="S17" i="19"/>
  <c r="O17" i="19"/>
  <c r="P17" i="19"/>
  <c r="R17" i="19"/>
  <c r="S141" i="19"/>
  <c r="V141" i="19"/>
  <c r="R141" i="19"/>
  <c r="U141" i="19"/>
  <c r="O141" i="19"/>
  <c r="P141" i="19"/>
  <c r="U26" i="19"/>
  <c r="O26" i="19"/>
  <c r="R26" i="19"/>
  <c r="S26" i="19"/>
  <c r="V26" i="19"/>
  <c r="P26" i="19"/>
  <c r="U183" i="19"/>
  <c r="S183" i="19"/>
  <c r="V183" i="19"/>
  <c r="O183" i="19"/>
  <c r="P183" i="19"/>
  <c r="R183" i="19"/>
  <c r="S155" i="19"/>
  <c r="V155" i="19"/>
  <c r="U155" i="19"/>
  <c r="R155" i="19"/>
  <c r="P155" i="19"/>
  <c r="O155" i="19"/>
  <c r="U49" i="19"/>
  <c r="S49" i="19"/>
  <c r="O49" i="19"/>
  <c r="V49" i="19"/>
  <c r="R49" i="19"/>
  <c r="P49" i="19"/>
  <c r="V162" i="19"/>
  <c r="R162" i="19"/>
  <c r="U162" i="19"/>
  <c r="S162" i="19"/>
  <c r="P162" i="19"/>
  <c r="O162" i="19"/>
  <c r="V197" i="19"/>
  <c r="U197" i="19"/>
  <c r="R197" i="19"/>
  <c r="S197" i="19"/>
  <c r="P197" i="19"/>
  <c r="O197" i="19"/>
  <c r="S9" i="19"/>
  <c r="V9" i="19"/>
  <c r="R9" i="19"/>
  <c r="U9" i="19"/>
  <c r="P9" i="19"/>
  <c r="O9" i="19"/>
  <c r="S59" i="19"/>
  <c r="V59" i="19"/>
  <c r="U59" i="19"/>
  <c r="O59" i="19"/>
  <c r="R59" i="19"/>
  <c r="P59" i="19"/>
  <c r="V138" i="19"/>
  <c r="R138" i="19"/>
  <c r="U138" i="19"/>
  <c r="S138" i="19"/>
  <c r="O138" i="19"/>
  <c r="P138" i="19"/>
  <c r="U88" i="19"/>
  <c r="S88" i="19"/>
  <c r="O88" i="19"/>
  <c r="R88" i="19"/>
  <c r="P88" i="19"/>
  <c r="V88" i="19"/>
  <c r="V215" i="19"/>
  <c r="U215" i="19"/>
  <c r="R215" i="19"/>
  <c r="S215" i="19"/>
  <c r="P215" i="19"/>
  <c r="O215" i="19"/>
  <c r="S57" i="19"/>
  <c r="V57" i="19"/>
  <c r="R57" i="19"/>
  <c r="U57" i="19"/>
  <c r="O57" i="19"/>
  <c r="P57" i="19"/>
  <c r="V7" i="19"/>
  <c r="U7" i="19"/>
  <c r="R7" i="19"/>
  <c r="O7" i="19"/>
  <c r="S7" i="19"/>
  <c r="P7" i="19"/>
  <c r="V280" i="19"/>
  <c r="U280" i="19"/>
  <c r="R280" i="19"/>
  <c r="S280" i="19"/>
  <c r="P280" i="19"/>
  <c r="O280" i="19"/>
  <c r="V200" i="19"/>
  <c r="U200" i="19"/>
  <c r="R200" i="19"/>
  <c r="O200" i="19"/>
  <c r="S200" i="19"/>
  <c r="P200" i="19"/>
  <c r="V228" i="19"/>
  <c r="S228" i="19"/>
  <c r="U228" i="19"/>
  <c r="R228" i="19"/>
  <c r="P228" i="19"/>
  <c r="O228" i="19"/>
  <c r="V167" i="19"/>
  <c r="S167" i="19"/>
  <c r="U167" i="19"/>
  <c r="R167" i="19"/>
  <c r="O167" i="19"/>
  <c r="P167" i="19"/>
  <c r="U312" i="19"/>
  <c r="S312" i="19"/>
  <c r="V312" i="19"/>
  <c r="O312" i="19"/>
  <c r="P312" i="19"/>
  <c r="R312" i="19"/>
  <c r="S143" i="19"/>
  <c r="V143" i="19"/>
  <c r="R143" i="19"/>
  <c r="U143" i="19"/>
  <c r="O143" i="19"/>
  <c r="P143" i="19"/>
  <c r="V19" i="19"/>
  <c r="U19" i="19"/>
  <c r="S19" i="19"/>
  <c r="O19" i="19"/>
  <c r="P19" i="19"/>
  <c r="R19" i="19"/>
  <c r="S94" i="19"/>
  <c r="R94" i="19"/>
  <c r="O94" i="19"/>
  <c r="U94" i="19"/>
  <c r="V94" i="19"/>
  <c r="P94" i="19"/>
  <c r="U38" i="19"/>
  <c r="O38" i="19"/>
  <c r="R38" i="19"/>
  <c r="V38" i="19"/>
  <c r="S38" i="19"/>
  <c r="P38" i="19"/>
  <c r="U39" i="19"/>
  <c r="S39" i="19"/>
  <c r="V39" i="19"/>
  <c r="O39" i="19"/>
  <c r="R39" i="19"/>
  <c r="P39" i="19"/>
  <c r="S34" i="19"/>
  <c r="V34" i="19"/>
  <c r="O34" i="19"/>
  <c r="R34" i="19"/>
  <c r="P34" i="19"/>
  <c r="U34" i="19"/>
  <c r="S213" i="19"/>
  <c r="V213" i="19"/>
  <c r="R213" i="19"/>
  <c r="P213" i="19"/>
  <c r="U213" i="19"/>
  <c r="O213" i="19"/>
  <c r="U195" i="19"/>
  <c r="S195" i="19"/>
  <c r="O195" i="19"/>
  <c r="V195" i="19"/>
  <c r="R195" i="19"/>
  <c r="P195" i="19"/>
  <c r="U98" i="19"/>
  <c r="V98" i="19"/>
  <c r="O98" i="19"/>
  <c r="P98" i="19"/>
  <c r="S98" i="19"/>
  <c r="R98" i="19"/>
  <c r="U86" i="19"/>
  <c r="O86" i="19"/>
  <c r="S86" i="19"/>
  <c r="V86" i="19"/>
  <c r="R86" i="19"/>
  <c r="P86" i="19"/>
  <c r="U278" i="19"/>
  <c r="S278" i="19"/>
  <c r="V278" i="19"/>
  <c r="P278" i="19"/>
  <c r="O278" i="19"/>
  <c r="R278" i="19"/>
  <c r="V260" i="19"/>
  <c r="U260" i="19"/>
  <c r="S260" i="19"/>
  <c r="R260" i="19"/>
  <c r="O260" i="19"/>
  <c r="P260" i="19"/>
  <c r="U97" i="19"/>
  <c r="S97" i="19"/>
  <c r="O97" i="19"/>
  <c r="P97" i="19"/>
  <c r="R97" i="19"/>
  <c r="V97" i="19"/>
  <c r="U302" i="19"/>
  <c r="S302" i="19"/>
  <c r="V302" i="19"/>
  <c r="R302" i="19"/>
  <c r="O302" i="19"/>
  <c r="P302" i="19"/>
  <c r="V92" i="19"/>
  <c r="U92" i="19"/>
  <c r="R92" i="19"/>
  <c r="O92" i="19"/>
  <c r="S92" i="19"/>
  <c r="P92" i="19"/>
  <c r="V77" i="19"/>
  <c r="U77" i="19"/>
  <c r="R77" i="19"/>
  <c r="S77" i="19"/>
  <c r="O77" i="19"/>
  <c r="P77" i="19"/>
  <c r="U122" i="19"/>
  <c r="O122" i="19"/>
  <c r="R122" i="19"/>
  <c r="V122" i="19"/>
  <c r="P122" i="19"/>
  <c r="S122" i="19"/>
  <c r="U109" i="19"/>
  <c r="S109" i="19"/>
  <c r="O109" i="19"/>
  <c r="V109" i="19"/>
  <c r="R109" i="19"/>
  <c r="P109" i="19"/>
  <c r="V233" i="19"/>
  <c r="U233" i="19"/>
  <c r="R233" i="19"/>
  <c r="S233" i="19"/>
  <c r="O233" i="19"/>
  <c r="P233" i="19"/>
  <c r="L228" i="19"/>
  <c r="M228" i="19"/>
  <c r="L144" i="19"/>
  <c r="M144" i="19"/>
  <c r="L168" i="19"/>
  <c r="M168" i="19"/>
  <c r="L121" i="19"/>
  <c r="M121" i="19"/>
  <c r="L160" i="19"/>
  <c r="M160" i="19"/>
  <c r="L227" i="19"/>
  <c r="M227" i="19"/>
  <c r="L248" i="19"/>
  <c r="M248" i="19"/>
  <c r="L298" i="19"/>
  <c r="M298" i="19"/>
  <c r="L45" i="19"/>
  <c r="M45" i="19"/>
  <c r="L306" i="19"/>
  <c r="M306" i="19"/>
  <c r="L236" i="19"/>
  <c r="M236" i="19"/>
  <c r="L96" i="19"/>
  <c r="M96" i="19"/>
  <c r="L117" i="19"/>
  <c r="M117" i="19"/>
  <c r="L216" i="19"/>
  <c r="M216" i="19"/>
  <c r="L93" i="19"/>
  <c r="M93" i="19"/>
  <c r="L181" i="19"/>
  <c r="M181" i="19"/>
  <c r="L290" i="19"/>
  <c r="M290" i="19"/>
  <c r="L183" i="19"/>
  <c r="M183" i="19"/>
  <c r="L232" i="19"/>
  <c r="M232" i="19"/>
  <c r="L156" i="19"/>
  <c r="M156" i="19"/>
  <c r="L187" i="19"/>
  <c r="M187" i="19"/>
  <c r="L99" i="19"/>
  <c r="M99" i="19"/>
  <c r="L193" i="19"/>
  <c r="M193" i="19"/>
  <c r="L69" i="19"/>
  <c r="M69" i="19"/>
  <c r="L22" i="19"/>
  <c r="M22" i="19"/>
  <c r="L165" i="19"/>
  <c r="M165" i="19"/>
  <c r="L111" i="19"/>
  <c r="M111" i="19"/>
  <c r="L12" i="19"/>
  <c r="M12" i="19"/>
  <c r="L190" i="19"/>
  <c r="M190" i="19"/>
  <c r="L234" i="19"/>
  <c r="M234" i="19"/>
  <c r="L189" i="19"/>
  <c r="M189" i="19"/>
  <c r="L220" i="19"/>
  <c r="M220" i="19"/>
  <c r="L145" i="19"/>
  <c r="M145" i="19"/>
  <c r="L18" i="19"/>
  <c r="M18" i="19"/>
  <c r="L289" i="19"/>
  <c r="M289" i="19"/>
  <c r="L26" i="19"/>
  <c r="M26" i="19"/>
  <c r="L317" i="19"/>
  <c r="M317" i="19"/>
  <c r="L49" i="19"/>
  <c r="M49" i="19"/>
  <c r="L191" i="19"/>
  <c r="M191" i="19"/>
  <c r="L229" i="19"/>
  <c r="M229" i="19"/>
  <c r="L28" i="19"/>
  <c r="M28" i="19"/>
  <c r="L224" i="19"/>
  <c r="M224" i="19"/>
  <c r="L194" i="19"/>
  <c r="M194" i="19"/>
  <c r="L184" i="19"/>
  <c r="M184" i="19"/>
  <c r="L158" i="19"/>
  <c r="M158" i="19"/>
  <c r="L140" i="19"/>
  <c r="M140" i="19"/>
  <c r="L169" i="19"/>
  <c r="M169" i="19"/>
  <c r="L199" i="19"/>
  <c r="M199" i="19"/>
  <c r="L279" i="19"/>
  <c r="M279" i="19"/>
  <c r="L251" i="19"/>
  <c r="M251" i="19"/>
  <c r="L24" i="19"/>
  <c r="M24" i="19"/>
  <c r="L82" i="19"/>
  <c r="M82" i="19"/>
  <c r="L225" i="19"/>
  <c r="M225" i="19"/>
  <c r="L167" i="19"/>
  <c r="M167" i="19"/>
  <c r="L162" i="19"/>
  <c r="M162" i="19"/>
  <c r="L182" i="19"/>
  <c r="M182" i="19"/>
  <c r="L14" i="19"/>
  <c r="M14" i="19"/>
  <c r="L23" i="19"/>
  <c r="M23" i="19"/>
  <c r="L118" i="19"/>
  <c r="M118" i="19"/>
  <c r="L129" i="19"/>
  <c r="M129" i="19"/>
  <c r="L299" i="19"/>
  <c r="M299" i="19"/>
  <c r="L33" i="19"/>
  <c r="M33" i="19"/>
  <c r="L254" i="19"/>
  <c r="M254" i="19"/>
  <c r="L176" i="19"/>
  <c r="M176" i="19"/>
  <c r="L84" i="19"/>
  <c r="M84" i="19"/>
  <c r="L200" i="19"/>
  <c r="M200" i="19"/>
  <c r="L211" i="19"/>
  <c r="M211" i="19"/>
  <c r="L276" i="19"/>
  <c r="M276" i="19"/>
  <c r="L120" i="19"/>
  <c r="M120" i="19"/>
  <c r="L89" i="19"/>
  <c r="M89" i="19"/>
  <c r="L152" i="19"/>
  <c r="M152" i="19"/>
  <c r="L62" i="19"/>
  <c r="M62" i="19"/>
  <c r="L202" i="19"/>
  <c r="M202" i="19"/>
  <c r="L275" i="19"/>
  <c r="M275" i="19"/>
  <c r="L17" i="19"/>
  <c r="M17" i="19"/>
  <c r="L141" i="19"/>
  <c r="M141" i="19"/>
  <c r="L155" i="19"/>
  <c r="M155" i="19"/>
  <c r="L197" i="19"/>
  <c r="M197" i="19"/>
  <c r="L9" i="19"/>
  <c r="M9" i="19"/>
  <c r="L59" i="19"/>
  <c r="M59" i="19"/>
  <c r="L138" i="19"/>
  <c r="M138" i="19"/>
  <c r="L88" i="19"/>
  <c r="M88" i="19"/>
  <c r="L215" i="19"/>
  <c r="M215" i="19"/>
  <c r="L57" i="19"/>
  <c r="M57" i="19"/>
  <c r="L7" i="19"/>
  <c r="M7" i="19"/>
  <c r="L64" i="19"/>
  <c r="M64" i="19"/>
  <c r="L260" i="19"/>
  <c r="M260" i="19"/>
  <c r="L312" i="19"/>
  <c r="M312" i="19"/>
  <c r="L143" i="19"/>
  <c r="M143" i="19"/>
  <c r="L19" i="19"/>
  <c r="M19" i="19"/>
  <c r="L94" i="19"/>
  <c r="M94" i="19"/>
  <c r="L38" i="19"/>
  <c r="M38" i="19"/>
  <c r="L39" i="19"/>
  <c r="M39" i="19"/>
  <c r="L34" i="19"/>
  <c r="M34" i="19"/>
  <c r="L213" i="19"/>
  <c r="M213" i="19"/>
  <c r="L195" i="19"/>
  <c r="M195" i="19"/>
  <c r="L98" i="19"/>
  <c r="M98" i="19"/>
  <c r="L278" i="19"/>
  <c r="M278" i="19"/>
  <c r="L97" i="19"/>
  <c r="M97" i="19"/>
  <c r="L302" i="19"/>
  <c r="M302" i="19"/>
  <c r="L92" i="19"/>
  <c r="M92" i="19"/>
  <c r="L77" i="19"/>
  <c r="M77" i="19"/>
  <c r="L122" i="19"/>
  <c r="M122" i="19"/>
  <c r="L109" i="19"/>
  <c r="M109" i="19"/>
  <c r="L233" i="19"/>
  <c r="M233" i="19"/>
  <c r="L37" i="19"/>
  <c r="M37" i="19"/>
  <c r="L65" i="19"/>
  <c r="M65" i="19"/>
  <c r="L86" i="19"/>
  <c r="M86" i="19"/>
  <c r="L280" i="19"/>
  <c r="M280" i="19"/>
  <c r="L310" i="19"/>
  <c r="M310" i="19"/>
  <c r="L297" i="19"/>
  <c r="M297" i="19"/>
  <c r="L263" i="19"/>
  <c r="M263" i="19"/>
  <c r="L304" i="19"/>
  <c r="M304" i="19"/>
  <c r="J157" i="19"/>
  <c r="J58" i="19"/>
  <c r="J259" i="19"/>
  <c r="J68" i="19"/>
  <c r="J15" i="19"/>
  <c r="J242" i="19"/>
  <c r="J246" i="19"/>
  <c r="J198" i="19"/>
  <c r="J261" i="19"/>
  <c r="J27" i="19"/>
  <c r="J128" i="19"/>
  <c r="J6" i="19"/>
  <c r="K304" i="19"/>
  <c r="I221" i="19"/>
  <c r="U27" i="19" l="1"/>
  <c r="S27" i="19"/>
  <c r="O27" i="19"/>
  <c r="R27" i="19"/>
  <c r="V27" i="19"/>
  <c r="P27" i="19"/>
  <c r="U157" i="19"/>
  <c r="S157" i="19"/>
  <c r="V157" i="19"/>
  <c r="O157" i="19"/>
  <c r="R157" i="19"/>
  <c r="P157" i="19"/>
  <c r="V261" i="19"/>
  <c r="S261" i="19"/>
  <c r="R261" i="19"/>
  <c r="U261" i="19"/>
  <c r="P261" i="19"/>
  <c r="O261" i="19"/>
  <c r="V198" i="19"/>
  <c r="R198" i="19"/>
  <c r="U198" i="19"/>
  <c r="P198" i="19"/>
  <c r="O198" i="19"/>
  <c r="S198" i="19"/>
  <c r="V246" i="19"/>
  <c r="U246" i="19"/>
  <c r="R246" i="19"/>
  <c r="S246" i="19"/>
  <c r="P246" i="19"/>
  <c r="O246" i="19"/>
  <c r="U15" i="19"/>
  <c r="S15" i="19"/>
  <c r="V15" i="19"/>
  <c r="O15" i="19"/>
  <c r="R15" i="19"/>
  <c r="P15" i="19"/>
  <c r="U242" i="19"/>
  <c r="V242" i="19"/>
  <c r="S242" i="19"/>
  <c r="P242" i="19"/>
  <c r="R242" i="19"/>
  <c r="O242" i="19"/>
  <c r="V259" i="19"/>
  <c r="U259" i="19"/>
  <c r="S259" i="19"/>
  <c r="R259" i="19"/>
  <c r="P259" i="19"/>
  <c r="O259" i="19"/>
  <c r="S58" i="19"/>
  <c r="V58" i="19"/>
  <c r="U58" i="19"/>
  <c r="R58" i="19"/>
  <c r="O58" i="19"/>
  <c r="P58" i="19"/>
  <c r="L27" i="19"/>
  <c r="M27" i="19"/>
  <c r="L261" i="19"/>
  <c r="M261" i="19"/>
  <c r="L198" i="19"/>
  <c r="M198" i="19"/>
  <c r="L246" i="19"/>
  <c r="M246" i="19"/>
  <c r="L242" i="19"/>
  <c r="M242" i="19"/>
  <c r="L157" i="19"/>
  <c r="M157" i="19"/>
  <c r="L259" i="19"/>
  <c r="M259" i="19"/>
  <c r="L15" i="19"/>
  <c r="M15" i="19"/>
  <c r="L58" i="19"/>
  <c r="M58" i="19"/>
  <c r="I3" i="19"/>
  <c r="B11" i="12" s="1"/>
  <c r="B12" i="12" s="1"/>
  <c r="K1" i="19" s="1"/>
  <c r="J221" i="19"/>
  <c r="J3" i="19" s="1"/>
  <c r="K246" i="19"/>
  <c r="K198" i="19"/>
  <c r="K15" i="19"/>
  <c r="K259" i="19"/>
  <c r="K27" i="19"/>
  <c r="K261" i="19"/>
  <c r="K242" i="19"/>
  <c r="K157" i="19"/>
  <c r="K58" i="19"/>
  <c r="K128" i="19" l="1"/>
  <c r="K201" i="19"/>
  <c r="K229" i="19"/>
  <c r="K306" i="19"/>
  <c r="K175" i="19"/>
  <c r="K59" i="19"/>
  <c r="K88" i="19"/>
  <c r="K248" i="19"/>
  <c r="K191" i="19"/>
  <c r="K227" i="19"/>
  <c r="K64" i="19"/>
  <c r="K18" i="19"/>
  <c r="K200" i="19"/>
  <c r="K55" i="19"/>
  <c r="L55" i="19" s="1"/>
  <c r="M55" i="19" s="1"/>
  <c r="K230" i="19"/>
  <c r="K137" i="19"/>
  <c r="L137" i="19" s="1"/>
  <c r="M137" i="19" s="1"/>
  <c r="B9" i="12"/>
  <c r="B14" i="12" s="1"/>
  <c r="L230" i="19" l="1"/>
  <c r="M230" i="19" s="1"/>
  <c r="L128" i="19"/>
  <c r="M128" i="19" s="1"/>
  <c r="L175" i="19"/>
  <c r="M175" i="19" s="1"/>
  <c r="K106" i="19"/>
  <c r="K238" i="19"/>
  <c r="K143" i="19"/>
  <c r="K218" i="19"/>
  <c r="K266" i="19"/>
  <c r="K155" i="19"/>
  <c r="K63" i="19"/>
  <c r="K223" i="19"/>
  <c r="K122" i="19"/>
  <c r="K104" i="19"/>
  <c r="K17" i="19"/>
  <c r="K16" i="19"/>
  <c r="K176" i="19"/>
  <c r="K273" i="19"/>
  <c r="K186" i="19"/>
  <c r="K50" i="19"/>
  <c r="K150" i="19"/>
  <c r="K19" i="19"/>
  <c r="K130" i="19"/>
  <c r="K7" i="19"/>
  <c r="K154" i="19"/>
  <c r="K96" i="19"/>
  <c r="K125" i="19"/>
  <c r="K83" i="19"/>
  <c r="K236" i="19"/>
  <c r="K267" i="19"/>
  <c r="K205" i="19"/>
  <c r="K32" i="19"/>
  <c r="K4" i="19"/>
  <c r="L4" i="19" s="1"/>
  <c r="M4" i="19" s="1"/>
  <c r="K151" i="19"/>
  <c r="K43" i="19"/>
  <c r="K171" i="19"/>
  <c r="K84" i="19"/>
  <c r="K115" i="19"/>
  <c r="K293" i="19"/>
  <c r="K161" i="19"/>
  <c r="K315" i="19"/>
  <c r="K29" i="19"/>
  <c r="L29" i="19" s="1"/>
  <c r="M29" i="19" s="1"/>
  <c r="K318" i="19"/>
  <c r="K311" i="19"/>
  <c r="K208" i="19"/>
  <c r="K24" i="19"/>
  <c r="K284" i="19"/>
  <c r="K168" i="19"/>
  <c r="K42" i="19"/>
  <c r="K158" i="19"/>
  <c r="K287" i="19"/>
  <c r="K280" i="19"/>
  <c r="K250" i="19"/>
  <c r="K45" i="19"/>
  <c r="K74" i="19"/>
  <c r="K310" i="19"/>
  <c r="K85" i="19"/>
  <c r="K94" i="19"/>
  <c r="K301" i="19"/>
  <c r="K272" i="19"/>
  <c r="K298" i="19"/>
  <c r="K28" i="19"/>
  <c r="K87" i="19"/>
  <c r="K260" i="19"/>
  <c r="K165" i="19"/>
  <c r="K194" i="19"/>
  <c r="K234" i="19"/>
  <c r="K288" i="19"/>
  <c r="K117" i="19"/>
  <c r="K160" i="19"/>
  <c r="K313" i="19"/>
  <c r="K222" i="19"/>
  <c r="K249" i="19"/>
  <c r="K193" i="19"/>
  <c r="K54" i="19"/>
  <c r="K36" i="19"/>
  <c r="K163" i="19"/>
  <c r="K188" i="19"/>
  <c r="K9" i="19"/>
  <c r="K312" i="19"/>
  <c r="K6" i="19"/>
  <c r="K316" i="19"/>
  <c r="L316" i="19" s="1"/>
  <c r="M316" i="19" s="1"/>
  <c r="K25" i="19"/>
  <c r="K235" i="19"/>
  <c r="K203" i="19"/>
  <c r="K265" i="19"/>
  <c r="L265" i="19" s="1"/>
  <c r="M265" i="19" s="1"/>
  <c r="K271" i="19"/>
  <c r="K252" i="19"/>
  <c r="K147" i="19"/>
  <c r="K214" i="19"/>
  <c r="K86" i="19"/>
  <c r="K305" i="19"/>
  <c r="L305" i="19" s="1"/>
  <c r="M305" i="19" s="1"/>
  <c r="K68" i="19"/>
  <c r="K56" i="19"/>
  <c r="K100" i="19"/>
  <c r="K89" i="19"/>
  <c r="K254" i="19"/>
  <c r="K52" i="19"/>
  <c r="K209" i="19"/>
  <c r="K139" i="19"/>
  <c r="K275" i="19"/>
  <c r="K10" i="19"/>
  <c r="K314" i="19"/>
  <c r="K237" i="19"/>
  <c r="K182" i="19"/>
  <c r="K264" i="19"/>
  <c r="K239" i="19"/>
  <c r="L239" i="19" s="1"/>
  <c r="M239" i="19" s="1"/>
  <c r="K225" i="19"/>
  <c r="K57" i="19"/>
  <c r="K20" i="19"/>
  <c r="K257" i="19"/>
  <c r="L257" i="19" s="1"/>
  <c r="M257" i="19" s="1"/>
  <c r="K144" i="19"/>
  <c r="K90" i="19"/>
  <c r="K48" i="19"/>
  <c r="K127" i="19"/>
  <c r="K107" i="19"/>
  <c r="K206" i="19"/>
  <c r="K308" i="19"/>
  <c r="K26" i="19"/>
  <c r="K149" i="19"/>
  <c r="K177" i="19"/>
  <c r="L177" i="19" s="1"/>
  <c r="M177" i="19" s="1"/>
  <c r="K274" i="19"/>
  <c r="K159" i="19"/>
  <c r="L159" i="19" s="1"/>
  <c r="M159" i="19" s="1"/>
  <c r="K111" i="19"/>
  <c r="K268" i="19"/>
  <c r="K210" i="19"/>
  <c r="K241" i="19"/>
  <c r="K213" i="19"/>
  <c r="K180" i="19"/>
  <c r="K207" i="19"/>
  <c r="K67" i="19"/>
  <c r="L67" i="19" s="1"/>
  <c r="M67" i="19" s="1"/>
  <c r="K145" i="19"/>
  <c r="K167" i="19"/>
  <c r="K105" i="19"/>
  <c r="K232" i="19"/>
  <c r="K219" i="19"/>
  <c r="K121" i="19"/>
  <c r="K134" i="19"/>
  <c r="K80" i="19"/>
  <c r="K228" i="19"/>
  <c r="K152" i="19"/>
  <c r="K136" i="19"/>
  <c r="K217" i="19"/>
  <c r="K91" i="19"/>
  <c r="L91" i="19" s="1"/>
  <c r="M91" i="19" s="1"/>
  <c r="K184" i="19"/>
  <c r="K77" i="19"/>
  <c r="K62" i="19"/>
  <c r="K211" i="19"/>
  <c r="K255" i="19"/>
  <c r="K226" i="19"/>
  <c r="K233" i="19"/>
  <c r="K290" i="19"/>
  <c r="K299" i="19"/>
  <c r="K148" i="19"/>
  <c r="K292" i="19"/>
  <c r="L292" i="19" s="1"/>
  <c r="M292" i="19" s="1"/>
  <c r="K13" i="19"/>
  <c r="K12" i="19"/>
  <c r="K31" i="19"/>
  <c r="K129" i="19"/>
  <c r="K220" i="19"/>
  <c r="K285" i="19"/>
  <c r="K300" i="19"/>
  <c r="K93" i="19"/>
  <c r="K131" i="19"/>
  <c r="K286" i="19"/>
  <c r="K189" i="19"/>
  <c r="K169" i="19"/>
  <c r="K113" i="19"/>
  <c r="L113" i="19" s="1"/>
  <c r="M113" i="19" s="1"/>
  <c r="K23" i="19"/>
  <c r="K174" i="19"/>
  <c r="K279" i="19"/>
  <c r="K276" i="19"/>
  <c r="K156" i="19"/>
  <c r="K133" i="19"/>
  <c r="L133" i="19" s="1"/>
  <c r="M133" i="19" s="1"/>
  <c r="K281" i="19"/>
  <c r="K120" i="19"/>
  <c r="K240" i="19"/>
  <c r="K102" i="19"/>
  <c r="L102" i="19" s="1"/>
  <c r="M102" i="19" s="1"/>
  <c r="K103" i="19"/>
  <c r="K244" i="19"/>
  <c r="K307" i="19"/>
  <c r="K197" i="19"/>
  <c r="K294" i="19"/>
  <c r="K70" i="19"/>
  <c r="K282" i="19"/>
  <c r="L282" i="19" s="1"/>
  <c r="M282" i="19" s="1"/>
  <c r="K263" i="19"/>
  <c r="K66" i="19"/>
  <c r="K8" i="19"/>
  <c r="K164" i="19"/>
  <c r="L164" i="19" s="1"/>
  <c r="M164" i="19" s="1"/>
  <c r="K72" i="19"/>
  <c r="K46" i="19"/>
  <c r="K114" i="19"/>
  <c r="L114" i="19" s="1"/>
  <c r="M114" i="19" s="1"/>
  <c r="K97" i="19"/>
  <c r="K38" i="19"/>
  <c r="K37" i="19"/>
  <c r="K123" i="19"/>
  <c r="K44" i="19"/>
  <c r="K183" i="19"/>
  <c r="K60" i="19"/>
  <c r="K142" i="19"/>
  <c r="K22" i="19"/>
  <c r="K98" i="19"/>
  <c r="K101" i="19"/>
  <c r="K99" i="19"/>
  <c r="K170" i="19"/>
  <c r="L170" i="19" s="1"/>
  <c r="M170" i="19" s="1"/>
  <c r="K108" i="19"/>
  <c r="L108" i="19" s="1"/>
  <c r="M108" i="19" s="1"/>
  <c r="K76" i="19"/>
  <c r="K71" i="19"/>
  <c r="K34" i="19"/>
  <c r="K278" i="19"/>
  <c r="K251" i="19"/>
  <c r="K178" i="19"/>
  <c r="K253" i="19"/>
  <c r="K215" i="19"/>
  <c r="K40" i="19"/>
  <c r="K92" i="19"/>
  <c r="K173" i="19"/>
  <c r="K78" i="19"/>
  <c r="K49" i="19"/>
  <c r="K95" i="19"/>
  <c r="K296" i="19"/>
  <c r="L296" i="19" s="1"/>
  <c r="M296" i="19" s="1"/>
  <c r="K256" i="19"/>
  <c r="K138" i="19"/>
  <c r="K132" i="19"/>
  <c r="K14" i="19"/>
  <c r="K53" i="19"/>
  <c r="L53" i="19" s="1"/>
  <c r="M53" i="19" s="1"/>
  <c r="K231" i="19"/>
  <c r="K172" i="19"/>
  <c r="K297" i="19"/>
  <c r="K35" i="19"/>
  <c r="K140" i="19"/>
  <c r="K146" i="19"/>
  <c r="K5" i="19"/>
  <c r="K317" i="19"/>
  <c r="K216" i="19"/>
  <c r="K269" i="19"/>
  <c r="L269" i="19" s="1"/>
  <c r="M269" i="19" s="1"/>
  <c r="K69" i="19"/>
  <c r="K112" i="19"/>
  <c r="K30" i="19"/>
  <c r="K116" i="19"/>
  <c r="K81" i="19"/>
  <c r="K39" i="19"/>
  <c r="K185" i="19"/>
  <c r="K303" i="19"/>
  <c r="L303" i="19" s="1"/>
  <c r="M303" i="19" s="1"/>
  <c r="K21" i="19"/>
  <c r="K283" i="19"/>
  <c r="L283" i="19" s="1"/>
  <c r="M283" i="19" s="1"/>
  <c r="K190" i="19"/>
  <c r="K262" i="19"/>
  <c r="L262" i="19" s="1"/>
  <c r="M262" i="19" s="1"/>
  <c r="K291" i="19"/>
  <c r="K11" i="19"/>
  <c r="K195" i="19"/>
  <c r="K162" i="19"/>
  <c r="K33" i="19"/>
  <c r="K79" i="19"/>
  <c r="L79" i="19" s="1"/>
  <c r="M79" i="19" s="1"/>
  <c r="K75" i="19"/>
  <c r="L75" i="19" s="1"/>
  <c r="M75" i="19" s="1"/>
  <c r="K247" i="19"/>
  <c r="K41" i="19"/>
  <c r="K212" i="19"/>
  <c r="K199" i="19"/>
  <c r="K202" i="19"/>
  <c r="K109" i="19"/>
  <c r="K179" i="19"/>
  <c r="K295" i="19"/>
  <c r="L295" i="19" s="1"/>
  <c r="M295" i="19" s="1"/>
  <c r="K309" i="19"/>
  <c r="L309" i="19" s="1"/>
  <c r="M309" i="19" s="1"/>
  <c r="K119" i="19"/>
  <c r="K196" i="19"/>
  <c r="K51" i="19"/>
  <c r="K192" i="19"/>
  <c r="L192" i="19" s="1"/>
  <c r="M192" i="19" s="1"/>
  <c r="K258" i="19"/>
  <c r="K153" i="19"/>
  <c r="K61" i="19"/>
  <c r="K187" i="19"/>
  <c r="K135" i="19"/>
  <c r="L135" i="19" s="1"/>
  <c r="M135" i="19" s="1"/>
  <c r="K243" i="19"/>
  <c r="L243" i="19" s="1"/>
  <c r="M243" i="19" s="1"/>
  <c r="K302" i="19"/>
  <c r="K124" i="19"/>
  <c r="K221" i="19"/>
  <c r="L221" i="19" s="1"/>
  <c r="M221" i="19" s="1"/>
  <c r="K245" i="19"/>
  <c r="K166" i="19"/>
  <c r="L166" i="19" s="1"/>
  <c r="M166" i="19" s="1"/>
  <c r="K126" i="19"/>
  <c r="L126" i="19" s="1"/>
  <c r="M126" i="19" s="1"/>
  <c r="K277" i="19"/>
  <c r="K65" i="19"/>
  <c r="K118" i="19"/>
  <c r="K181" i="19"/>
  <c r="K141" i="19"/>
  <c r="K270" i="19"/>
  <c r="L270" i="19" s="1"/>
  <c r="M270" i="19" s="1"/>
  <c r="K204" i="19"/>
  <c r="K82" i="19"/>
  <c r="K289" i="19"/>
  <c r="K47" i="19"/>
  <c r="L47" i="19" s="1"/>
  <c r="M47" i="19" s="1"/>
  <c r="K224" i="19"/>
  <c r="K110" i="19"/>
  <c r="K73" i="19"/>
  <c r="L277" i="19" l="1"/>
  <c r="M277" i="19" s="1"/>
  <c r="L68" i="19"/>
  <c r="M68" i="19" s="1"/>
  <c r="L258" i="19"/>
  <c r="M258" i="19" s="1"/>
  <c r="L266" i="19"/>
  <c r="M266" i="19" s="1"/>
  <c r="L240" i="19"/>
  <c r="M240" i="19" s="1"/>
  <c r="L6" i="19"/>
  <c r="M6" i="19" s="1"/>
  <c r="L142" i="19"/>
  <c r="M142" i="19" s="1"/>
  <c r="L288" i="19"/>
  <c r="M288" i="19" s="1"/>
  <c r="L48" i="19"/>
  <c r="M48" i="19" s="1"/>
  <c r="L250" i="19"/>
  <c r="M250" i="19" s="1"/>
  <c r="L196" i="19"/>
  <c r="M196" i="19" s="1"/>
  <c r="L185" i="19"/>
  <c r="M185" i="19" s="1"/>
  <c r="L71" i="19"/>
  <c r="M71" i="19" s="1"/>
  <c r="L123" i="19"/>
  <c r="M123" i="19" s="1"/>
  <c r="L70" i="19"/>
  <c r="M70" i="19" s="1"/>
  <c r="L219" i="19"/>
  <c r="M219" i="19" s="1"/>
  <c r="L139" i="19"/>
  <c r="M139" i="19" s="1"/>
  <c r="L252" i="19"/>
  <c r="M252" i="19" s="1"/>
  <c r="L36" i="19"/>
  <c r="M36" i="19" s="1"/>
  <c r="L161" i="19"/>
  <c r="M161" i="19" s="1"/>
  <c r="L106" i="19"/>
  <c r="M106" i="19" s="1"/>
  <c r="L110" i="19"/>
  <c r="M110" i="19" s="1"/>
  <c r="L178" i="19"/>
  <c r="M178" i="19" s="1"/>
  <c r="L180" i="19"/>
  <c r="M180" i="19" s="1"/>
  <c r="L208" i="19"/>
  <c r="M208" i="19" s="1"/>
  <c r="L131" i="19"/>
  <c r="M131" i="19" s="1"/>
  <c r="L212" i="19"/>
  <c r="M212" i="19" s="1"/>
  <c r="L60" i="19"/>
  <c r="M60" i="19" s="1"/>
  <c r="L314" i="19"/>
  <c r="M314" i="19" s="1"/>
  <c r="L74" i="19"/>
  <c r="M74" i="19" s="1"/>
  <c r="L41" i="19"/>
  <c r="M41" i="19" s="1"/>
  <c r="L267" i="19"/>
  <c r="M267" i="19" s="1"/>
  <c r="L247" i="19"/>
  <c r="M247" i="19" s="1"/>
  <c r="L285" i="19"/>
  <c r="M285" i="19" s="1"/>
  <c r="L204" i="19"/>
  <c r="M204" i="19" s="1"/>
  <c r="L124" i="19"/>
  <c r="M124" i="19" s="1"/>
  <c r="L119" i="19"/>
  <c r="M119" i="19" s="1"/>
  <c r="L35" i="19"/>
  <c r="M35" i="19" s="1"/>
  <c r="L78" i="19"/>
  <c r="M78" i="19" s="1"/>
  <c r="L76" i="19"/>
  <c r="M76" i="19" s="1"/>
  <c r="L294" i="19"/>
  <c r="M294" i="19" s="1"/>
  <c r="L209" i="19"/>
  <c r="M209" i="19" s="1"/>
  <c r="L271" i="19"/>
  <c r="M271" i="19" s="1"/>
  <c r="L54" i="19"/>
  <c r="M54" i="19" s="1"/>
  <c r="L87" i="19"/>
  <c r="M87" i="19" s="1"/>
  <c r="L287" i="19"/>
  <c r="M287" i="19" s="1"/>
  <c r="L293" i="19"/>
  <c r="M293" i="19" s="1"/>
  <c r="L83" i="19"/>
  <c r="M83" i="19" s="1"/>
  <c r="L16" i="19"/>
  <c r="M16" i="19" s="1"/>
  <c r="L132" i="19"/>
  <c r="M132" i="19" s="1"/>
  <c r="L206" i="19"/>
  <c r="M206" i="19" s="1"/>
  <c r="L8" i="19"/>
  <c r="M8" i="19" s="1"/>
  <c r="L50" i="19"/>
  <c r="M50" i="19" s="1"/>
  <c r="L21" i="19"/>
  <c r="M21" i="19" s="1"/>
  <c r="L226" i="19"/>
  <c r="M226" i="19" s="1"/>
  <c r="L147" i="19"/>
  <c r="M147" i="19" s="1"/>
  <c r="L315" i="19"/>
  <c r="M315" i="19" s="1"/>
  <c r="L173" i="19"/>
  <c r="M173" i="19" s="1"/>
  <c r="L31" i="19"/>
  <c r="M31" i="19" s="1"/>
  <c r="L274" i="19"/>
  <c r="M274" i="19" s="1"/>
  <c r="L20" i="19"/>
  <c r="M20" i="19" s="1"/>
  <c r="L52" i="19"/>
  <c r="M52" i="19" s="1"/>
  <c r="L115" i="19"/>
  <c r="M115" i="19" s="1"/>
  <c r="L125" i="19"/>
  <c r="M125" i="19" s="1"/>
  <c r="L311" i="19"/>
  <c r="M311" i="19" s="1"/>
  <c r="L281" i="19"/>
  <c r="M281" i="19" s="1"/>
  <c r="L245" i="19"/>
  <c r="M245" i="19" s="1"/>
  <c r="L300" i="19"/>
  <c r="M300" i="19" s="1"/>
  <c r="L188" i="19"/>
  <c r="M188" i="19" s="1"/>
  <c r="L90" i="19"/>
  <c r="M90" i="19" s="1"/>
  <c r="L163" i="19"/>
  <c r="M163" i="19" s="1"/>
  <c r="L307" i="19"/>
  <c r="M307" i="19" s="1"/>
  <c r="L203" i="19"/>
  <c r="M203" i="19" s="1"/>
  <c r="L249" i="19"/>
  <c r="M249" i="19" s="1"/>
  <c r="L42" i="19"/>
  <c r="M42" i="19" s="1"/>
  <c r="L104" i="19"/>
  <c r="M104" i="19" s="1"/>
  <c r="L153" i="19"/>
  <c r="M153" i="19" s="1"/>
  <c r="L107" i="19"/>
  <c r="M107" i="19" s="1"/>
  <c r="L150" i="19"/>
  <c r="M150" i="19" s="1"/>
  <c r="L256" i="19"/>
  <c r="M256" i="19" s="1"/>
  <c r="L80" i="19"/>
  <c r="M80" i="19" s="1"/>
  <c r="L205" i="19"/>
  <c r="M205" i="19" s="1"/>
  <c r="L5" i="19"/>
  <c r="M5" i="19" s="1"/>
  <c r="L210" i="19"/>
  <c r="M210" i="19" s="1"/>
  <c r="L51" i="19"/>
  <c r="M51" i="19" s="1"/>
  <c r="L44" i="19"/>
  <c r="M44" i="19" s="1"/>
  <c r="L273" i="19"/>
  <c r="M273" i="19" s="1"/>
  <c r="L174" i="19"/>
  <c r="M174" i="19" s="1"/>
  <c r="L116" i="19"/>
  <c r="M116" i="19" s="1"/>
  <c r="L30" i="19"/>
  <c r="M30" i="19" s="1"/>
  <c r="L231" i="19"/>
  <c r="M231" i="19" s="1"/>
  <c r="L40" i="19"/>
  <c r="M40" i="19" s="1"/>
  <c r="L244" i="19"/>
  <c r="M244" i="19" s="1"/>
  <c r="L13" i="19"/>
  <c r="M13" i="19" s="1"/>
  <c r="L149" i="19"/>
  <c r="M149" i="19" s="1"/>
  <c r="L235" i="19"/>
  <c r="M235" i="19" s="1"/>
  <c r="L222" i="19"/>
  <c r="M222" i="19" s="1"/>
  <c r="L272" i="19"/>
  <c r="M272" i="19" s="1"/>
  <c r="L171" i="19"/>
  <c r="M171" i="19" s="1"/>
  <c r="L154" i="19"/>
  <c r="M154" i="19" s="1"/>
  <c r="L237" i="19"/>
  <c r="M237" i="19" s="1"/>
  <c r="L66" i="19"/>
  <c r="M66" i="19" s="1"/>
  <c r="L127" i="19"/>
  <c r="M127" i="19" s="1"/>
  <c r="L214" i="19"/>
  <c r="M214" i="19" s="1"/>
  <c r="L146" i="19"/>
  <c r="M146" i="19" s="1"/>
  <c r="L268" i="19"/>
  <c r="M268" i="19" s="1"/>
  <c r="L238" i="19"/>
  <c r="M238" i="19" s="1"/>
  <c r="L81" i="19"/>
  <c r="M81" i="19" s="1"/>
  <c r="L172" i="19"/>
  <c r="M172" i="19" s="1"/>
  <c r="L179" i="19"/>
  <c r="M179" i="19" s="1"/>
  <c r="L11" i="19"/>
  <c r="M11" i="19" s="1"/>
  <c r="L112" i="19"/>
  <c r="M112" i="19" s="1"/>
  <c r="L101" i="19"/>
  <c r="M101" i="19" s="1"/>
  <c r="L46" i="19"/>
  <c r="M46" i="19" s="1"/>
  <c r="L103" i="19"/>
  <c r="M103" i="19" s="1"/>
  <c r="L217" i="19"/>
  <c r="M217" i="19" s="1"/>
  <c r="L100" i="19"/>
  <c r="M100" i="19" s="1"/>
  <c r="L25" i="19"/>
  <c r="M25" i="19" s="1"/>
  <c r="L313" i="19"/>
  <c r="M313" i="19" s="1"/>
  <c r="L301" i="19"/>
  <c r="M301" i="19" s="1"/>
  <c r="L284" i="19"/>
  <c r="M284" i="19" s="1"/>
  <c r="L43" i="19"/>
  <c r="M43" i="19" s="1"/>
  <c r="L223" i="19"/>
  <c r="M223" i="19" s="1"/>
  <c r="L286" i="19"/>
  <c r="M286" i="19" s="1"/>
  <c r="L85" i="19"/>
  <c r="M85" i="19" s="1"/>
  <c r="L32" i="19"/>
  <c r="M32" i="19" s="1"/>
  <c r="L241" i="19"/>
  <c r="M241" i="19" s="1"/>
  <c r="L318" i="19"/>
  <c r="M318" i="19" s="1"/>
  <c r="L10" i="19"/>
  <c r="M10" i="19" s="1"/>
  <c r="L186" i="19"/>
  <c r="M186" i="19" s="1"/>
  <c r="L95" i="19"/>
  <c r="M95" i="19" s="1"/>
  <c r="L73" i="19"/>
  <c r="M73" i="19" s="1"/>
  <c r="L61" i="19"/>
  <c r="M61" i="19" s="1"/>
  <c r="L291" i="19"/>
  <c r="M291" i="19" s="1"/>
  <c r="L253" i="19"/>
  <c r="M253" i="19" s="1"/>
  <c r="L72" i="19"/>
  <c r="M72" i="19" s="1"/>
  <c r="L148" i="19"/>
  <c r="M148" i="19" s="1"/>
  <c r="L136" i="19"/>
  <c r="M136" i="19" s="1"/>
  <c r="L308" i="19"/>
  <c r="M308" i="19" s="1"/>
  <c r="L264" i="19"/>
  <c r="M264" i="19" s="1"/>
  <c r="L56" i="19"/>
  <c r="M56" i="19" s="1"/>
  <c r="L151" i="19"/>
  <c r="M151" i="19" s="1"/>
  <c r="L130" i="19"/>
  <c r="M130" i="19" s="1"/>
  <c r="L63" i="19"/>
  <c r="M63" i="19" s="1"/>
  <c r="K3" i="19" a="1"/>
  <c r="K3" i="19" s="1"/>
  <c r="M3" i="19" l="1" a="1"/>
  <c r="M3" i="19" s="1"/>
  <c r="L3" i="19" a="1"/>
  <c r="L3" i="19" s="1"/>
  <c r="N304" i="19" l="1"/>
  <c r="N230" i="19"/>
  <c r="O230" i="19" s="1"/>
  <c r="P230" i="19" s="1"/>
  <c r="N106" i="19"/>
  <c r="O106" i="19" s="1"/>
  <c r="P106" i="19" s="1"/>
  <c r="N195" i="19"/>
  <c r="N276" i="19"/>
  <c r="N268" i="19"/>
  <c r="O268" i="19" s="1"/>
  <c r="P268" i="19" s="1"/>
  <c r="N257" i="19"/>
  <c r="O257" i="19" s="1"/>
  <c r="P257" i="19" s="1"/>
  <c r="N289" i="19"/>
  <c r="N192" i="19"/>
  <c r="O192" i="19" s="1"/>
  <c r="P192" i="19" s="1"/>
  <c r="N118" i="19"/>
  <c r="N67" i="19"/>
  <c r="O67" i="19" s="1"/>
  <c r="P67" i="19" s="1"/>
  <c r="N134" i="19"/>
  <c r="N203" i="19"/>
  <c r="O203" i="19" s="1"/>
  <c r="P203" i="19" s="1"/>
  <c r="N295" i="19"/>
  <c r="O295" i="19" s="1"/>
  <c r="P295" i="19" s="1"/>
  <c r="N262" i="19"/>
  <c r="O262" i="19" s="1"/>
  <c r="P262" i="19" s="1"/>
  <c r="N12" i="19"/>
  <c r="N209" i="19"/>
  <c r="O209" i="19" s="1"/>
  <c r="P209" i="19" s="1"/>
  <c r="N140" i="19"/>
  <c r="N309" i="19"/>
  <c r="O309" i="19" s="1"/>
  <c r="P309" i="19" s="1"/>
  <c r="N265" i="19"/>
  <c r="O265" i="19" s="1"/>
  <c r="P265" i="19" s="1"/>
  <c r="N9" i="19"/>
  <c r="N159" i="19"/>
  <c r="O159" i="19" s="1"/>
  <c r="P159" i="19" s="1"/>
  <c r="N292" i="19"/>
  <c r="O292" i="19" s="1"/>
  <c r="P292" i="19" s="1"/>
  <c r="N69" i="19"/>
  <c r="N215" i="19"/>
  <c r="N148" i="19"/>
  <c r="O148" i="19" s="1"/>
  <c r="P148" i="19" s="1"/>
  <c r="N221" i="19"/>
  <c r="O221" i="19" s="1"/>
  <c r="P221" i="19" s="1"/>
  <c r="N210" i="19"/>
  <c r="O210" i="19" s="1"/>
  <c r="P210" i="19" s="1"/>
  <c r="N286" i="19"/>
  <c r="O286" i="19" s="1"/>
  <c r="P286" i="19" s="1"/>
  <c r="N138" i="19"/>
  <c r="N114" i="19"/>
  <c r="O114" i="19" s="1"/>
  <c r="P114" i="19" s="1"/>
  <c r="N300" i="19"/>
  <c r="O300" i="19" s="1"/>
  <c r="P300" i="19" s="1"/>
  <c r="N170" i="19"/>
  <c r="O170" i="19" s="1"/>
  <c r="P170" i="19" s="1"/>
  <c r="N312" i="19"/>
  <c r="N75" i="19"/>
  <c r="O75" i="19" s="1"/>
  <c r="P75" i="19" s="1"/>
  <c r="N91" i="19"/>
  <c r="O91" i="19" s="1"/>
  <c r="P91" i="19" s="1"/>
  <c r="N92" i="19"/>
  <c r="N102" i="19"/>
  <c r="O102" i="19" s="1"/>
  <c r="P102" i="19" s="1"/>
  <c r="N239" i="19"/>
  <c r="O239" i="19" s="1"/>
  <c r="P239" i="19" s="1"/>
  <c r="N177" i="19"/>
  <c r="O177" i="19" s="1"/>
  <c r="P177" i="19" s="1"/>
  <c r="N99" i="19"/>
  <c r="N303" i="19"/>
  <c r="O303" i="19" s="1"/>
  <c r="P303" i="19" s="1"/>
  <c r="N83" i="19"/>
  <c r="O83" i="19" s="1"/>
  <c r="P83" i="19" s="1"/>
  <c r="N48" i="19"/>
  <c r="O48" i="19" s="1"/>
  <c r="P48" i="19" s="1"/>
  <c r="N269" i="19"/>
  <c r="O269" i="19" s="1"/>
  <c r="P269" i="19" s="1"/>
  <c r="N270" i="19"/>
  <c r="O270" i="19" s="1"/>
  <c r="P270" i="19" s="1"/>
  <c r="N232" i="19"/>
  <c r="N135" i="19"/>
  <c r="O135" i="19" s="1"/>
  <c r="P135" i="19" s="1"/>
  <c r="N56" i="19"/>
  <c r="O56" i="19" s="1"/>
  <c r="P56" i="19" s="1"/>
  <c r="N113" i="19"/>
  <c r="O113" i="19" s="1"/>
  <c r="P113" i="19" s="1"/>
  <c r="N47" i="19"/>
  <c r="O47" i="19" s="1"/>
  <c r="P47" i="19" s="1"/>
  <c r="N228" i="19"/>
  <c r="N126" i="19"/>
  <c r="O126" i="19" s="1"/>
  <c r="P126" i="19" s="1"/>
  <c r="N79" i="19"/>
  <c r="O79" i="19" s="1"/>
  <c r="P79" i="19" s="1"/>
  <c r="N243" i="19"/>
  <c r="O243" i="19" s="1"/>
  <c r="P243" i="19" s="1"/>
  <c r="N182" i="19"/>
  <c r="N283" i="19"/>
  <c r="O283" i="19" s="1"/>
  <c r="P283" i="19" s="1"/>
  <c r="N53" i="19"/>
  <c r="O53" i="19" s="1"/>
  <c r="P53" i="19" s="1"/>
  <c r="N166" i="19"/>
  <c r="O166" i="19" s="1"/>
  <c r="P166" i="19" s="1"/>
  <c r="N57" i="19"/>
  <c r="N46" i="19"/>
  <c r="O46" i="19" s="1"/>
  <c r="P46" i="19" s="1"/>
  <c r="N316" i="19"/>
  <c r="O316" i="19" s="1"/>
  <c r="P316" i="19" s="1"/>
  <c r="N77" i="19"/>
  <c r="N66" i="19"/>
  <c r="O66" i="19" s="1"/>
  <c r="P66" i="19" s="1"/>
  <c r="N120" i="19"/>
  <c r="N38" i="19"/>
  <c r="N103" i="19"/>
  <c r="O103" i="19" s="1"/>
  <c r="P103" i="19" s="1"/>
  <c r="N123" i="19"/>
  <c r="O123" i="19" s="1"/>
  <c r="P123" i="19" s="1"/>
  <c r="N275" i="19"/>
  <c r="N108" i="19"/>
  <c r="O108" i="19" s="1"/>
  <c r="P108" i="19" s="1"/>
  <c r="N111" i="19"/>
  <c r="N263" i="19"/>
  <c r="N296" i="19"/>
  <c r="O296" i="19" s="1"/>
  <c r="P296" i="19" s="1"/>
  <c r="N211" i="19"/>
  <c r="N202" i="19"/>
  <c r="N147" i="19"/>
  <c r="O147" i="19" s="1"/>
  <c r="P147" i="19" s="1"/>
  <c r="N206" i="19"/>
  <c r="O206" i="19" s="1"/>
  <c r="P206" i="19" s="1"/>
  <c r="N130" i="19"/>
  <c r="O130" i="19" s="1"/>
  <c r="P130" i="19" s="1"/>
  <c r="N137" i="19"/>
  <c r="O137" i="19" s="1"/>
  <c r="P137" i="19" s="1"/>
  <c r="N234" i="19"/>
  <c r="N43" i="19"/>
  <c r="O43" i="19" s="1"/>
  <c r="P43" i="19" s="1"/>
  <c r="N208" i="19"/>
  <c r="O208" i="19" s="1"/>
  <c r="P208" i="19" s="1"/>
  <c r="N98" i="19"/>
  <c r="N24" i="19"/>
  <c r="N62" i="19"/>
  <c r="N213" i="19"/>
  <c r="N314" i="19"/>
  <c r="O314" i="19" s="1"/>
  <c r="P314" i="19" s="1"/>
  <c r="N172" i="19"/>
  <c r="O172" i="19" s="1"/>
  <c r="P172" i="19" s="1"/>
  <c r="N193" i="19"/>
  <c r="N124" i="19"/>
  <c r="O124" i="19" s="1"/>
  <c r="P124" i="19" s="1"/>
  <c r="N101" i="19"/>
  <c r="O101" i="19" s="1"/>
  <c r="P101" i="19" s="1"/>
  <c r="N121" i="19"/>
  <c r="N28" i="19"/>
  <c r="N96" i="19"/>
  <c r="N218" i="19"/>
  <c r="N308" i="19"/>
  <c r="O308" i="19" s="1"/>
  <c r="P308" i="19" s="1"/>
  <c r="N85" i="19"/>
  <c r="O85" i="19" s="1"/>
  <c r="P85" i="19" s="1"/>
  <c r="N299" i="19"/>
  <c r="N198" i="19"/>
  <c r="N151" i="19"/>
  <c r="O151" i="19" s="1"/>
  <c r="P151" i="19" s="1"/>
  <c r="N22" i="19"/>
  <c r="N216" i="19"/>
  <c r="N117" i="19"/>
  <c r="N272" i="19"/>
  <c r="O272" i="19" s="1"/>
  <c r="P272" i="19" s="1"/>
  <c r="N25" i="19"/>
  <c r="O25" i="19" s="1"/>
  <c r="P25" i="19" s="1"/>
  <c r="N153" i="19"/>
  <c r="O153" i="19" s="1"/>
  <c r="P153" i="19" s="1"/>
  <c r="N78" i="19"/>
  <c r="O78" i="19" s="1"/>
  <c r="P78" i="19" s="1"/>
  <c r="N251" i="19"/>
  <c r="N158" i="19"/>
  <c r="N240" i="19"/>
  <c r="O240" i="19" s="1"/>
  <c r="P240" i="19" s="1"/>
  <c r="N279" i="19"/>
  <c r="N87" i="19"/>
  <c r="O87" i="19" s="1"/>
  <c r="P87" i="19" s="1"/>
  <c r="N58" i="19"/>
  <c r="N225" i="19"/>
  <c r="N197" i="19"/>
  <c r="N204" i="19"/>
  <c r="O204" i="19" s="1"/>
  <c r="P204" i="19" s="1"/>
  <c r="N51" i="19"/>
  <c r="O51" i="19" s="1"/>
  <c r="P51" i="19" s="1"/>
  <c r="N207" i="19"/>
  <c r="N169" i="19"/>
  <c r="N291" i="19"/>
  <c r="O291" i="19" s="1"/>
  <c r="P291" i="19" s="1"/>
  <c r="N219" i="19"/>
  <c r="O219" i="19" s="1"/>
  <c r="P219" i="19" s="1"/>
  <c r="N23" i="19"/>
  <c r="N49" i="19"/>
  <c r="N277" i="19"/>
  <c r="O277" i="19" s="1"/>
  <c r="P277" i="19" s="1"/>
  <c r="N132" i="19"/>
  <c r="O132" i="19" s="1"/>
  <c r="P132" i="19" s="1"/>
  <c r="N305" i="19"/>
  <c r="O305" i="19" s="1"/>
  <c r="P305" i="19" s="1"/>
  <c r="N119" i="19"/>
  <c r="O119" i="19" s="1"/>
  <c r="P119" i="19" s="1"/>
  <c r="N33" i="19"/>
  <c r="N174" i="19"/>
  <c r="O174" i="19" s="1"/>
  <c r="P174" i="19" s="1"/>
  <c r="N149" i="19"/>
  <c r="O149" i="19" s="1"/>
  <c r="P149" i="19" s="1"/>
  <c r="N285" i="19"/>
  <c r="O285" i="19" s="1"/>
  <c r="P285" i="19" s="1"/>
  <c r="N7" i="19"/>
  <c r="N237" i="19"/>
  <c r="O237" i="19" s="1"/>
  <c r="P237" i="19" s="1"/>
  <c r="N196" i="19"/>
  <c r="O196" i="19" s="1"/>
  <c r="P196" i="19" s="1"/>
  <c r="N116" i="19"/>
  <c r="O116" i="19" s="1"/>
  <c r="P116" i="19" s="1"/>
  <c r="N244" i="19"/>
  <c r="O244" i="19" s="1"/>
  <c r="P244" i="19" s="1"/>
  <c r="N141" i="19"/>
  <c r="N241" i="19"/>
  <c r="O241" i="19" s="1"/>
  <c r="P241" i="19" s="1"/>
  <c r="N306" i="19"/>
  <c r="N317" i="19"/>
  <c r="N189" i="19"/>
  <c r="N311" i="19"/>
  <c r="O311" i="19" s="1"/>
  <c r="P311" i="19" s="1"/>
  <c r="N11" i="19"/>
  <c r="O11" i="19" s="1"/>
  <c r="P11" i="19" s="1"/>
  <c r="N222" i="19"/>
  <c r="O222" i="19" s="1"/>
  <c r="P222" i="19" s="1"/>
  <c r="N146" i="19"/>
  <c r="O146" i="19" s="1"/>
  <c r="P146" i="19" s="1"/>
  <c r="N44" i="19"/>
  <c r="O44" i="19" s="1"/>
  <c r="P44" i="19" s="1"/>
  <c r="N104" i="19"/>
  <c r="O104" i="19" s="1"/>
  <c r="P104" i="19" s="1"/>
  <c r="N160" i="19"/>
  <c r="N168" i="19"/>
  <c r="N143" i="19"/>
  <c r="N310" i="19"/>
  <c r="N80" i="19"/>
  <c r="O80" i="19" s="1"/>
  <c r="P80" i="19" s="1"/>
  <c r="N115" i="19"/>
  <c r="O115" i="19" s="1"/>
  <c r="P115" i="19" s="1"/>
  <c r="N266" i="19"/>
  <c r="O266" i="19" s="1"/>
  <c r="P266" i="19" s="1"/>
  <c r="N231" i="19"/>
  <c r="O231" i="19" s="1"/>
  <c r="P231" i="19" s="1"/>
  <c r="N72" i="19"/>
  <c r="O72" i="19" s="1"/>
  <c r="P72" i="19" s="1"/>
  <c r="N253" i="19"/>
  <c r="O253" i="19" s="1"/>
  <c r="P253" i="19" s="1"/>
  <c r="N282" i="19"/>
  <c r="O282" i="19" s="1"/>
  <c r="P282" i="19" s="1"/>
  <c r="N37" i="19"/>
  <c r="N142" i="19"/>
  <c r="O142" i="19" s="1"/>
  <c r="P142" i="19" s="1"/>
  <c r="N242" i="19"/>
  <c r="N21" i="19"/>
  <c r="O21" i="19" s="1"/>
  <c r="P21" i="19" s="1"/>
  <c r="N6" i="19"/>
  <c r="O6" i="19" s="1"/>
  <c r="P6" i="19" s="1"/>
  <c r="N30" i="19"/>
  <c r="O30" i="19" s="1"/>
  <c r="P30" i="19" s="1"/>
  <c r="N68" i="19"/>
  <c r="O68" i="19" s="1"/>
  <c r="P68" i="19" s="1"/>
  <c r="N246" i="19"/>
  <c r="N16" i="19"/>
  <c r="O16" i="19" s="1"/>
  <c r="P16" i="19" s="1"/>
  <c r="N18" i="19"/>
  <c r="N205" i="19"/>
  <c r="O205" i="19" s="1"/>
  <c r="P205" i="19" s="1"/>
  <c r="N301" i="19"/>
  <c r="O301" i="19" s="1"/>
  <c r="P301" i="19" s="1"/>
  <c r="N52" i="19"/>
  <c r="O52" i="19" s="1"/>
  <c r="P52" i="19" s="1"/>
  <c r="N162" i="19"/>
  <c r="N90" i="19"/>
  <c r="O90" i="19" s="1"/>
  <c r="P90" i="19" s="1"/>
  <c r="N154" i="19"/>
  <c r="O154" i="19" s="1"/>
  <c r="P154" i="19" s="1"/>
  <c r="N267" i="19"/>
  <c r="O267" i="19" s="1"/>
  <c r="P267" i="19" s="1"/>
  <c r="N223" i="19"/>
  <c r="O223" i="19" s="1"/>
  <c r="P223" i="19" s="1"/>
  <c r="N89" i="19"/>
  <c r="N41" i="19"/>
  <c r="O41" i="19" s="1"/>
  <c r="P41" i="19" s="1"/>
  <c r="N236" i="19"/>
  <c r="N34" i="19"/>
  <c r="N8" i="19"/>
  <c r="O8" i="19" s="1"/>
  <c r="P8" i="19" s="1"/>
  <c r="N4" i="19"/>
  <c r="O4" i="19" s="1"/>
  <c r="P4" i="19" s="1"/>
  <c r="N184" i="19"/>
  <c r="N144" i="19"/>
  <c r="N278" i="19"/>
  <c r="N127" i="19"/>
  <c r="O127" i="19" s="1"/>
  <c r="P127" i="19" s="1"/>
  <c r="N125" i="19"/>
  <c r="O125" i="19" s="1"/>
  <c r="P125" i="19" s="1"/>
  <c r="N212" i="19"/>
  <c r="O212" i="19" s="1"/>
  <c r="P212" i="19" s="1"/>
  <c r="N59" i="19"/>
  <c r="N271" i="19"/>
  <c r="O271" i="19" s="1"/>
  <c r="P271" i="19" s="1"/>
  <c r="N73" i="19"/>
  <c r="O73" i="19" s="1"/>
  <c r="P73" i="19" s="1"/>
  <c r="N178" i="19"/>
  <c r="O178" i="19" s="1"/>
  <c r="P178" i="19" s="1"/>
  <c r="N63" i="19"/>
  <c r="O63" i="19" s="1"/>
  <c r="P63" i="19" s="1"/>
  <c r="N258" i="19"/>
  <c r="O258" i="19" s="1"/>
  <c r="P258" i="19" s="1"/>
  <c r="N122" i="19"/>
  <c r="N194" i="19"/>
  <c r="N260" i="19"/>
  <c r="N201" i="19"/>
  <c r="N110" i="19"/>
  <c r="O110" i="19" s="1"/>
  <c r="P110" i="19" s="1"/>
  <c r="N165" i="19"/>
  <c r="N136" i="19"/>
  <c r="O136" i="19" s="1"/>
  <c r="P136" i="19" s="1"/>
  <c r="N173" i="19"/>
  <c r="O173" i="19" s="1"/>
  <c r="P173" i="19" s="1"/>
  <c r="N281" i="19"/>
  <c r="O281" i="19" s="1"/>
  <c r="P281" i="19" s="1"/>
  <c r="N273" i="19"/>
  <c r="O273" i="19" s="1"/>
  <c r="P273" i="19" s="1"/>
  <c r="N129" i="19"/>
  <c r="N187" i="19"/>
  <c r="N248" i="19"/>
  <c r="N82" i="19"/>
  <c r="N39" i="19"/>
  <c r="N54" i="19"/>
  <c r="O54" i="19" s="1"/>
  <c r="P54" i="19" s="1"/>
  <c r="N250" i="19"/>
  <c r="O250" i="19" s="1"/>
  <c r="P250" i="19" s="1"/>
  <c r="N190" i="19"/>
  <c r="N13" i="19"/>
  <c r="O13" i="19" s="1"/>
  <c r="P13" i="19" s="1"/>
  <c r="N175" i="19"/>
  <c r="O175" i="19" s="1"/>
  <c r="P175" i="19" s="1"/>
  <c r="N199" i="19"/>
  <c r="N81" i="19"/>
  <c r="O81" i="19" s="1"/>
  <c r="P81" i="19" s="1"/>
  <c r="N32" i="19"/>
  <c r="O32" i="19" s="1"/>
  <c r="P32" i="19" s="1"/>
  <c r="N226" i="19"/>
  <c r="O226" i="19" s="1"/>
  <c r="P226" i="19" s="1"/>
  <c r="N161" i="19"/>
  <c r="O161" i="19" s="1"/>
  <c r="P161" i="19" s="1"/>
  <c r="N155" i="19"/>
  <c r="N290" i="19"/>
  <c r="N150" i="19"/>
  <c r="O150" i="19" s="1"/>
  <c r="P150" i="19" s="1"/>
  <c r="N17" i="19"/>
  <c r="N65" i="19"/>
  <c r="N318" i="19"/>
  <c r="O318" i="19" s="1"/>
  <c r="P318" i="19" s="1"/>
  <c r="N107" i="19"/>
  <c r="O107" i="19" s="1"/>
  <c r="P107" i="19" s="1"/>
  <c r="N93" i="19"/>
  <c r="N20" i="19"/>
  <c r="O20" i="19" s="1"/>
  <c r="P20" i="19" s="1"/>
  <c r="N315" i="19"/>
  <c r="O315" i="19" s="1"/>
  <c r="P315" i="19" s="1"/>
  <c r="N61" i="19"/>
  <c r="O61" i="19" s="1"/>
  <c r="P61" i="19" s="1"/>
  <c r="N145" i="19"/>
  <c r="N217" i="19"/>
  <c r="O217" i="19" s="1"/>
  <c r="P217" i="19" s="1"/>
  <c r="N245" i="19"/>
  <c r="O245" i="19" s="1"/>
  <c r="P245" i="19" s="1"/>
  <c r="N224" i="19"/>
  <c r="N95" i="19"/>
  <c r="O95" i="19" s="1"/>
  <c r="P95" i="19" s="1"/>
  <c r="N220" i="19"/>
  <c r="N76" i="19"/>
  <c r="O76" i="19" s="1"/>
  <c r="P76" i="19" s="1"/>
  <c r="N284" i="19"/>
  <c r="O284" i="19" s="1"/>
  <c r="P284" i="19" s="1"/>
  <c r="N100" i="19"/>
  <c r="O100" i="19" s="1"/>
  <c r="P100" i="19" s="1"/>
  <c r="N167" i="19"/>
  <c r="N293" i="19"/>
  <c r="O293" i="19" s="1"/>
  <c r="P293" i="19" s="1"/>
  <c r="N70" i="19"/>
  <c r="O70" i="19" s="1"/>
  <c r="P70" i="19" s="1"/>
  <c r="N254" i="19"/>
  <c r="N14" i="19"/>
  <c r="N176" i="19"/>
  <c r="N297" i="19"/>
  <c r="N105" i="19"/>
  <c r="N26" i="19"/>
  <c r="N227" i="19"/>
  <c r="N88" i="19"/>
  <c r="N71" i="19"/>
  <c r="O71" i="19" s="1"/>
  <c r="P71" i="19" s="1"/>
  <c r="N179" i="19"/>
  <c r="O179" i="19" s="1"/>
  <c r="P179" i="19" s="1"/>
  <c r="N191" i="19"/>
  <c r="N156" i="19"/>
  <c r="N302" i="19"/>
  <c r="N31" i="19"/>
  <c r="O31" i="19" s="1"/>
  <c r="P31" i="19" s="1"/>
  <c r="N112" i="19"/>
  <c r="O112" i="19" s="1"/>
  <c r="P112" i="19" s="1"/>
  <c r="N274" i="19"/>
  <c r="O274" i="19" s="1"/>
  <c r="P274" i="19" s="1"/>
  <c r="N200" i="19"/>
  <c r="N307" i="19"/>
  <c r="O307" i="19" s="1"/>
  <c r="P307" i="19" s="1"/>
  <c r="N233" i="19"/>
  <c r="N50" i="19"/>
  <c r="O50" i="19" s="1"/>
  <c r="P50" i="19" s="1"/>
  <c r="N298" i="19"/>
  <c r="N164" i="19"/>
  <c r="O164" i="19" s="1"/>
  <c r="P164" i="19" s="1"/>
  <c r="N181" i="19"/>
  <c r="N188" i="19"/>
  <c r="O188" i="19" s="1"/>
  <c r="P188" i="19" s="1"/>
  <c r="N42" i="19"/>
  <c r="O42" i="19" s="1"/>
  <c r="P42" i="19" s="1"/>
  <c r="N94" i="19"/>
  <c r="N229" i="19"/>
  <c r="N10" i="19"/>
  <c r="O10" i="19" s="1"/>
  <c r="P10" i="19" s="1"/>
  <c r="N255" i="19"/>
  <c r="N171" i="19"/>
  <c r="O171" i="19" s="1"/>
  <c r="P171" i="19" s="1"/>
  <c r="N214" i="19"/>
  <c r="O214" i="19" s="1"/>
  <c r="P214" i="19" s="1"/>
  <c r="N180" i="19"/>
  <c r="O180" i="19" s="1"/>
  <c r="P180" i="19" s="1"/>
  <c r="N280" i="19"/>
  <c r="N259" i="19"/>
  <c r="N163" i="19"/>
  <c r="O163" i="19" s="1"/>
  <c r="P163" i="19" s="1"/>
  <c r="N235" i="19"/>
  <c r="O235" i="19" s="1"/>
  <c r="P235" i="19" s="1"/>
  <c r="N238" i="19"/>
  <c r="O238" i="19" s="1"/>
  <c r="P238" i="19" s="1"/>
  <c r="N152" i="19"/>
  <c r="N36" i="19"/>
  <c r="O36" i="19" s="1"/>
  <c r="P36" i="19" s="1"/>
  <c r="N60" i="19"/>
  <c r="O60" i="19" s="1"/>
  <c r="P60" i="19" s="1"/>
  <c r="N29" i="19"/>
  <c r="O29" i="19" s="1"/>
  <c r="P29" i="19" s="1"/>
  <c r="N133" i="19"/>
  <c r="O133" i="19" s="1"/>
  <c r="P133" i="19" s="1"/>
  <c r="N287" i="19"/>
  <c r="O287" i="19" s="1"/>
  <c r="P287" i="19" s="1"/>
  <c r="N40" i="19"/>
  <c r="O40" i="19" s="1"/>
  <c r="P40" i="19" s="1"/>
  <c r="N64" i="19"/>
  <c r="N86" i="19"/>
  <c r="N252" i="19"/>
  <c r="O252" i="19" s="1"/>
  <c r="P252" i="19" s="1"/>
  <c r="N19" i="19"/>
  <c r="N157" i="19"/>
  <c r="N35" i="19"/>
  <c r="O35" i="19" s="1"/>
  <c r="P35" i="19" s="1"/>
  <c r="N97" i="19"/>
  <c r="N185" i="19"/>
  <c r="O185" i="19" s="1"/>
  <c r="P185" i="19" s="1"/>
  <c r="N139" i="19"/>
  <c r="O139" i="19" s="1"/>
  <c r="P139" i="19" s="1"/>
  <c r="N186" i="19"/>
  <c r="O186" i="19" s="1"/>
  <c r="P186" i="19" s="1"/>
  <c r="N256" i="19"/>
  <c r="O256" i="19" s="1"/>
  <c r="P256" i="19" s="1"/>
  <c r="N313" i="19"/>
  <c r="O313" i="19" s="1"/>
  <c r="P313" i="19" s="1"/>
  <c r="N5" i="19"/>
  <c r="O5" i="19" s="1"/>
  <c r="P5" i="19" s="1"/>
  <c r="N128" i="19"/>
  <c r="O128" i="19" s="1"/>
  <c r="P128" i="19" s="1"/>
  <c r="N247" i="19"/>
  <c r="O247" i="19" s="1"/>
  <c r="P247" i="19" s="1"/>
  <c r="N131" i="19"/>
  <c r="O131" i="19" s="1"/>
  <c r="P131" i="19" s="1"/>
  <c r="N264" i="19"/>
  <c r="O264" i="19" s="1"/>
  <c r="P264" i="19" s="1"/>
  <c r="N74" i="19"/>
  <c r="O74" i="19" s="1"/>
  <c r="P74" i="19" s="1"/>
  <c r="N261" i="19"/>
  <c r="N84" i="19"/>
  <c r="N183" i="19"/>
  <c r="N288" i="19"/>
  <c r="O288" i="19" s="1"/>
  <c r="P288" i="19" s="1"/>
  <c r="N15" i="19"/>
  <c r="N55" i="19"/>
  <c r="O55" i="19" s="1"/>
  <c r="P55" i="19" s="1"/>
  <c r="N45" i="19"/>
  <c r="N27" i="19"/>
  <c r="N249" i="19"/>
  <c r="O249" i="19" s="1"/>
  <c r="P249" i="19" s="1"/>
  <c r="N109" i="19"/>
  <c r="N294" i="19"/>
  <c r="O294" i="19" s="1"/>
  <c r="P294" i="19" s="1"/>
  <c r="N3" i="19" l="1" a="1"/>
  <c r="N3" i="19" s="1"/>
  <c r="P3" i="19" l="1" a="1"/>
  <c r="P3" i="19" s="1"/>
  <c r="O3" i="19" a="1"/>
  <c r="O3" i="19" s="1"/>
  <c r="Q315" i="19" l="1"/>
  <c r="R315" i="19" s="1"/>
  <c r="S315" i="19" s="1"/>
  <c r="Q230" i="19"/>
  <c r="R230" i="19" s="1"/>
  <c r="S230" i="19" s="1"/>
  <c r="Q106" i="19"/>
  <c r="R106" i="19" s="1"/>
  <c r="S106" i="19" s="1"/>
  <c r="Q274" i="19"/>
  <c r="R274" i="19" s="1"/>
  <c r="S274" i="19" s="1"/>
  <c r="Q267" i="19"/>
  <c r="R267" i="19" s="1"/>
  <c r="S267" i="19" s="1"/>
  <c r="Q238" i="19"/>
  <c r="R238" i="19" s="1"/>
  <c r="S238" i="19" s="1"/>
  <c r="Q132" i="19"/>
  <c r="R132" i="19" s="1"/>
  <c r="S132" i="19" s="1"/>
  <c r="Q223" i="19"/>
  <c r="R223" i="19" s="1"/>
  <c r="S223" i="19" s="1"/>
  <c r="Q115" i="19"/>
  <c r="R115" i="19" s="1"/>
  <c r="S115" i="19" s="1"/>
  <c r="Q19" i="19"/>
  <c r="Q229" i="19"/>
  <c r="Q11" i="19"/>
  <c r="R11" i="19" s="1"/>
  <c r="S11" i="19" s="1"/>
  <c r="Q312" i="19"/>
  <c r="Q44" i="19"/>
  <c r="R44" i="19" s="1"/>
  <c r="S44" i="19" s="1"/>
  <c r="Q179" i="19"/>
  <c r="R179" i="19" s="1"/>
  <c r="S179" i="19" s="1"/>
  <c r="Q194" i="19"/>
  <c r="Q87" i="19"/>
  <c r="R87" i="19" s="1"/>
  <c r="S87" i="19" s="1"/>
  <c r="Q126" i="19"/>
  <c r="R126" i="19" s="1"/>
  <c r="S126" i="19" s="1"/>
  <c r="Q60" i="19"/>
  <c r="R60" i="19" s="1"/>
  <c r="S60" i="19" s="1"/>
  <c r="Q258" i="19"/>
  <c r="R258" i="19" s="1"/>
  <c r="S258" i="19" s="1"/>
  <c r="Q287" i="19"/>
  <c r="R287" i="19" s="1"/>
  <c r="S287" i="19" s="1"/>
  <c r="Q289" i="19"/>
  <c r="Q185" i="19"/>
  <c r="R185" i="19" s="1"/>
  <c r="S185" i="19" s="1"/>
  <c r="Q236" i="19"/>
  <c r="Q130" i="19"/>
  <c r="R130" i="19" s="1"/>
  <c r="S130" i="19" s="1"/>
  <c r="Q55" i="19"/>
  <c r="R55" i="19" s="1"/>
  <c r="S55" i="19" s="1"/>
  <c r="Q51" i="19"/>
  <c r="R51" i="19" s="1"/>
  <c r="S51" i="19" s="1"/>
  <c r="Q101" i="19"/>
  <c r="R101" i="19" s="1"/>
  <c r="S101" i="19" s="1"/>
  <c r="Q25" i="19"/>
  <c r="R25" i="19" s="1"/>
  <c r="S25" i="19" s="1"/>
  <c r="Q124" i="19"/>
  <c r="R124" i="19" s="1"/>
  <c r="S124" i="19" s="1"/>
  <c r="Q68" i="19"/>
  <c r="R68" i="19" s="1"/>
  <c r="S68" i="19" s="1"/>
  <c r="Q70" i="19"/>
  <c r="R70" i="19" s="1"/>
  <c r="S70" i="19" s="1"/>
  <c r="Q54" i="19"/>
  <c r="R54" i="19" s="1"/>
  <c r="S54" i="19" s="1"/>
  <c r="Q62" i="19"/>
  <c r="Q237" i="19"/>
  <c r="R237" i="19" s="1"/>
  <c r="S237" i="19" s="1"/>
  <c r="Q245" i="19"/>
  <c r="R245" i="19" s="1"/>
  <c r="S245" i="19" s="1"/>
  <c r="Q128" i="19"/>
  <c r="R128" i="19" s="1"/>
  <c r="S128" i="19" s="1"/>
  <c r="Q211" i="19"/>
  <c r="Q57" i="19"/>
  <c r="Q202" i="19"/>
  <c r="Q69" i="19"/>
  <c r="Q268" i="19"/>
  <c r="R268" i="19" s="1"/>
  <c r="S268" i="19" s="1"/>
  <c r="Q111" i="19"/>
  <c r="Q288" i="19"/>
  <c r="R288" i="19" s="1"/>
  <c r="S288" i="19" s="1"/>
  <c r="Q117" i="19"/>
  <c r="Q65" i="19"/>
  <c r="Q256" i="19"/>
  <c r="R256" i="19" s="1"/>
  <c r="S256" i="19" s="1"/>
  <c r="Q155" i="19"/>
  <c r="Q153" i="19"/>
  <c r="R153" i="19" s="1"/>
  <c r="S153" i="19" s="1"/>
  <c r="Q247" i="19"/>
  <c r="R247" i="19" s="1"/>
  <c r="S247" i="19" s="1"/>
  <c r="Q279" i="19"/>
  <c r="Q86" i="19"/>
  <c r="Q138" i="19"/>
  <c r="Q156" i="19"/>
  <c r="Q224" i="19"/>
  <c r="Q188" i="19"/>
  <c r="R188" i="19" s="1"/>
  <c r="S188" i="19" s="1"/>
  <c r="Q118" i="19"/>
  <c r="Q84" i="19"/>
  <c r="Q121" i="19"/>
  <c r="Q234" i="19"/>
  <c r="Q197" i="19"/>
  <c r="Q192" i="19"/>
  <c r="R192" i="19" s="1"/>
  <c r="S192" i="19" s="1"/>
  <c r="Q266" i="19"/>
  <c r="R266" i="19" s="1"/>
  <c r="S266" i="19" s="1"/>
  <c r="Q150" i="19"/>
  <c r="R150" i="19" s="1"/>
  <c r="S150" i="19" s="1"/>
  <c r="Q293" i="19"/>
  <c r="R293" i="19" s="1"/>
  <c r="S293" i="19" s="1"/>
  <c r="Q82" i="19"/>
  <c r="Q259" i="19"/>
  <c r="Q31" i="19"/>
  <c r="R31" i="19" s="1"/>
  <c r="S31" i="19" s="1"/>
  <c r="Q253" i="19"/>
  <c r="R253" i="19" s="1"/>
  <c r="S253" i="19" s="1"/>
  <c r="Q240" i="19"/>
  <c r="R240" i="19" s="1"/>
  <c r="S240" i="19" s="1"/>
  <c r="Q64" i="19"/>
  <c r="Q186" i="19"/>
  <c r="R186" i="19" s="1"/>
  <c r="S186" i="19" s="1"/>
  <c r="Q18" i="19"/>
  <c r="Q306" i="19"/>
  <c r="Q168" i="19"/>
  <c r="Q33" i="19"/>
  <c r="Q103" i="19"/>
  <c r="R103" i="19" s="1"/>
  <c r="S103" i="19" s="1"/>
  <c r="Q47" i="19"/>
  <c r="R47" i="19" s="1"/>
  <c r="S47" i="19" s="1"/>
  <c r="Q135" i="19"/>
  <c r="R135" i="19" s="1"/>
  <c r="S135" i="19" s="1"/>
  <c r="Q292" i="19"/>
  <c r="R292" i="19" s="1"/>
  <c r="S292" i="19" s="1"/>
  <c r="Q316" i="19"/>
  <c r="R316" i="19" s="1"/>
  <c r="S316" i="19" s="1"/>
  <c r="Q108" i="19"/>
  <c r="R108" i="19" s="1"/>
  <c r="S108" i="19" s="1"/>
  <c r="Q7" i="19"/>
  <c r="Q196" i="19"/>
  <c r="R196" i="19" s="1"/>
  <c r="S196" i="19" s="1"/>
  <c r="Q17" i="19"/>
  <c r="Q281" i="19"/>
  <c r="R281" i="19" s="1"/>
  <c r="S281" i="19" s="1"/>
  <c r="Q248" i="19"/>
  <c r="Q29" i="19"/>
  <c r="R29" i="19" s="1"/>
  <c r="S29" i="19" s="1"/>
  <c r="Q10" i="19"/>
  <c r="R10" i="19" s="1"/>
  <c r="S10" i="19" s="1"/>
  <c r="Q270" i="19"/>
  <c r="R270" i="19" s="1"/>
  <c r="S270" i="19" s="1"/>
  <c r="Q165" i="19"/>
  <c r="Q61" i="19"/>
  <c r="R61" i="19" s="1"/>
  <c r="S61" i="19" s="1"/>
  <c r="Q131" i="19"/>
  <c r="R131" i="19" s="1"/>
  <c r="S131" i="19" s="1"/>
  <c r="Q134" i="19"/>
  <c r="Q227" i="19"/>
  <c r="Q52" i="19"/>
  <c r="R52" i="19" s="1"/>
  <c r="S52" i="19" s="1"/>
  <c r="Q93" i="19"/>
  <c r="Q123" i="19"/>
  <c r="R123" i="19" s="1"/>
  <c r="S123" i="19" s="1"/>
  <c r="Q222" i="19"/>
  <c r="R222" i="19" s="1"/>
  <c r="S222" i="19" s="1"/>
  <c r="Q280" i="19"/>
  <c r="Q113" i="19"/>
  <c r="R113" i="19" s="1"/>
  <c r="S113" i="19" s="1"/>
  <c r="Q170" i="19"/>
  <c r="R170" i="19" s="1"/>
  <c r="S170" i="19" s="1"/>
  <c r="Q73" i="19"/>
  <c r="R73" i="19" s="1"/>
  <c r="S73" i="19" s="1"/>
  <c r="Q85" i="19"/>
  <c r="R85" i="19" s="1"/>
  <c r="S85" i="19" s="1"/>
  <c r="Q139" i="19"/>
  <c r="R139" i="19" s="1"/>
  <c r="S139" i="19" s="1"/>
  <c r="Q213" i="19"/>
  <c r="Q42" i="19"/>
  <c r="R42" i="19" s="1"/>
  <c r="S42" i="19" s="1"/>
  <c r="Q30" i="19"/>
  <c r="R30" i="19" s="1"/>
  <c r="S30" i="19" s="1"/>
  <c r="Q242" i="19"/>
  <c r="Q78" i="19"/>
  <c r="R78" i="19" s="1"/>
  <c r="S78" i="19" s="1"/>
  <c r="Q36" i="19"/>
  <c r="R36" i="19" s="1"/>
  <c r="S36" i="19" s="1"/>
  <c r="Q214" i="19"/>
  <c r="R214" i="19" s="1"/>
  <c r="S214" i="19" s="1"/>
  <c r="Q286" i="19"/>
  <c r="R286" i="19" s="1"/>
  <c r="S286" i="19" s="1"/>
  <c r="Q66" i="19"/>
  <c r="R66" i="19" s="1"/>
  <c r="S66" i="19" s="1"/>
  <c r="Q276" i="19"/>
  <c r="Q210" i="19"/>
  <c r="R210" i="19" s="1"/>
  <c r="S210" i="19" s="1"/>
  <c r="Q120" i="19"/>
  <c r="Q295" i="19"/>
  <c r="R295" i="19" s="1"/>
  <c r="S295" i="19" s="1"/>
  <c r="Q195" i="19"/>
  <c r="Q80" i="19"/>
  <c r="R80" i="19" s="1"/>
  <c r="S80" i="19" s="1"/>
  <c r="Q5" i="19"/>
  <c r="R5" i="19" s="1"/>
  <c r="S5" i="19" s="1"/>
  <c r="Q250" i="19"/>
  <c r="R250" i="19" s="1"/>
  <c r="S250" i="19" s="1"/>
  <c r="Q133" i="19"/>
  <c r="R133" i="19" s="1"/>
  <c r="S133" i="19" s="1"/>
  <c r="Q251" i="19"/>
  <c r="Q119" i="19"/>
  <c r="R119" i="19" s="1"/>
  <c r="S119" i="19" s="1"/>
  <c r="Q285" i="19"/>
  <c r="R285" i="19" s="1"/>
  <c r="S285" i="19" s="1"/>
  <c r="Q143" i="19"/>
  <c r="Q159" i="19"/>
  <c r="R159" i="19" s="1"/>
  <c r="S159" i="19" s="1"/>
  <c r="Q125" i="19"/>
  <c r="R125" i="19" s="1"/>
  <c r="S125" i="19" s="1"/>
  <c r="Q6" i="19"/>
  <c r="R6" i="19" s="1"/>
  <c r="S6" i="19" s="1"/>
  <c r="Q35" i="19"/>
  <c r="R35" i="19" s="1"/>
  <c r="S35" i="19" s="1"/>
  <c r="Q265" i="19"/>
  <c r="R265" i="19" s="1"/>
  <c r="S265" i="19" s="1"/>
  <c r="Q63" i="19"/>
  <c r="R63" i="19" s="1"/>
  <c r="S63" i="19" s="1"/>
  <c r="Q241" i="19"/>
  <c r="R241" i="19" s="1"/>
  <c r="S241" i="19" s="1"/>
  <c r="Q21" i="19"/>
  <c r="R21" i="19" s="1"/>
  <c r="S21" i="19" s="1"/>
  <c r="Q48" i="19"/>
  <c r="R48" i="19" s="1"/>
  <c r="S48" i="19" s="1"/>
  <c r="Q142" i="19"/>
  <c r="R142" i="19" s="1"/>
  <c r="S142" i="19" s="1"/>
  <c r="Q110" i="19"/>
  <c r="R110" i="19" s="1"/>
  <c r="S110" i="19" s="1"/>
  <c r="Q16" i="19"/>
  <c r="R16" i="19" s="1"/>
  <c r="S16" i="19" s="1"/>
  <c r="Q72" i="19"/>
  <c r="R72" i="19" s="1"/>
  <c r="S72" i="19" s="1"/>
  <c r="Q38" i="19"/>
  <c r="Q27" i="19"/>
  <c r="Q145" i="19"/>
  <c r="Q107" i="19"/>
  <c r="R107" i="19" s="1"/>
  <c r="S107" i="19" s="1"/>
  <c r="Q144" i="19"/>
  <c r="Q205" i="19"/>
  <c r="R205" i="19" s="1"/>
  <c r="S205" i="19" s="1"/>
  <c r="Q204" i="19"/>
  <c r="R204" i="19" s="1"/>
  <c r="S204" i="19" s="1"/>
  <c r="Q218" i="19"/>
  <c r="Q228" i="19"/>
  <c r="Q102" i="19"/>
  <c r="R102" i="19" s="1"/>
  <c r="S102" i="19" s="1"/>
  <c r="Q275" i="19"/>
  <c r="Q221" i="19"/>
  <c r="R221" i="19" s="1"/>
  <c r="S221" i="19" s="1"/>
  <c r="Q137" i="19"/>
  <c r="R137" i="19" s="1"/>
  <c r="S137" i="19" s="1"/>
  <c r="Q79" i="19"/>
  <c r="R79" i="19" s="1"/>
  <c r="S79" i="19" s="1"/>
  <c r="Q215" i="19"/>
  <c r="Q37" i="19"/>
  <c r="Q32" i="19"/>
  <c r="R32" i="19" s="1"/>
  <c r="S32" i="19" s="1"/>
  <c r="Q71" i="19"/>
  <c r="R71" i="19" s="1"/>
  <c r="S71" i="19" s="1"/>
  <c r="Q136" i="19"/>
  <c r="R136" i="19" s="1"/>
  <c r="S136" i="19" s="1"/>
  <c r="Q284" i="19"/>
  <c r="R284" i="19" s="1"/>
  <c r="S284" i="19" s="1"/>
  <c r="Q13" i="19"/>
  <c r="R13" i="19" s="1"/>
  <c r="S13" i="19" s="1"/>
  <c r="Q191" i="19"/>
  <c r="Q233" i="19"/>
  <c r="Q277" i="19"/>
  <c r="R277" i="19" s="1"/>
  <c r="S277" i="19" s="1"/>
  <c r="Q184" i="19"/>
  <c r="Q105" i="19"/>
  <c r="Q206" i="19"/>
  <c r="R206" i="19" s="1"/>
  <c r="S206" i="19" s="1"/>
  <c r="Q219" i="19"/>
  <c r="R219" i="19" s="1"/>
  <c r="S219" i="19" s="1"/>
  <c r="Q146" i="19"/>
  <c r="R146" i="19" s="1"/>
  <c r="S146" i="19" s="1"/>
  <c r="Q24" i="19"/>
  <c r="Q181" i="19"/>
  <c r="Q50" i="19"/>
  <c r="R50" i="19" s="1"/>
  <c r="S50" i="19" s="1"/>
  <c r="Q100" i="19"/>
  <c r="R100" i="19" s="1"/>
  <c r="S100" i="19" s="1"/>
  <c r="Q246" i="19"/>
  <c r="Q154" i="19"/>
  <c r="R154" i="19" s="1"/>
  <c r="S154" i="19" s="1"/>
  <c r="Q231" i="19"/>
  <c r="R231" i="19" s="1"/>
  <c r="S231" i="19" s="1"/>
  <c r="Q22" i="19"/>
  <c r="Q15" i="19"/>
  <c r="Q20" i="19"/>
  <c r="R20" i="19" s="1"/>
  <c r="S20" i="19" s="1"/>
  <c r="Q76" i="19"/>
  <c r="R76" i="19" s="1"/>
  <c r="S76" i="19" s="1"/>
  <c r="Q157" i="19"/>
  <c r="Q158" i="19"/>
  <c r="Q177" i="19"/>
  <c r="R177" i="19" s="1"/>
  <c r="S177" i="19" s="1"/>
  <c r="Q114" i="19"/>
  <c r="R114" i="19" s="1"/>
  <c r="S114" i="19" s="1"/>
  <c r="Q67" i="19"/>
  <c r="R67" i="19" s="1"/>
  <c r="S67" i="19" s="1"/>
  <c r="Q209" i="19"/>
  <c r="R209" i="19" s="1"/>
  <c r="S209" i="19" s="1"/>
  <c r="Q309" i="19"/>
  <c r="R309" i="19" s="1"/>
  <c r="S309" i="19" s="1"/>
  <c r="Q239" i="19"/>
  <c r="R239" i="19" s="1"/>
  <c r="S239" i="19" s="1"/>
  <c r="Q303" i="19"/>
  <c r="R303" i="19" s="1"/>
  <c r="S303" i="19" s="1"/>
  <c r="Q74" i="19"/>
  <c r="R74" i="19" s="1"/>
  <c r="S74" i="19" s="1"/>
  <c r="Q199" i="19"/>
  <c r="Q313" i="19"/>
  <c r="R313" i="19" s="1"/>
  <c r="S313" i="19" s="1"/>
  <c r="Q272" i="19"/>
  <c r="R272" i="19" s="1"/>
  <c r="S272" i="19" s="1"/>
  <c r="Q311" i="19"/>
  <c r="R311" i="19" s="1"/>
  <c r="S311" i="19" s="1"/>
  <c r="Q252" i="19"/>
  <c r="R252" i="19" s="1"/>
  <c r="S252" i="19" s="1"/>
  <c r="Q307" i="19"/>
  <c r="R307" i="19" s="1"/>
  <c r="S307" i="19" s="1"/>
  <c r="Q291" i="19"/>
  <c r="R291" i="19" s="1"/>
  <c r="S291" i="19" s="1"/>
  <c r="Q162" i="19"/>
  <c r="Q140" i="19"/>
  <c r="Q122" i="19"/>
  <c r="Q58" i="19"/>
  <c r="Q193" i="19"/>
  <c r="Q232" i="19"/>
  <c r="Q254" i="19"/>
  <c r="Q163" i="19"/>
  <c r="R163" i="19" s="1"/>
  <c r="S163" i="19" s="1"/>
  <c r="Q180" i="19"/>
  <c r="R180" i="19" s="1"/>
  <c r="S180" i="19" s="1"/>
  <c r="Q81" i="19"/>
  <c r="R81" i="19" s="1"/>
  <c r="S81" i="19" s="1"/>
  <c r="Q166" i="19"/>
  <c r="R166" i="19" s="1"/>
  <c r="S166" i="19" s="1"/>
  <c r="Q149" i="19"/>
  <c r="R149" i="19" s="1"/>
  <c r="S149" i="19" s="1"/>
  <c r="Q308" i="19"/>
  <c r="R308" i="19" s="1"/>
  <c r="S308" i="19" s="1"/>
  <c r="Q294" i="19"/>
  <c r="R294" i="19" s="1"/>
  <c r="S294" i="19" s="1"/>
  <c r="Q271" i="19"/>
  <c r="R271" i="19" s="1"/>
  <c r="S271" i="19" s="1"/>
  <c r="Q46" i="19"/>
  <c r="R46" i="19" s="1"/>
  <c r="S46" i="19" s="1"/>
  <c r="Q176" i="19"/>
  <c r="Q175" i="19"/>
  <c r="R175" i="19" s="1"/>
  <c r="S175" i="19" s="1"/>
  <c r="Q235" i="19"/>
  <c r="R235" i="19" s="1"/>
  <c r="S235" i="19" s="1"/>
  <c r="Q94" i="19"/>
  <c r="Q244" i="19"/>
  <c r="R244" i="19" s="1"/>
  <c r="S244" i="19" s="1"/>
  <c r="Q297" i="19"/>
  <c r="Q151" i="19"/>
  <c r="R151" i="19" s="1"/>
  <c r="S151" i="19" s="1"/>
  <c r="Q174" i="19"/>
  <c r="R174" i="19" s="1"/>
  <c r="S174" i="19" s="1"/>
  <c r="Q318" i="19"/>
  <c r="R318" i="19" s="1"/>
  <c r="S318" i="19" s="1"/>
  <c r="Q99" i="19"/>
  <c r="Q257" i="19"/>
  <c r="R257" i="19" s="1"/>
  <c r="S257" i="19" s="1"/>
  <c r="Q300" i="19"/>
  <c r="R300" i="19" s="1"/>
  <c r="S300" i="19" s="1"/>
  <c r="Q91" i="19"/>
  <c r="R91" i="19" s="1"/>
  <c r="S91" i="19" s="1"/>
  <c r="Q263" i="19"/>
  <c r="Q75" i="19"/>
  <c r="R75" i="19" s="1"/>
  <c r="S75" i="19" s="1"/>
  <c r="Q141" i="19"/>
  <c r="Q95" i="19"/>
  <c r="R95" i="19" s="1"/>
  <c r="S95" i="19" s="1"/>
  <c r="Q41" i="19"/>
  <c r="R41" i="19" s="1"/>
  <c r="S41" i="19" s="1"/>
  <c r="Q160" i="19"/>
  <c r="Q273" i="19"/>
  <c r="R273" i="19" s="1"/>
  <c r="S273" i="19" s="1"/>
  <c r="Q104" i="19"/>
  <c r="R104" i="19" s="1"/>
  <c r="S104" i="19" s="1"/>
  <c r="Q152" i="19"/>
  <c r="Q89" i="19"/>
  <c r="Q190" i="19"/>
  <c r="Q201" i="19"/>
  <c r="Q269" i="19"/>
  <c r="R269" i="19" s="1"/>
  <c r="S269" i="19" s="1"/>
  <c r="Q187" i="19"/>
  <c r="Q217" i="19"/>
  <c r="R217" i="19" s="1"/>
  <c r="S217" i="19" s="1"/>
  <c r="Q283" i="19"/>
  <c r="R283" i="19" s="1"/>
  <c r="S283" i="19" s="1"/>
  <c r="Q8" i="19"/>
  <c r="R8" i="19" s="1"/>
  <c r="S8" i="19" s="1"/>
  <c r="Q14" i="19"/>
  <c r="Q304" i="19"/>
  <c r="Q243" i="19"/>
  <c r="R243" i="19" s="1"/>
  <c r="S243" i="19" s="1"/>
  <c r="Q40" i="19"/>
  <c r="R40" i="19" s="1"/>
  <c r="S40" i="19" s="1"/>
  <c r="Q4" i="19"/>
  <c r="R4" i="19" s="1"/>
  <c r="S4" i="19" s="1"/>
  <c r="Q290" i="19"/>
  <c r="Q296" i="19"/>
  <c r="R296" i="19" s="1"/>
  <c r="S296" i="19" s="1"/>
  <c r="Q317" i="19"/>
  <c r="Q112" i="19"/>
  <c r="R112" i="19" s="1"/>
  <c r="S112" i="19" s="1"/>
  <c r="Q98" i="19"/>
  <c r="Q207" i="19"/>
  <c r="Q28" i="19"/>
  <c r="Q178" i="19"/>
  <c r="R178" i="19" s="1"/>
  <c r="S178" i="19" s="1"/>
  <c r="Q189" i="19"/>
  <c r="Q147" i="19"/>
  <c r="R147" i="19" s="1"/>
  <c r="S147" i="19" s="1"/>
  <c r="Q182" i="19"/>
  <c r="Q56" i="19"/>
  <c r="R56" i="19" s="1"/>
  <c r="S56" i="19" s="1"/>
  <c r="Q34" i="19"/>
  <c r="Q23" i="19"/>
  <c r="Q226" i="19"/>
  <c r="R226" i="19" s="1"/>
  <c r="S226" i="19" s="1"/>
  <c r="Q161" i="19"/>
  <c r="R161" i="19" s="1"/>
  <c r="S161" i="19" s="1"/>
  <c r="Q39" i="19"/>
  <c r="Q171" i="19"/>
  <c r="R171" i="19" s="1"/>
  <c r="S171" i="19" s="1"/>
  <c r="Q260" i="19"/>
  <c r="Q164" i="19"/>
  <c r="R164" i="19" s="1"/>
  <c r="S164" i="19" s="1"/>
  <c r="Q305" i="19"/>
  <c r="R305" i="19" s="1"/>
  <c r="S305" i="19" s="1"/>
  <c r="Q49" i="19"/>
  <c r="Q169" i="19"/>
  <c r="Q96" i="19"/>
  <c r="Q97" i="19"/>
  <c r="Q26" i="19"/>
  <c r="Q183" i="19"/>
  <c r="Q301" i="19"/>
  <c r="R301" i="19" s="1"/>
  <c r="S301" i="19" s="1"/>
  <c r="Q302" i="19"/>
  <c r="Q278" i="19"/>
  <c r="Q299" i="19"/>
  <c r="Q249" i="19"/>
  <c r="R249" i="19" s="1"/>
  <c r="S249" i="19" s="1"/>
  <c r="Q208" i="19"/>
  <c r="R208" i="19" s="1"/>
  <c r="S208" i="19" s="1"/>
  <c r="Q173" i="19"/>
  <c r="R173" i="19" s="1"/>
  <c r="S173" i="19" s="1"/>
  <c r="Q298" i="19"/>
  <c r="Q310" i="19"/>
  <c r="Q172" i="19"/>
  <c r="R172" i="19" s="1"/>
  <c r="S172" i="19" s="1"/>
  <c r="Q220" i="19"/>
  <c r="Q198" i="19"/>
  <c r="Q92" i="19"/>
  <c r="Q203" i="19"/>
  <c r="R203" i="19" s="1"/>
  <c r="S203" i="19" s="1"/>
  <c r="Q9" i="19"/>
  <c r="Q216" i="19"/>
  <c r="Q212" i="19"/>
  <c r="R212" i="19" s="1"/>
  <c r="S212" i="19" s="1"/>
  <c r="Q282" i="19"/>
  <c r="R282" i="19" s="1"/>
  <c r="S282" i="19" s="1"/>
  <c r="Q200" i="19"/>
  <c r="Q90" i="19"/>
  <c r="R90" i="19" s="1"/>
  <c r="S90" i="19" s="1"/>
  <c r="Q167" i="19"/>
  <c r="Q88" i="19"/>
  <c r="Q264" i="19"/>
  <c r="R264" i="19" s="1"/>
  <c r="S264" i="19" s="1"/>
  <c r="Q314" i="19"/>
  <c r="R314" i="19" s="1"/>
  <c r="S314" i="19" s="1"/>
  <c r="Q43" i="19"/>
  <c r="R43" i="19" s="1"/>
  <c r="S43" i="19" s="1"/>
  <c r="Q109" i="19"/>
  <c r="Q45" i="19"/>
  <c r="Q83" i="19"/>
  <c r="R83" i="19" s="1"/>
  <c r="S83" i="19" s="1"/>
  <c r="Q148" i="19"/>
  <c r="R148" i="19" s="1"/>
  <c r="S148" i="19" s="1"/>
  <c r="Q12" i="19"/>
  <c r="Q77" i="19"/>
  <c r="Q262" i="19"/>
  <c r="R262" i="19" s="1"/>
  <c r="S262" i="19" s="1"/>
  <c r="Q53" i="19"/>
  <c r="R53" i="19" s="1"/>
  <c r="S53" i="19" s="1"/>
  <c r="Q127" i="19"/>
  <c r="R127" i="19" s="1"/>
  <c r="S127" i="19" s="1"/>
  <c r="Q261" i="19"/>
  <c r="Q129" i="19"/>
  <c r="Q225" i="19"/>
  <c r="Q59" i="19"/>
  <c r="Q116" i="19"/>
  <c r="R116" i="19" s="1"/>
  <c r="S116" i="19" s="1"/>
  <c r="Q255" i="19"/>
  <c r="Q3" i="19" l="1" a="1"/>
  <c r="Q3" i="19" s="1"/>
  <c r="S3" i="19" l="1" a="1"/>
  <c r="S3" i="19" s="1"/>
  <c r="R3" i="19" a="1"/>
  <c r="R3" i="19" s="1"/>
  <c r="T315" i="19" l="1"/>
  <c r="U315" i="19" s="1"/>
  <c r="V315" i="19" s="1"/>
  <c r="T230" i="19"/>
  <c r="U230" i="19" s="1"/>
  <c r="V230" i="19" s="1"/>
  <c r="T106" i="19"/>
  <c r="U106" i="19" s="1"/>
  <c r="V106" i="19" s="1"/>
  <c r="T94" i="19"/>
  <c r="T24" i="19"/>
  <c r="T9" i="19"/>
  <c r="T295" i="19"/>
  <c r="U295" i="19" s="1"/>
  <c r="V295" i="19" s="1"/>
  <c r="T248" i="19"/>
  <c r="T174" i="19"/>
  <c r="U174" i="19" s="1"/>
  <c r="V174" i="19" s="1"/>
  <c r="T258" i="19"/>
  <c r="U258" i="19" s="1"/>
  <c r="V258" i="19" s="1"/>
  <c r="T299" i="19"/>
  <c r="T313" i="19"/>
  <c r="U313" i="19" s="1"/>
  <c r="V313" i="19" s="1"/>
  <c r="T112" i="19"/>
  <c r="U112" i="19" s="1"/>
  <c r="V112" i="19" s="1"/>
  <c r="T255" i="19"/>
  <c r="T22" i="19"/>
  <c r="T221" i="19"/>
  <c r="U221" i="19" s="1"/>
  <c r="V221" i="19" s="1"/>
  <c r="T303" i="19"/>
  <c r="U303" i="19" s="1"/>
  <c r="V303" i="19" s="1"/>
  <c r="T289" i="19"/>
  <c r="T34" i="19"/>
  <c r="T198" i="19"/>
  <c r="T169" i="19"/>
  <c r="T147" i="19"/>
  <c r="U147" i="19" s="1"/>
  <c r="V147" i="19" s="1"/>
  <c r="T47" i="19"/>
  <c r="U47" i="19" s="1"/>
  <c r="V47" i="19" s="1"/>
  <c r="T163" i="19"/>
  <c r="U163" i="19" s="1"/>
  <c r="V163" i="19" s="1"/>
  <c r="T119" i="19"/>
  <c r="U119" i="19" s="1"/>
  <c r="V119" i="19" s="1"/>
  <c r="T148" i="19"/>
  <c r="U148" i="19" s="1"/>
  <c r="V148" i="19" s="1"/>
  <c r="T53" i="19"/>
  <c r="U53" i="19" s="1"/>
  <c r="V53" i="19" s="1"/>
  <c r="T284" i="19"/>
  <c r="U284" i="19" s="1"/>
  <c r="V284" i="19" s="1"/>
  <c r="T139" i="19"/>
  <c r="U139" i="19" s="1"/>
  <c r="V139" i="19" s="1"/>
  <c r="T138" i="19"/>
  <c r="T225" i="19"/>
  <c r="T250" i="19"/>
  <c r="U250" i="19" s="1"/>
  <c r="V250" i="19" s="1"/>
  <c r="T137" i="19"/>
  <c r="U137" i="19" s="1"/>
  <c r="V137" i="19" s="1"/>
  <c r="T307" i="19"/>
  <c r="U307" i="19" s="1"/>
  <c r="V307" i="19" s="1"/>
  <c r="T30" i="19"/>
  <c r="U30" i="19" s="1"/>
  <c r="V30" i="19" s="1"/>
  <c r="T136" i="19"/>
  <c r="U136" i="19" s="1"/>
  <c r="V136" i="19" s="1"/>
  <c r="T233" i="19"/>
  <c r="T91" i="19"/>
  <c r="U91" i="19" s="1"/>
  <c r="V91" i="19" s="1"/>
  <c r="T16" i="19"/>
  <c r="U16" i="19" s="1"/>
  <c r="V16" i="19" s="1"/>
  <c r="T177" i="19"/>
  <c r="U177" i="19" s="1"/>
  <c r="V177" i="19" s="1"/>
  <c r="T171" i="19"/>
  <c r="U171" i="19" s="1"/>
  <c r="V171" i="19" s="1"/>
  <c r="T256" i="19"/>
  <c r="U256" i="19" s="1"/>
  <c r="V256" i="19" s="1"/>
  <c r="T214" i="19"/>
  <c r="U214" i="19" s="1"/>
  <c r="V214" i="19" s="1"/>
  <c r="T58" i="19"/>
  <c r="T36" i="19"/>
  <c r="U36" i="19" s="1"/>
  <c r="V36" i="19" s="1"/>
  <c r="T95" i="19"/>
  <c r="U95" i="19" s="1"/>
  <c r="V95" i="19" s="1"/>
  <c r="T129" i="19"/>
  <c r="T279" i="19"/>
  <c r="T159" i="19"/>
  <c r="U159" i="19" s="1"/>
  <c r="V159" i="19" s="1"/>
  <c r="T56" i="19"/>
  <c r="U56" i="19" s="1"/>
  <c r="V56" i="19" s="1"/>
  <c r="T145" i="19"/>
  <c r="T113" i="19"/>
  <c r="U113" i="19" s="1"/>
  <c r="V113" i="19" s="1"/>
  <c r="T213" i="19"/>
  <c r="T243" i="19"/>
  <c r="U243" i="19" s="1"/>
  <c r="V243" i="19" s="1"/>
  <c r="T76" i="19"/>
  <c r="U76" i="19" s="1"/>
  <c r="V76" i="19" s="1"/>
  <c r="T298" i="19"/>
  <c r="T244" i="19"/>
  <c r="U244" i="19" s="1"/>
  <c r="V244" i="19" s="1"/>
  <c r="T172" i="19"/>
  <c r="U172" i="19" s="1"/>
  <c r="V172" i="19" s="1"/>
  <c r="T6" i="19"/>
  <c r="U6" i="19" s="1"/>
  <c r="V6" i="19" s="1"/>
  <c r="T98" i="19"/>
  <c r="T84" i="19"/>
  <c r="T59" i="19"/>
  <c r="T17" i="19"/>
  <c r="T292" i="19"/>
  <c r="U292" i="19" s="1"/>
  <c r="V292" i="19" s="1"/>
  <c r="T68" i="19"/>
  <c r="U68" i="19" s="1"/>
  <c r="V68" i="19" s="1"/>
  <c r="T128" i="19"/>
  <c r="U128" i="19" s="1"/>
  <c r="V128" i="19" s="1"/>
  <c r="T219" i="19"/>
  <c r="U219" i="19" s="1"/>
  <c r="V219" i="19" s="1"/>
  <c r="T108" i="19"/>
  <c r="U108" i="19" s="1"/>
  <c r="V108" i="19" s="1"/>
  <c r="T28" i="19"/>
  <c r="T153" i="19"/>
  <c r="U153" i="19" s="1"/>
  <c r="V153" i="19" s="1"/>
  <c r="T241" i="19"/>
  <c r="U241" i="19" s="1"/>
  <c r="V241" i="19" s="1"/>
  <c r="T50" i="19"/>
  <c r="U50" i="19" s="1"/>
  <c r="V50" i="19" s="1"/>
  <c r="T187" i="19"/>
  <c r="T149" i="19"/>
  <c r="U149" i="19" s="1"/>
  <c r="V149" i="19" s="1"/>
  <c r="T123" i="19"/>
  <c r="U123" i="19" s="1"/>
  <c r="V123" i="19" s="1"/>
  <c r="T197" i="19"/>
  <c r="T193" i="19"/>
  <c r="T31" i="19"/>
  <c r="U31" i="19" s="1"/>
  <c r="V31" i="19" s="1"/>
  <c r="T293" i="19"/>
  <c r="U293" i="19" s="1"/>
  <c r="V293" i="19" s="1"/>
  <c r="T82" i="19"/>
  <c r="T102" i="19"/>
  <c r="U102" i="19" s="1"/>
  <c r="V102" i="19" s="1"/>
  <c r="T207" i="19"/>
  <c r="T262" i="19"/>
  <c r="U262" i="19" s="1"/>
  <c r="V262" i="19" s="1"/>
  <c r="T309" i="19"/>
  <c r="U309" i="19" s="1"/>
  <c r="V309" i="19" s="1"/>
  <c r="T226" i="19"/>
  <c r="U226" i="19" s="1"/>
  <c r="V226" i="19" s="1"/>
  <c r="T93" i="19"/>
  <c r="T48" i="19"/>
  <c r="U48" i="19" s="1"/>
  <c r="V48" i="19" s="1"/>
  <c r="T65" i="19"/>
  <c r="T72" i="19"/>
  <c r="U72" i="19" s="1"/>
  <c r="V72" i="19" s="1"/>
  <c r="T175" i="19"/>
  <c r="U175" i="19" s="1"/>
  <c r="V175" i="19" s="1"/>
  <c r="T110" i="19"/>
  <c r="U110" i="19" s="1"/>
  <c r="V110" i="19" s="1"/>
  <c r="T275" i="19"/>
  <c r="T157" i="19"/>
  <c r="T121" i="19"/>
  <c r="T301" i="19"/>
  <c r="U301" i="19" s="1"/>
  <c r="V301" i="19" s="1"/>
  <c r="T306" i="19"/>
  <c r="T165" i="19"/>
  <c r="T142" i="19"/>
  <c r="U142" i="19" s="1"/>
  <c r="V142" i="19" s="1"/>
  <c r="T156" i="19"/>
  <c r="T12" i="19"/>
  <c r="T302" i="19"/>
  <c r="T267" i="19"/>
  <c r="U267" i="19" s="1"/>
  <c r="V267" i="19" s="1"/>
  <c r="T143" i="19"/>
  <c r="T208" i="19"/>
  <c r="U208" i="19" s="1"/>
  <c r="V208" i="19" s="1"/>
  <c r="T57" i="19"/>
  <c r="T203" i="19"/>
  <c r="U203" i="19" s="1"/>
  <c r="V203" i="19" s="1"/>
  <c r="T188" i="19"/>
  <c r="U188" i="19" s="1"/>
  <c r="V188" i="19" s="1"/>
  <c r="T286" i="19"/>
  <c r="U286" i="19" s="1"/>
  <c r="V286" i="19" s="1"/>
  <c r="T200" i="19"/>
  <c r="T170" i="19"/>
  <c r="U170" i="19" s="1"/>
  <c r="V170" i="19" s="1"/>
  <c r="T81" i="19"/>
  <c r="U81" i="19" s="1"/>
  <c r="V81" i="19" s="1"/>
  <c r="T271" i="19"/>
  <c r="U271" i="19" s="1"/>
  <c r="V271" i="19" s="1"/>
  <c r="T260" i="19"/>
  <c r="T282" i="19"/>
  <c r="U282" i="19" s="1"/>
  <c r="V282" i="19" s="1"/>
  <c r="T141" i="19"/>
  <c r="T212" i="19"/>
  <c r="U212" i="19" s="1"/>
  <c r="V212" i="19" s="1"/>
  <c r="T42" i="19"/>
  <c r="U42" i="19" s="1"/>
  <c r="V42" i="19" s="1"/>
  <c r="T40" i="19"/>
  <c r="U40" i="19" s="1"/>
  <c r="V40" i="19" s="1"/>
  <c r="T184" i="19"/>
  <c r="T297" i="19"/>
  <c r="T311" i="19"/>
  <c r="U311" i="19" s="1"/>
  <c r="V311" i="19" s="1"/>
  <c r="T107" i="19"/>
  <c r="U107" i="19" s="1"/>
  <c r="V107" i="19" s="1"/>
  <c r="T89" i="19"/>
  <c r="T103" i="19"/>
  <c r="U103" i="19" s="1"/>
  <c r="V103" i="19" s="1"/>
  <c r="T134" i="19"/>
  <c r="T10" i="19"/>
  <c r="U10" i="19" s="1"/>
  <c r="V10" i="19" s="1"/>
  <c r="T62" i="19"/>
  <c r="T35" i="19"/>
  <c r="U35" i="19" s="1"/>
  <c r="V35" i="19" s="1"/>
  <c r="T46" i="19"/>
  <c r="U46" i="19" s="1"/>
  <c r="V46" i="19" s="1"/>
  <c r="T45" i="19"/>
  <c r="T276" i="19"/>
  <c r="T195" i="19"/>
  <c r="T238" i="19"/>
  <c r="U238" i="19" s="1"/>
  <c r="V238" i="19" s="1"/>
  <c r="T291" i="19"/>
  <c r="U291" i="19" s="1"/>
  <c r="V291" i="19" s="1"/>
  <c r="T127" i="19"/>
  <c r="U127" i="19" s="1"/>
  <c r="V127" i="19" s="1"/>
  <c r="T63" i="19"/>
  <c r="U63" i="19" s="1"/>
  <c r="V63" i="19" s="1"/>
  <c r="T131" i="19"/>
  <c r="U131" i="19" s="1"/>
  <c r="V131" i="19" s="1"/>
  <c r="T268" i="19"/>
  <c r="U268" i="19" s="1"/>
  <c r="V268" i="19" s="1"/>
  <c r="T49" i="19"/>
  <c r="T115" i="19"/>
  <c r="U115" i="19" s="1"/>
  <c r="V115" i="19" s="1"/>
  <c r="T179" i="19"/>
  <c r="U179" i="19" s="1"/>
  <c r="V179" i="19" s="1"/>
  <c r="T86" i="19"/>
  <c r="T180" i="19"/>
  <c r="U180" i="19" s="1"/>
  <c r="V180" i="19" s="1"/>
  <c r="T239" i="19"/>
  <c r="U239" i="19" s="1"/>
  <c r="V239" i="19" s="1"/>
  <c r="T257" i="19"/>
  <c r="U257" i="19" s="1"/>
  <c r="V257" i="19" s="1"/>
  <c r="T278" i="19"/>
  <c r="T158" i="19"/>
  <c r="T146" i="19"/>
  <c r="U146" i="19" s="1"/>
  <c r="V146" i="19" s="1"/>
  <c r="T99" i="19"/>
  <c r="T252" i="19"/>
  <c r="U252" i="19" s="1"/>
  <c r="V252" i="19" s="1"/>
  <c r="T192" i="19"/>
  <c r="U192" i="19" s="1"/>
  <c r="V192" i="19" s="1"/>
  <c r="T96" i="19"/>
  <c r="T92" i="19"/>
  <c r="T310" i="19"/>
  <c r="T101" i="19"/>
  <c r="U101" i="19" s="1"/>
  <c r="V101" i="19" s="1"/>
  <c r="T202" i="19"/>
  <c r="T124" i="19"/>
  <c r="U124" i="19" s="1"/>
  <c r="V124" i="19" s="1"/>
  <c r="T7" i="19"/>
  <c r="T288" i="19"/>
  <c r="U288" i="19" s="1"/>
  <c r="V288" i="19" s="1"/>
  <c r="T245" i="19"/>
  <c r="U245" i="19" s="1"/>
  <c r="V245" i="19" s="1"/>
  <c r="T173" i="19"/>
  <c r="U173" i="19" s="1"/>
  <c r="V173" i="19" s="1"/>
  <c r="T205" i="19"/>
  <c r="U205" i="19" s="1"/>
  <c r="V205" i="19" s="1"/>
  <c r="T23" i="19"/>
  <c r="T120" i="19"/>
  <c r="T265" i="19"/>
  <c r="U265" i="19" s="1"/>
  <c r="V265" i="19" s="1"/>
  <c r="T285" i="19"/>
  <c r="U285" i="19" s="1"/>
  <c r="V285" i="19" s="1"/>
  <c r="T231" i="19"/>
  <c r="U231" i="19" s="1"/>
  <c r="V231" i="19" s="1"/>
  <c r="T253" i="19"/>
  <c r="U253" i="19" s="1"/>
  <c r="V253" i="19" s="1"/>
  <c r="T251" i="19"/>
  <c r="T130" i="19"/>
  <c r="U130" i="19" s="1"/>
  <c r="V130" i="19" s="1"/>
  <c r="T259" i="19"/>
  <c r="T236" i="19"/>
  <c r="T39" i="19"/>
  <c r="T15" i="19"/>
  <c r="T223" i="19"/>
  <c r="U223" i="19" s="1"/>
  <c r="V223" i="19" s="1"/>
  <c r="T54" i="19"/>
  <c r="U54" i="19" s="1"/>
  <c r="V54" i="19" s="1"/>
  <c r="T206" i="19"/>
  <c r="U206" i="19" s="1"/>
  <c r="V206" i="19" s="1"/>
  <c r="T296" i="19"/>
  <c r="U296" i="19" s="1"/>
  <c r="V296" i="19" s="1"/>
  <c r="T318" i="19"/>
  <c r="U318" i="19" s="1"/>
  <c r="V318" i="19" s="1"/>
  <c r="T70" i="19"/>
  <c r="U70" i="19" s="1"/>
  <c r="V70" i="19" s="1"/>
  <c r="T215" i="19"/>
  <c r="T176" i="19"/>
  <c r="T273" i="19"/>
  <c r="U273" i="19" s="1"/>
  <c r="V273" i="19" s="1"/>
  <c r="T189" i="19"/>
  <c r="T114" i="19"/>
  <c r="U114" i="19" s="1"/>
  <c r="V114" i="19" s="1"/>
  <c r="T152" i="19"/>
  <c r="T314" i="19"/>
  <c r="U314" i="19" s="1"/>
  <c r="V314" i="19" s="1"/>
  <c r="T204" i="19"/>
  <c r="U204" i="19" s="1"/>
  <c r="V204" i="19" s="1"/>
  <c r="T85" i="19"/>
  <c r="U85" i="19" s="1"/>
  <c r="V85" i="19" s="1"/>
  <c r="T26" i="19"/>
  <c r="T29" i="19"/>
  <c r="U29" i="19" s="1"/>
  <c r="V29" i="19" s="1"/>
  <c r="T21" i="19"/>
  <c r="U21" i="19" s="1"/>
  <c r="V21" i="19" s="1"/>
  <c r="T44" i="19"/>
  <c r="U44" i="19" s="1"/>
  <c r="V44" i="19" s="1"/>
  <c r="T117" i="19"/>
  <c r="T125" i="19"/>
  <c r="U125" i="19" s="1"/>
  <c r="V125" i="19" s="1"/>
  <c r="T38" i="19"/>
  <c r="T60" i="19"/>
  <c r="U60" i="19" s="1"/>
  <c r="V60" i="19" s="1"/>
  <c r="T191" i="19"/>
  <c r="T78" i="19"/>
  <c r="U78" i="19" s="1"/>
  <c r="V78" i="19" s="1"/>
  <c r="T66" i="19"/>
  <c r="U66" i="19" s="1"/>
  <c r="V66" i="19" s="1"/>
  <c r="T281" i="19"/>
  <c r="U281" i="19" s="1"/>
  <c r="V281" i="19" s="1"/>
  <c r="T218" i="19"/>
  <c r="T249" i="19"/>
  <c r="U249" i="19" s="1"/>
  <c r="V249" i="19" s="1"/>
  <c r="T277" i="19"/>
  <c r="U277" i="19" s="1"/>
  <c r="V277" i="19" s="1"/>
  <c r="T220" i="19"/>
  <c r="T183" i="19"/>
  <c r="T227" i="19"/>
  <c r="T13" i="19"/>
  <c r="U13" i="19" s="1"/>
  <c r="V13" i="19" s="1"/>
  <c r="T254" i="19"/>
  <c r="T73" i="19"/>
  <c r="U73" i="19" s="1"/>
  <c r="V73" i="19" s="1"/>
  <c r="T144" i="19"/>
  <c r="T186" i="19"/>
  <c r="U186" i="19" s="1"/>
  <c r="V186" i="19" s="1"/>
  <c r="T201" i="19"/>
  <c r="T20" i="19"/>
  <c r="U20" i="19" s="1"/>
  <c r="V20" i="19" s="1"/>
  <c r="T19" i="19"/>
  <c r="T4" i="19"/>
  <c r="U4" i="19" s="1"/>
  <c r="V4" i="19" s="1"/>
  <c r="T150" i="19"/>
  <c r="U150" i="19" s="1"/>
  <c r="V150" i="19" s="1"/>
  <c r="T194" i="19"/>
  <c r="T88" i="19"/>
  <c r="T61" i="19"/>
  <c r="U61" i="19" s="1"/>
  <c r="V61" i="19" s="1"/>
  <c r="T133" i="19"/>
  <c r="U133" i="19" s="1"/>
  <c r="V133" i="19" s="1"/>
  <c r="T162" i="19"/>
  <c r="T79" i="19"/>
  <c r="U79" i="19" s="1"/>
  <c r="V79" i="19" s="1"/>
  <c r="T317" i="19"/>
  <c r="T111" i="19"/>
  <c r="T294" i="19"/>
  <c r="U294" i="19" s="1"/>
  <c r="V294" i="19" s="1"/>
  <c r="T161" i="19"/>
  <c r="U161" i="19" s="1"/>
  <c r="V161" i="19" s="1"/>
  <c r="T304" i="19"/>
  <c r="T25" i="19"/>
  <c r="U25" i="19" s="1"/>
  <c r="V25" i="19" s="1"/>
  <c r="T316" i="19"/>
  <c r="U316" i="19" s="1"/>
  <c r="V316" i="19" s="1"/>
  <c r="T178" i="19"/>
  <c r="U178" i="19" s="1"/>
  <c r="V178" i="19" s="1"/>
  <c r="T109" i="19"/>
  <c r="T67" i="19"/>
  <c r="U67" i="19" s="1"/>
  <c r="V67" i="19" s="1"/>
  <c r="T80" i="19"/>
  <c r="U80" i="19" s="1"/>
  <c r="V80" i="19" s="1"/>
  <c r="T151" i="19"/>
  <c r="U151" i="19" s="1"/>
  <c r="V151" i="19" s="1"/>
  <c r="T97" i="19"/>
  <c r="T69" i="19"/>
  <c r="T287" i="19"/>
  <c r="U287" i="19" s="1"/>
  <c r="V287" i="19" s="1"/>
  <c r="T160" i="19"/>
  <c r="T196" i="19"/>
  <c r="U196" i="19" s="1"/>
  <c r="V196" i="19" s="1"/>
  <c r="T77" i="19"/>
  <c r="T229" i="19"/>
  <c r="T122" i="19"/>
  <c r="T90" i="19"/>
  <c r="U90" i="19" s="1"/>
  <c r="V90" i="19" s="1"/>
  <c r="T132" i="19"/>
  <c r="U132" i="19" s="1"/>
  <c r="V132" i="19" s="1"/>
  <c r="T270" i="19"/>
  <c r="U270" i="19" s="1"/>
  <c r="V270" i="19" s="1"/>
  <c r="T280" i="19"/>
  <c r="T75" i="19"/>
  <c r="U75" i="19" s="1"/>
  <c r="V75" i="19" s="1"/>
  <c r="T52" i="19"/>
  <c r="U52" i="19" s="1"/>
  <c r="V52" i="19" s="1"/>
  <c r="T235" i="19"/>
  <c r="U235" i="19" s="1"/>
  <c r="V235" i="19" s="1"/>
  <c r="T308" i="19"/>
  <c r="U308" i="19" s="1"/>
  <c r="V308" i="19" s="1"/>
  <c r="T283" i="19"/>
  <c r="U283" i="19" s="1"/>
  <c r="V283" i="19" s="1"/>
  <c r="T274" i="19"/>
  <c r="U274" i="19" s="1"/>
  <c r="V274" i="19" s="1"/>
  <c r="T210" i="19"/>
  <c r="U210" i="19" s="1"/>
  <c r="V210" i="19" s="1"/>
  <c r="T37" i="19"/>
  <c r="T305" i="19"/>
  <c r="U305" i="19" s="1"/>
  <c r="V305" i="19" s="1"/>
  <c r="T105" i="19"/>
  <c r="T166" i="19"/>
  <c r="U166" i="19" s="1"/>
  <c r="V166" i="19" s="1"/>
  <c r="T118" i="19"/>
  <c r="T216" i="19"/>
  <c r="T126" i="19"/>
  <c r="U126" i="19" s="1"/>
  <c r="V126" i="19" s="1"/>
  <c r="T199" i="19"/>
  <c r="T247" i="19"/>
  <c r="U247" i="19" s="1"/>
  <c r="V247" i="19" s="1"/>
  <c r="T55" i="19"/>
  <c r="U55" i="19" s="1"/>
  <c r="V55" i="19" s="1"/>
  <c r="T167" i="19"/>
  <c r="T116" i="19"/>
  <c r="U116" i="19" s="1"/>
  <c r="V116" i="19" s="1"/>
  <c r="T41" i="19"/>
  <c r="U41" i="19" s="1"/>
  <c r="V41" i="19" s="1"/>
  <c r="T181" i="19"/>
  <c r="T87" i="19"/>
  <c r="U87" i="19" s="1"/>
  <c r="V87" i="19" s="1"/>
  <c r="T217" i="19"/>
  <c r="U217" i="19" s="1"/>
  <c r="V217" i="19" s="1"/>
  <c r="T5" i="19"/>
  <c r="U5" i="19" s="1"/>
  <c r="V5" i="19" s="1"/>
  <c r="T211" i="19"/>
  <c r="T33" i="19"/>
  <c r="T182" i="19"/>
  <c r="T222" i="19"/>
  <c r="U222" i="19" s="1"/>
  <c r="V222" i="19" s="1"/>
  <c r="T83" i="19"/>
  <c r="U83" i="19" s="1"/>
  <c r="V83" i="19" s="1"/>
  <c r="T209" i="19"/>
  <c r="U209" i="19" s="1"/>
  <c r="V209" i="19" s="1"/>
  <c r="T32" i="19"/>
  <c r="U32" i="19" s="1"/>
  <c r="V32" i="19" s="1"/>
  <c r="T11" i="19"/>
  <c r="U11" i="19" s="1"/>
  <c r="V11" i="19" s="1"/>
  <c r="T266" i="19"/>
  <c r="U266" i="19" s="1"/>
  <c r="V266" i="19" s="1"/>
  <c r="T190" i="19"/>
  <c r="T312" i="19"/>
  <c r="T14" i="19"/>
  <c r="T261" i="19"/>
  <c r="T8" i="19"/>
  <c r="U8" i="19" s="1"/>
  <c r="V8" i="19" s="1"/>
  <c r="T64" i="19"/>
  <c r="T154" i="19"/>
  <c r="U154" i="19" s="1"/>
  <c r="V154" i="19" s="1"/>
  <c r="T104" i="19"/>
  <c r="U104" i="19" s="1"/>
  <c r="V104" i="19" s="1"/>
  <c r="T135" i="19"/>
  <c r="U135" i="19" s="1"/>
  <c r="V135" i="19" s="1"/>
  <c r="T164" i="19"/>
  <c r="U164" i="19" s="1"/>
  <c r="V164" i="19" s="1"/>
  <c r="T234" i="19"/>
  <c r="T228" i="19"/>
  <c r="T300" i="19"/>
  <c r="U300" i="19" s="1"/>
  <c r="V300" i="19" s="1"/>
  <c r="T237" i="19"/>
  <c r="U237" i="19" s="1"/>
  <c r="V237" i="19" s="1"/>
  <c r="T263" i="19"/>
  <c r="T27" i="19"/>
  <c r="T269" i="19"/>
  <c r="U269" i="19" s="1"/>
  <c r="V269" i="19" s="1"/>
  <c r="T240" i="19"/>
  <c r="U240" i="19" s="1"/>
  <c r="V240" i="19" s="1"/>
  <c r="T74" i="19"/>
  <c r="U74" i="19" s="1"/>
  <c r="V74" i="19" s="1"/>
  <c r="T43" i="19"/>
  <c r="U43" i="19" s="1"/>
  <c r="V43" i="19" s="1"/>
  <c r="T100" i="19"/>
  <c r="U100" i="19" s="1"/>
  <c r="V100" i="19" s="1"/>
  <c r="T242" i="19"/>
  <c r="T51" i="19"/>
  <c r="U51" i="19" s="1"/>
  <c r="V51" i="19" s="1"/>
  <c r="T155" i="19"/>
  <c r="T140" i="19"/>
  <c r="T232" i="19"/>
  <c r="T18" i="19"/>
  <c r="T224" i="19"/>
  <c r="T264" i="19"/>
  <c r="U264" i="19" s="1"/>
  <c r="V264" i="19" s="1"/>
  <c r="T185" i="19"/>
  <c r="U185" i="19" s="1"/>
  <c r="V185" i="19" s="1"/>
  <c r="T246" i="19"/>
  <c r="T272" i="19"/>
  <c r="U272" i="19" s="1"/>
  <c r="V272" i="19" s="1"/>
  <c r="T71" i="19"/>
  <c r="U71" i="19" s="1"/>
  <c r="V71" i="19" s="1"/>
  <c r="T168" i="19"/>
  <c r="T290" i="19"/>
  <c r="T3" i="19" l="1" a="1"/>
  <c r="T3" i="19" s="1"/>
  <c r="V3" i="19" l="1" a="1"/>
  <c r="V3" i="19" s="1"/>
  <c r="U3" i="19" a="1"/>
  <c r="U3" i="19" s="1"/>
  <c r="W126" i="19" l="1"/>
  <c r="X126" i="19" s="1"/>
  <c r="W230" i="19"/>
  <c r="X230" i="19" s="1"/>
  <c r="W106" i="19"/>
  <c r="W251" i="19"/>
  <c r="X251" i="19" s="1"/>
  <c r="W21" i="19"/>
  <c r="X21" i="19" s="1"/>
  <c r="W102" i="19"/>
  <c r="X102" i="19" s="1"/>
  <c r="W70" i="19"/>
  <c r="X70" i="19" s="1"/>
  <c r="W41" i="19"/>
  <c r="X41" i="19" s="1"/>
  <c r="W160" i="19"/>
  <c r="X160" i="19" s="1"/>
  <c r="W154" i="19"/>
  <c r="X154" i="19" s="1"/>
  <c r="W82" i="19"/>
  <c r="X82" i="19" s="1"/>
  <c r="W162" i="19"/>
  <c r="X162" i="19" s="1"/>
  <c r="W203" i="19"/>
  <c r="X203" i="19" s="1"/>
  <c r="W306" i="19"/>
  <c r="X306" i="19" s="1"/>
  <c r="W113" i="19"/>
  <c r="X113" i="19" s="1"/>
  <c r="W23" i="19"/>
  <c r="X23" i="19" s="1"/>
  <c r="W14" i="19"/>
  <c r="X14" i="19" s="1"/>
  <c r="W44" i="19"/>
  <c r="X44" i="19" s="1"/>
  <c r="W301" i="19"/>
  <c r="X301" i="19" s="1"/>
  <c r="W177" i="19"/>
  <c r="X177" i="19" s="1"/>
  <c r="W150" i="19"/>
  <c r="X150" i="19" s="1"/>
  <c r="W292" i="19"/>
  <c r="X292" i="19" s="1"/>
  <c r="W275" i="19"/>
  <c r="X275" i="19" s="1"/>
  <c r="W91" i="19"/>
  <c r="X91" i="19" s="1"/>
  <c r="W61" i="19"/>
  <c r="X61" i="19" s="1"/>
  <c r="W12" i="19"/>
  <c r="X12" i="19" s="1"/>
  <c r="W233" i="19"/>
  <c r="X233" i="19" s="1"/>
  <c r="W258" i="19"/>
  <c r="X258" i="19" s="1"/>
  <c r="W189" i="19"/>
  <c r="X189" i="19" s="1"/>
  <c r="W192" i="19"/>
  <c r="X192" i="19" s="1"/>
  <c r="W288" i="19"/>
  <c r="X288" i="19" s="1"/>
  <c r="W174" i="19"/>
  <c r="X174" i="19" s="1"/>
  <c r="W294" i="19"/>
  <c r="X294" i="19" s="1"/>
  <c r="W166" i="19"/>
  <c r="X166" i="19" s="1"/>
  <c r="W264" i="19"/>
  <c r="X264" i="19" s="1"/>
  <c r="W197" i="19"/>
  <c r="X197" i="19" s="1"/>
  <c r="W265" i="19"/>
  <c r="X265" i="19" s="1"/>
  <c r="W66" i="19"/>
  <c r="X66" i="19" s="1"/>
  <c r="W29" i="19"/>
  <c r="X29" i="19" s="1"/>
  <c r="W314" i="19"/>
  <c r="X314" i="19" s="1"/>
  <c r="W316" i="19"/>
  <c r="X316" i="19" s="1"/>
  <c r="W11" i="19"/>
  <c r="X11" i="19" s="1"/>
  <c r="W6" i="19"/>
  <c r="X6" i="19" s="1"/>
  <c r="W110" i="19"/>
  <c r="X110" i="19" s="1"/>
  <c r="W156" i="19"/>
  <c r="X156" i="19" s="1"/>
  <c r="W145" i="19"/>
  <c r="X145" i="19" s="1"/>
  <c r="W201" i="19"/>
  <c r="X201" i="19" s="1"/>
  <c r="W315" i="19"/>
  <c r="X315" i="19" s="1"/>
  <c r="W257" i="19"/>
  <c r="X257" i="19" s="1"/>
  <c r="W74" i="19"/>
  <c r="X74" i="19" s="1"/>
  <c r="W209" i="19"/>
  <c r="X209" i="19" s="1"/>
  <c r="W311" i="19"/>
  <c r="X311" i="19" s="1"/>
  <c r="W266" i="19"/>
  <c r="X266" i="19" s="1"/>
  <c r="W163" i="19"/>
  <c r="X163" i="19" s="1"/>
  <c r="W76" i="19"/>
  <c r="X76" i="19" s="1"/>
  <c r="W204" i="19"/>
  <c r="X204" i="19" s="1"/>
  <c r="W284" i="19"/>
  <c r="X284" i="19" s="1"/>
  <c r="W85" i="19"/>
  <c r="X85" i="19" s="1"/>
  <c r="W130" i="19"/>
  <c r="X130" i="19" s="1"/>
  <c r="W161" i="19"/>
  <c r="X161" i="19" s="1"/>
  <c r="W229" i="19"/>
  <c r="X229" i="19" s="1"/>
  <c r="W47" i="19"/>
  <c r="X47" i="19" s="1"/>
  <c r="W141" i="19"/>
  <c r="X141" i="19" s="1"/>
  <c r="W55" i="19"/>
  <c r="X55" i="19" s="1"/>
  <c r="W214" i="19"/>
  <c r="X214" i="19" s="1"/>
  <c r="W290" i="19"/>
  <c r="X290" i="19" s="1"/>
  <c r="W176" i="19"/>
  <c r="X176" i="19" s="1"/>
  <c r="W198" i="19"/>
  <c r="X198" i="19" s="1"/>
  <c r="W40" i="19"/>
  <c r="X40" i="19" s="1"/>
  <c r="W250" i="19"/>
  <c r="X250" i="19" s="1"/>
  <c r="W227" i="19"/>
  <c r="X227" i="19" s="1"/>
  <c r="W119" i="19"/>
  <c r="X119" i="19" s="1"/>
  <c r="W293" i="19"/>
  <c r="X293" i="19" s="1"/>
  <c r="W267" i="19"/>
  <c r="X267" i="19" s="1"/>
  <c r="W238" i="19"/>
  <c r="X238" i="19" s="1"/>
  <c r="W131" i="19"/>
  <c r="X131" i="19" s="1"/>
  <c r="W144" i="19"/>
  <c r="X144" i="19" s="1"/>
  <c r="W155" i="19"/>
  <c r="X155" i="19" s="1"/>
  <c r="W200" i="19"/>
  <c r="X200" i="19" s="1"/>
  <c r="W241" i="19"/>
  <c r="X241" i="19" s="1"/>
  <c r="W259" i="19"/>
  <c r="X259" i="19" s="1"/>
  <c r="W72" i="19"/>
  <c r="X72" i="19" s="1"/>
  <c r="W148" i="19"/>
  <c r="X148" i="19" s="1"/>
  <c r="W263" i="19"/>
  <c r="X263" i="19" s="1"/>
  <c r="W49" i="19"/>
  <c r="X49" i="19" s="1"/>
  <c r="W22" i="19"/>
  <c r="X22" i="19" s="1"/>
  <c r="W190" i="19"/>
  <c r="X190" i="19" s="1"/>
  <c r="W93" i="19"/>
  <c r="X93" i="19" s="1"/>
  <c r="W132" i="19"/>
  <c r="X132" i="19" s="1"/>
  <c r="W118" i="19"/>
  <c r="X118" i="19" s="1"/>
  <c r="W96" i="19"/>
  <c r="X96" i="19" s="1"/>
  <c r="W234" i="19"/>
  <c r="X234" i="19" s="1"/>
  <c r="W169" i="19"/>
  <c r="X169" i="19" s="1"/>
  <c r="W153" i="19"/>
  <c r="X153" i="19" s="1"/>
  <c r="W51" i="19"/>
  <c r="X51" i="19" s="1"/>
  <c r="W220" i="19"/>
  <c r="X220" i="19" s="1"/>
  <c r="W84" i="19"/>
  <c r="X84" i="19" s="1"/>
  <c r="W299" i="19"/>
  <c r="X299" i="19" s="1"/>
  <c r="W92" i="19"/>
  <c r="X92" i="19" s="1"/>
  <c r="W159" i="19"/>
  <c r="X159" i="19" s="1"/>
  <c r="W303" i="19"/>
  <c r="X303" i="19" s="1"/>
  <c r="W255" i="19"/>
  <c r="X255" i="19" s="1"/>
  <c r="W104" i="19"/>
  <c r="X104" i="19" s="1"/>
  <c r="W31" i="19"/>
  <c r="X31" i="19" s="1"/>
  <c r="W7" i="19"/>
  <c r="X7" i="19" s="1"/>
  <c r="W312" i="19"/>
  <c r="X312" i="19" s="1"/>
  <c r="W108" i="19"/>
  <c r="X108" i="19" s="1"/>
  <c r="W117" i="19"/>
  <c r="X117" i="19" s="1"/>
  <c r="W310" i="19"/>
  <c r="X310" i="19" s="1"/>
  <c r="W175" i="19"/>
  <c r="X175" i="19" s="1"/>
  <c r="W164" i="19"/>
  <c r="X164" i="19" s="1"/>
  <c r="W243" i="19"/>
  <c r="X243" i="19" s="1"/>
  <c r="W8" i="19"/>
  <c r="X8" i="19" s="1"/>
  <c r="W277" i="19"/>
  <c r="X277" i="19" s="1"/>
  <c r="W289" i="19"/>
  <c r="X289" i="19" s="1"/>
  <c r="W36" i="19"/>
  <c r="X36" i="19" s="1"/>
  <c r="W68" i="19"/>
  <c r="X68" i="19" s="1"/>
  <c r="W225" i="19"/>
  <c r="X225" i="19" s="1"/>
  <c r="W87" i="19"/>
  <c r="X87" i="19" s="1"/>
  <c r="W252" i="19"/>
  <c r="X252" i="19" s="1"/>
  <c r="W242" i="19"/>
  <c r="X242" i="19" s="1"/>
  <c r="W146" i="19"/>
  <c r="X146" i="19" s="1"/>
  <c r="W178" i="19"/>
  <c r="X178" i="19" s="1"/>
  <c r="W219" i="19"/>
  <c r="X219" i="19" s="1"/>
  <c r="W291" i="19"/>
  <c r="X291" i="19" s="1"/>
  <c r="W182" i="19"/>
  <c r="X182" i="19" s="1"/>
  <c r="W100" i="19"/>
  <c r="X100" i="19" s="1"/>
  <c r="W206" i="19"/>
  <c r="X206" i="19" s="1"/>
  <c r="W216" i="19"/>
  <c r="X216" i="19" s="1"/>
  <c r="W223" i="19"/>
  <c r="X223" i="19" s="1"/>
  <c r="W253" i="19"/>
  <c r="X253" i="19" s="1"/>
  <c r="W181" i="19"/>
  <c r="X181" i="19" s="1"/>
  <c r="W86" i="19"/>
  <c r="X86" i="19" s="1"/>
  <c r="W281" i="19"/>
  <c r="X281" i="19" s="1"/>
  <c r="W116" i="19"/>
  <c r="X116" i="19" s="1"/>
  <c r="W105" i="19"/>
  <c r="X105" i="19" s="1"/>
  <c r="W75" i="19"/>
  <c r="X75" i="19" s="1"/>
  <c r="W142" i="19"/>
  <c r="X142" i="19" s="1"/>
  <c r="W30" i="19"/>
  <c r="X30" i="19" s="1"/>
  <c r="W34" i="19"/>
  <c r="X34" i="19" s="1"/>
  <c r="W33" i="19"/>
  <c r="X33" i="19" s="1"/>
  <c r="W143" i="19"/>
  <c r="X143" i="19" s="1"/>
  <c r="W158" i="19"/>
  <c r="X158" i="19" s="1"/>
  <c r="W304" i="19"/>
  <c r="X304" i="19" s="1"/>
  <c r="W248" i="19"/>
  <c r="X248" i="19" s="1"/>
  <c r="W273" i="19"/>
  <c r="X273" i="19" s="1"/>
  <c r="W17" i="19"/>
  <c r="X17" i="19" s="1"/>
  <c r="W79" i="19"/>
  <c r="X79" i="19" s="1"/>
  <c r="W195" i="19"/>
  <c r="X195" i="19" s="1"/>
  <c r="W186" i="19"/>
  <c r="X186" i="19" s="1"/>
  <c r="W167" i="19"/>
  <c r="X167" i="19" s="1"/>
  <c r="W235" i="19"/>
  <c r="X235" i="19" s="1"/>
  <c r="W128" i="19"/>
  <c r="X128" i="19" s="1"/>
  <c r="W165" i="19"/>
  <c r="X165" i="19" s="1"/>
  <c r="W151" i="19"/>
  <c r="X151" i="19" s="1"/>
  <c r="W46" i="19"/>
  <c r="X46" i="19" s="1"/>
  <c r="W199" i="19"/>
  <c r="X199" i="19" s="1"/>
  <c r="W16" i="19"/>
  <c r="X16" i="19" s="1"/>
  <c r="W296" i="19"/>
  <c r="X296" i="19" s="1"/>
  <c r="W59" i="19"/>
  <c r="X59" i="19" s="1"/>
  <c r="W318" i="19"/>
  <c r="W88" i="19"/>
  <c r="X88" i="19" s="1"/>
  <c r="W122" i="19"/>
  <c r="X122" i="19" s="1"/>
  <c r="W78" i="19"/>
  <c r="X78" i="19" s="1"/>
  <c r="W39" i="19"/>
  <c r="X39" i="19" s="1"/>
  <c r="W179" i="19"/>
  <c r="X179" i="19" s="1"/>
  <c r="W300" i="19"/>
  <c r="X300" i="19" s="1"/>
  <c r="W217" i="19"/>
  <c r="X217" i="19" s="1"/>
  <c r="W94" i="19"/>
  <c r="X94" i="19" s="1"/>
  <c r="W89" i="19"/>
  <c r="X89" i="19" s="1"/>
  <c r="W307" i="19"/>
  <c r="X307" i="19" s="1"/>
  <c r="W185" i="19"/>
  <c r="X185" i="19" s="1"/>
  <c r="W103" i="19"/>
  <c r="X103" i="19" s="1"/>
  <c r="W81" i="19"/>
  <c r="X81" i="19" s="1"/>
  <c r="W60" i="19"/>
  <c r="X60" i="19" s="1"/>
  <c r="W43" i="19"/>
  <c r="X43" i="19" s="1"/>
  <c r="W297" i="19"/>
  <c r="X297" i="19" s="1"/>
  <c r="W196" i="19"/>
  <c r="X196" i="19" s="1"/>
  <c r="W38" i="19"/>
  <c r="X38" i="19" s="1"/>
  <c r="W274" i="19"/>
  <c r="X274" i="19" s="1"/>
  <c r="W239" i="19"/>
  <c r="X239" i="19" s="1"/>
  <c r="W120" i="19"/>
  <c r="X120" i="19" s="1"/>
  <c r="W48" i="19"/>
  <c r="X48" i="19" s="1"/>
  <c r="W226" i="19"/>
  <c r="X226" i="19" s="1"/>
  <c r="W69" i="19"/>
  <c r="X69" i="19" s="1"/>
  <c r="W279" i="19"/>
  <c r="X279" i="19" s="1"/>
  <c r="W270" i="19"/>
  <c r="X270" i="19" s="1"/>
  <c r="W42" i="19"/>
  <c r="X42" i="19" s="1"/>
  <c r="W254" i="19"/>
  <c r="X254" i="19" s="1"/>
  <c r="W140" i="19"/>
  <c r="X140" i="19" s="1"/>
  <c r="W228" i="19"/>
  <c r="X228" i="19" s="1"/>
  <c r="W249" i="19"/>
  <c r="X249" i="19" s="1"/>
  <c r="W168" i="19"/>
  <c r="X168" i="19" s="1"/>
  <c r="W298" i="19"/>
  <c r="X298" i="19" s="1"/>
  <c r="W73" i="19"/>
  <c r="X73" i="19" s="1"/>
  <c r="W280" i="19"/>
  <c r="X280" i="19" s="1"/>
  <c r="W313" i="19"/>
  <c r="X313" i="19" s="1"/>
  <c r="W194" i="19"/>
  <c r="X194" i="19" s="1"/>
  <c r="W272" i="19"/>
  <c r="X272" i="19" s="1"/>
  <c r="W18" i="19"/>
  <c r="X18" i="19" s="1"/>
  <c r="W80" i="19"/>
  <c r="X80" i="19" s="1"/>
  <c r="W207" i="19"/>
  <c r="X207" i="19" s="1"/>
  <c r="W231" i="19"/>
  <c r="X231" i="19" s="1"/>
  <c r="W305" i="19"/>
  <c r="X305" i="19" s="1"/>
  <c r="W149" i="19"/>
  <c r="X149" i="19" s="1"/>
  <c r="W205" i="19"/>
  <c r="X205" i="19" s="1"/>
  <c r="W13" i="19"/>
  <c r="X13" i="19" s="1"/>
  <c r="W27" i="19"/>
  <c r="X27" i="19" s="1"/>
  <c r="W286" i="19"/>
  <c r="X286" i="19" s="1"/>
  <c r="W53" i="19"/>
  <c r="X53" i="19" s="1"/>
  <c r="W260" i="19"/>
  <c r="X260" i="19" s="1"/>
  <c r="W317" i="19"/>
  <c r="X317" i="19" s="1"/>
  <c r="W134" i="19"/>
  <c r="X134" i="19" s="1"/>
  <c r="W183" i="19"/>
  <c r="X183" i="19" s="1"/>
  <c r="W218" i="19"/>
  <c r="X218" i="19" s="1"/>
  <c r="W50" i="19"/>
  <c r="X50" i="19" s="1"/>
  <c r="W271" i="19"/>
  <c r="X271" i="19" s="1"/>
  <c r="W19" i="19"/>
  <c r="X19" i="19" s="1"/>
  <c r="W98" i="19"/>
  <c r="X98" i="19" s="1"/>
  <c r="W114" i="19"/>
  <c r="X114" i="19" s="1"/>
  <c r="W24" i="19"/>
  <c r="X24" i="19" s="1"/>
  <c r="W222" i="19"/>
  <c r="X222" i="19" s="1"/>
  <c r="W15" i="19"/>
  <c r="X15" i="19" s="1"/>
  <c r="W95" i="19"/>
  <c r="X95" i="19" s="1"/>
  <c r="W90" i="19"/>
  <c r="X90" i="19" s="1"/>
  <c r="W109" i="19"/>
  <c r="X109" i="19" s="1"/>
  <c r="W187" i="19"/>
  <c r="X187" i="19" s="1"/>
  <c r="W173" i="19"/>
  <c r="X173" i="19" s="1"/>
  <c r="W136" i="19"/>
  <c r="X136" i="19" s="1"/>
  <c r="W210" i="19"/>
  <c r="X210" i="19" s="1"/>
  <c r="W184" i="19"/>
  <c r="X184" i="19" s="1"/>
  <c r="W127" i="19"/>
  <c r="X127" i="19" s="1"/>
  <c r="W77" i="19"/>
  <c r="X77" i="19" s="1"/>
  <c r="W138" i="19"/>
  <c r="X138" i="19" s="1"/>
  <c r="W135" i="19"/>
  <c r="X135" i="19" s="1"/>
  <c r="W57" i="19"/>
  <c r="X57" i="19" s="1"/>
  <c r="W56" i="19"/>
  <c r="X56" i="19" s="1"/>
  <c r="W10" i="19"/>
  <c r="X10" i="19" s="1"/>
  <c r="W247" i="19"/>
  <c r="X247" i="19" s="1"/>
  <c r="W262" i="19"/>
  <c r="X262" i="19" s="1"/>
  <c r="W35" i="19"/>
  <c r="X35" i="19" s="1"/>
  <c r="W64" i="19"/>
  <c r="X64" i="19" s="1"/>
  <c r="W256" i="19"/>
  <c r="X256" i="19" s="1"/>
  <c r="W269" i="19"/>
  <c r="X269" i="19" s="1"/>
  <c r="W232" i="19"/>
  <c r="X232" i="19" s="1"/>
  <c r="W123" i="19"/>
  <c r="X123" i="19" s="1"/>
  <c r="W99" i="19"/>
  <c r="X99" i="19" s="1"/>
  <c r="W170" i="19"/>
  <c r="X170" i="19" s="1"/>
  <c r="W32" i="19"/>
  <c r="X32" i="19" s="1"/>
  <c r="W9" i="19"/>
  <c r="X9" i="19" s="1"/>
  <c r="W191" i="19"/>
  <c r="X191" i="19" s="1"/>
  <c r="W133" i="19"/>
  <c r="X133" i="19" s="1"/>
  <c r="W202" i="19"/>
  <c r="X202" i="19" s="1"/>
  <c r="W171" i="19"/>
  <c r="X171" i="19" s="1"/>
  <c r="W107" i="19"/>
  <c r="X107" i="19" s="1"/>
  <c r="W287" i="19"/>
  <c r="X287" i="19" s="1"/>
  <c r="W26" i="19"/>
  <c r="X26" i="19" s="1"/>
  <c r="W28" i="19"/>
  <c r="X28" i="19" s="1"/>
  <c r="W62" i="19"/>
  <c r="X62" i="19" s="1"/>
  <c r="W308" i="19"/>
  <c r="X308" i="19" s="1"/>
  <c r="W302" i="19"/>
  <c r="X302" i="19" s="1"/>
  <c r="W52" i="19"/>
  <c r="X52" i="19" s="1"/>
  <c r="W276" i="19"/>
  <c r="X276" i="19" s="1"/>
  <c r="W20" i="19"/>
  <c r="X20" i="19" s="1"/>
  <c r="W180" i="19"/>
  <c r="X180" i="19" s="1"/>
  <c r="W236" i="19"/>
  <c r="X236" i="19" s="1"/>
  <c r="W67" i="19"/>
  <c r="X67" i="19" s="1"/>
  <c r="W172" i="19"/>
  <c r="X172" i="19" s="1"/>
  <c r="W295" i="19"/>
  <c r="X295" i="19" s="1"/>
  <c r="W193" i="19"/>
  <c r="X193" i="19" s="1"/>
  <c r="W147" i="19"/>
  <c r="X147" i="19" s="1"/>
  <c r="W129" i="19"/>
  <c r="X129" i="19" s="1"/>
  <c r="W278" i="19"/>
  <c r="X278" i="19" s="1"/>
  <c r="W244" i="19"/>
  <c r="X244" i="19" s="1"/>
  <c r="W157" i="19"/>
  <c r="X157" i="19" s="1"/>
  <c r="W25" i="19"/>
  <c r="X25" i="19" s="1"/>
  <c r="W208" i="19"/>
  <c r="X208" i="19" s="1"/>
  <c r="W285" i="19"/>
  <c r="X285" i="19" s="1"/>
  <c r="W63" i="19"/>
  <c r="X63" i="19" s="1"/>
  <c r="W137" i="19"/>
  <c r="X137" i="19" s="1"/>
  <c r="W282" i="19"/>
  <c r="X282" i="19" s="1"/>
  <c r="W112" i="19"/>
  <c r="X112" i="19" s="1"/>
  <c r="W4" i="19"/>
  <c r="W188" i="19"/>
  <c r="X188" i="19" s="1"/>
  <c r="W152" i="19"/>
  <c r="X152" i="19" s="1"/>
  <c r="W5" i="19"/>
  <c r="W224" i="19"/>
  <c r="X224" i="19" s="1"/>
  <c r="W71" i="19"/>
  <c r="X71" i="19" s="1"/>
  <c r="W221" i="19"/>
  <c r="X221" i="19" s="1"/>
  <c r="W309" i="19"/>
  <c r="X309" i="19" s="1"/>
  <c r="W111" i="19"/>
  <c r="X111" i="19" s="1"/>
  <c r="W121" i="19"/>
  <c r="X121" i="19" s="1"/>
  <c r="W37" i="19"/>
  <c r="X37" i="19" s="1"/>
  <c r="W237" i="19"/>
  <c r="X237" i="19" s="1"/>
  <c r="W125" i="19"/>
  <c r="X125" i="19" s="1"/>
  <c r="W261" i="19"/>
  <c r="X261" i="19" s="1"/>
  <c r="W101" i="19"/>
  <c r="X101" i="19" s="1"/>
  <c r="W139" i="19"/>
  <c r="X139" i="19" s="1"/>
  <c r="W83" i="19"/>
  <c r="X83" i="19" s="1"/>
  <c r="W268" i="19"/>
  <c r="X268" i="19" s="1"/>
  <c r="W58" i="19"/>
  <c r="X58" i="19" s="1"/>
  <c r="W211" i="19"/>
  <c r="X211" i="19" s="1"/>
  <c r="W65" i="19"/>
  <c r="X65" i="19" s="1"/>
  <c r="W215" i="19"/>
  <c r="X215" i="19" s="1"/>
  <c r="W240" i="19"/>
  <c r="X240" i="19" s="1"/>
  <c r="W212" i="19"/>
  <c r="X212" i="19" s="1"/>
  <c r="W245" i="19"/>
  <c r="X245" i="19" s="1"/>
  <c r="W97" i="19"/>
  <c r="X97" i="19" s="1"/>
  <c r="W45" i="19"/>
  <c r="X45" i="19" s="1"/>
  <c r="W115" i="19"/>
  <c r="X115" i="19" s="1"/>
  <c r="W283" i="19"/>
  <c r="X283" i="19" s="1"/>
  <c r="W213" i="19"/>
  <c r="X213" i="19" s="1"/>
  <c r="W124" i="19"/>
  <c r="X124" i="19" s="1"/>
  <c r="W54" i="19"/>
  <c r="X54" i="19" s="1"/>
  <c r="W246" i="19"/>
  <c r="X246" i="19" s="1"/>
  <c r="X318" i="19" l="1"/>
  <c r="C19" i="41"/>
  <c r="C18" i="41" s="1"/>
  <c r="X4" i="19"/>
  <c r="W3" i="19" a="1"/>
  <c r="W3" i="19" s="1"/>
  <c r="X106" i="19"/>
  <c r="X5" i="19"/>
  <c r="X3" i="19" l="1" a="1"/>
  <c r="X3" i="19" s="1"/>
  <c r="X1" i="19" s="1"/>
  <c r="Y15" i="19"/>
  <c r="Z15" i="19" s="1"/>
  <c r="Y230" i="19"/>
  <c r="Z230" i="19" s="1"/>
  <c r="Y106" i="19"/>
  <c r="Z106" i="19" s="1"/>
  <c r="Y226" i="19"/>
  <c r="Z226" i="19" s="1"/>
  <c r="Y208" i="19"/>
  <c r="Z208" i="19" s="1"/>
  <c r="Y212" i="19"/>
  <c r="Z212" i="19" s="1"/>
  <c r="Y234" i="19"/>
  <c r="Z234" i="19" s="1"/>
  <c r="Y22" i="19"/>
  <c r="Z22" i="19" s="1"/>
  <c r="Y275" i="19"/>
  <c r="Z275" i="19" s="1"/>
  <c r="Y74" i="19"/>
  <c r="Z74" i="19" s="1"/>
  <c r="Y117" i="19"/>
  <c r="Z117" i="19" s="1"/>
  <c r="Y180" i="19"/>
  <c r="Z180" i="19" s="1"/>
  <c r="Y280" i="19"/>
  <c r="Z280" i="19" s="1"/>
  <c r="Y294" i="19"/>
  <c r="Z294" i="19" s="1"/>
  <c r="Y63" i="19"/>
  <c r="Z63" i="19" s="1"/>
  <c r="Y279" i="19"/>
  <c r="Z279" i="19" s="1"/>
  <c r="Y98" i="19"/>
  <c r="Z98" i="19" s="1"/>
  <c r="Y149" i="19"/>
  <c r="Z149" i="19" s="1"/>
  <c r="Y207" i="19"/>
  <c r="Z207" i="19" s="1"/>
  <c r="Y291" i="19"/>
  <c r="Z291" i="19" s="1"/>
  <c r="Y283" i="19"/>
  <c r="Z283" i="19" s="1"/>
  <c r="Y225" i="19"/>
  <c r="Z225" i="19" s="1"/>
  <c r="Y210" i="19"/>
  <c r="Z210" i="19" s="1"/>
  <c r="Y80" i="19"/>
  <c r="Z80" i="19" s="1"/>
  <c r="Y125" i="19"/>
  <c r="Z125" i="19" s="1"/>
  <c r="Y43" i="19"/>
  <c r="Z43" i="19" s="1"/>
  <c r="Y232" i="19"/>
  <c r="Z232" i="19" s="1"/>
  <c r="Y264" i="19"/>
  <c r="Z264" i="19" s="1"/>
  <c r="Y27" i="19"/>
  <c r="Z27" i="19" s="1"/>
  <c r="Y198" i="19"/>
  <c r="Z198" i="19" s="1"/>
  <c r="Y306" i="19"/>
  <c r="Z306" i="19" s="1"/>
  <c r="Y132" i="19"/>
  <c r="Z132" i="19" s="1"/>
  <c r="Y299" i="19"/>
  <c r="Z299" i="19" s="1"/>
  <c r="Y155" i="19"/>
  <c r="Z155" i="19" s="1"/>
  <c r="Y136" i="19"/>
  <c r="Z136" i="19" s="1"/>
  <c r="Y87" i="19"/>
  <c r="Z87" i="19" s="1"/>
  <c r="Y238" i="19"/>
  <c r="Z238" i="19" s="1"/>
  <c r="Y32" i="19"/>
  <c r="Z32" i="19" s="1"/>
  <c r="Y69" i="19"/>
  <c r="Z69" i="19" s="1"/>
  <c r="Y111" i="19"/>
  <c r="Z111" i="19" s="1"/>
  <c r="Y233" i="19"/>
  <c r="Z233" i="19" s="1"/>
  <c r="Y231" i="19"/>
  <c r="Z231" i="19" s="1"/>
  <c r="Y201" i="19"/>
  <c r="Z201" i="19" s="1"/>
  <c r="Y113" i="19"/>
  <c r="Z113" i="19" s="1"/>
  <c r="Y85" i="19"/>
  <c r="Z85" i="19" s="1"/>
  <c r="Y11" i="19"/>
  <c r="Z11" i="19" s="1"/>
  <c r="Y10" i="19"/>
  <c r="Z10" i="19" s="1"/>
  <c r="Y168" i="19"/>
  <c r="Z168" i="19" s="1"/>
  <c r="Y104" i="19"/>
  <c r="Z104" i="19" s="1"/>
  <c r="Y88" i="19"/>
  <c r="Z88" i="19" s="1"/>
  <c r="Y107" i="19"/>
  <c r="Z107" i="19" s="1"/>
  <c r="Y46" i="19"/>
  <c r="Z46" i="19" s="1"/>
  <c r="Y156" i="19"/>
  <c r="Z156" i="19" s="1"/>
  <c r="Y89" i="19"/>
  <c r="Z89" i="19" s="1"/>
  <c r="Y100" i="19"/>
  <c r="Z100" i="19" s="1"/>
  <c r="Y302" i="19"/>
  <c r="Z302" i="19" s="1"/>
  <c r="Y92" i="19"/>
  <c r="Z92" i="19" s="1"/>
  <c r="Y127" i="19"/>
  <c r="Z127" i="19" s="1"/>
  <c r="Y83" i="19"/>
  <c r="Z83" i="19" s="1"/>
  <c r="Y220" i="19"/>
  <c r="Z220" i="19" s="1"/>
  <c r="Y71" i="19"/>
  <c r="Z71" i="19" s="1"/>
  <c r="Y128" i="19"/>
  <c r="Z128" i="19" s="1"/>
  <c r="Y171" i="19"/>
  <c r="Z171" i="19" s="1"/>
  <c r="Y224" i="19"/>
  <c r="Z224" i="19" s="1"/>
  <c r="Y183" i="19"/>
  <c r="Z183" i="19" s="1"/>
  <c r="Y229" i="19"/>
  <c r="Z229" i="19" s="1"/>
  <c r="Y50" i="19"/>
  <c r="Z50" i="19" s="1"/>
  <c r="Y301" i="19"/>
  <c r="Z301" i="19" s="1"/>
  <c r="Y137" i="19"/>
  <c r="Z137" i="19" s="1"/>
  <c r="Y174" i="19"/>
  <c r="Z174" i="19" s="1"/>
  <c r="Y194" i="19"/>
  <c r="Z194" i="19" s="1"/>
  <c r="Y123" i="19"/>
  <c r="Z123" i="19" s="1"/>
  <c r="Y227" i="19"/>
  <c r="Z227" i="19" s="1"/>
  <c r="Y296" i="19"/>
  <c r="Z296" i="19" s="1"/>
  <c r="Y64" i="19"/>
  <c r="Z64" i="19" s="1"/>
  <c r="Y96" i="19"/>
  <c r="Z96" i="19" s="1"/>
  <c r="Y314" i="19"/>
  <c r="Z314" i="19" s="1"/>
  <c r="Y288" i="19"/>
  <c r="Z288" i="19" s="1"/>
  <c r="Y17" i="19"/>
  <c r="Z17" i="19" s="1"/>
  <c r="Y116" i="19"/>
  <c r="Z116" i="19" s="1"/>
  <c r="Y305" i="19"/>
  <c r="Z305" i="19" s="1"/>
  <c r="Y23" i="19"/>
  <c r="Z23" i="19" s="1"/>
  <c r="Y138" i="19"/>
  <c r="Z138" i="19" s="1"/>
  <c r="Y177" i="19"/>
  <c r="Z177" i="19" s="1"/>
  <c r="Y292" i="19"/>
  <c r="Z292" i="19" s="1"/>
  <c r="Y267" i="19"/>
  <c r="Z267" i="19" s="1"/>
  <c r="Y130" i="19"/>
  <c r="Z130" i="19" s="1"/>
  <c r="Y239" i="19"/>
  <c r="Z239" i="19" s="1"/>
  <c r="Y142" i="19"/>
  <c r="Z142" i="19" s="1"/>
  <c r="Y221" i="19"/>
  <c r="Z221" i="19" s="1"/>
  <c r="Y6" i="19"/>
  <c r="Z6" i="19" s="1"/>
  <c r="Y246" i="19"/>
  <c r="Z246" i="19" s="1"/>
  <c r="Y51" i="19"/>
  <c r="Z51" i="19" s="1"/>
  <c r="Y40" i="19"/>
  <c r="Z40" i="19" s="1"/>
  <c r="Y195" i="19"/>
  <c r="Z195" i="19" s="1"/>
  <c r="Y5" i="19"/>
  <c r="Y108" i="19"/>
  <c r="Z108" i="19" s="1"/>
  <c r="Y7" i="19"/>
  <c r="Z7" i="19" s="1"/>
  <c r="Y101" i="19"/>
  <c r="Z101" i="19" s="1"/>
  <c r="Y34" i="19"/>
  <c r="Z34" i="19" s="1"/>
  <c r="Y86" i="19"/>
  <c r="Z86" i="19" s="1"/>
  <c r="Y119" i="19"/>
  <c r="Z119" i="19" s="1"/>
  <c r="Y109" i="19"/>
  <c r="Z109" i="19" s="1"/>
  <c r="Y90" i="19"/>
  <c r="Z90" i="19" s="1"/>
  <c r="Y95" i="19"/>
  <c r="Z95" i="19" s="1"/>
  <c r="Y44" i="19"/>
  <c r="Z44" i="19" s="1"/>
  <c r="Y30" i="19"/>
  <c r="Z30" i="19" s="1"/>
  <c r="Y72" i="19"/>
  <c r="Z72" i="19" s="1"/>
  <c r="Y93" i="19"/>
  <c r="Z93" i="19" s="1"/>
  <c r="Y146" i="19"/>
  <c r="Z146" i="19" s="1"/>
  <c r="Y151" i="19"/>
  <c r="Z151" i="19" s="1"/>
  <c r="Y262" i="19"/>
  <c r="Z262" i="19" s="1"/>
  <c r="Y282" i="19"/>
  <c r="Z282" i="19" s="1"/>
  <c r="Y293" i="19"/>
  <c r="Z293" i="19" s="1"/>
  <c r="Y135" i="19"/>
  <c r="Z135" i="19" s="1"/>
  <c r="Y215" i="19"/>
  <c r="Z215" i="19" s="1"/>
  <c r="Y254" i="19"/>
  <c r="Z254" i="19" s="1"/>
  <c r="Y82" i="19"/>
  <c r="Z82" i="19" s="1"/>
  <c r="Y121" i="19"/>
  <c r="Z121" i="19" s="1"/>
  <c r="Y200" i="19"/>
  <c r="Z200" i="19" s="1"/>
  <c r="Y269" i="19"/>
  <c r="Z269" i="19" s="1"/>
  <c r="Y186" i="19"/>
  <c r="Z186" i="19" s="1"/>
  <c r="Y250" i="19"/>
  <c r="Z250" i="19" s="1"/>
  <c r="Y115" i="19"/>
  <c r="Z115" i="19" s="1"/>
  <c r="Y48" i="19"/>
  <c r="Z48" i="19" s="1"/>
  <c r="Y73" i="19"/>
  <c r="Z73" i="19" s="1"/>
  <c r="Y307" i="19"/>
  <c r="Z307" i="19" s="1"/>
  <c r="Y243" i="19"/>
  <c r="Z243" i="19" s="1"/>
  <c r="Y310" i="19"/>
  <c r="Z310" i="19" s="1"/>
  <c r="Y228" i="19"/>
  <c r="Z228" i="19" s="1"/>
  <c r="Y12" i="19"/>
  <c r="Z12" i="19" s="1"/>
  <c r="Y297" i="19"/>
  <c r="Z297" i="19" s="1"/>
  <c r="Y152" i="19"/>
  <c r="Z152" i="19" s="1"/>
  <c r="Y263" i="19"/>
  <c r="Z263" i="19" s="1"/>
  <c r="Y295" i="19"/>
  <c r="Z295" i="19" s="1"/>
  <c r="Y245" i="19"/>
  <c r="Z245" i="19" s="1"/>
  <c r="Y313" i="19"/>
  <c r="Z313" i="19" s="1"/>
  <c r="Y202" i="19"/>
  <c r="Z202" i="19" s="1"/>
  <c r="Y235" i="19"/>
  <c r="Z235" i="19" s="1"/>
  <c r="Y163" i="19"/>
  <c r="Z163" i="19" s="1"/>
  <c r="Y67" i="19"/>
  <c r="Z67" i="19" s="1"/>
  <c r="Y16" i="19"/>
  <c r="Z16" i="19" s="1"/>
  <c r="Y162" i="19"/>
  <c r="Z162" i="19" s="1"/>
  <c r="Y144" i="19"/>
  <c r="Z144" i="19" s="1"/>
  <c r="Y126" i="19"/>
  <c r="Z126" i="19" s="1"/>
  <c r="Y185" i="19"/>
  <c r="Z185" i="19" s="1"/>
  <c r="Y274" i="19"/>
  <c r="Z274" i="19" s="1"/>
  <c r="Y55" i="19"/>
  <c r="Z55" i="19" s="1"/>
  <c r="Y56" i="19"/>
  <c r="Z56" i="19" s="1"/>
  <c r="Y276" i="19"/>
  <c r="Z276" i="19" s="1"/>
  <c r="Y47" i="19"/>
  <c r="Z47" i="19" s="1"/>
  <c r="Y105" i="19"/>
  <c r="Z105" i="19" s="1"/>
  <c r="Y287" i="19"/>
  <c r="Z287" i="19" s="1"/>
  <c r="Y284" i="19"/>
  <c r="Z284" i="19" s="1"/>
  <c r="Y42" i="19"/>
  <c r="Z42" i="19" s="1"/>
  <c r="Y199" i="19"/>
  <c r="Z199" i="19" s="1"/>
  <c r="Y118" i="19"/>
  <c r="Z118" i="19" s="1"/>
  <c r="Y240" i="19"/>
  <c r="Z240" i="19" s="1"/>
  <c r="Y311" i="19"/>
  <c r="Z311" i="19" s="1"/>
  <c r="Y141" i="19"/>
  <c r="Z141" i="19" s="1"/>
  <c r="Y248" i="19"/>
  <c r="Z248" i="19" s="1"/>
  <c r="Y81" i="19"/>
  <c r="Z81" i="19" s="1"/>
  <c r="Y18" i="19"/>
  <c r="Z18" i="19" s="1"/>
  <c r="Y218" i="19"/>
  <c r="Z218" i="19" s="1"/>
  <c r="Y120" i="19"/>
  <c r="Z120" i="19" s="1"/>
  <c r="Y124" i="19"/>
  <c r="Z124" i="19" s="1"/>
  <c r="Y315" i="19"/>
  <c r="Z315" i="19" s="1"/>
  <c r="Y61" i="19"/>
  <c r="Z61" i="19" s="1"/>
  <c r="Y133" i="19"/>
  <c r="Z133" i="19" s="1"/>
  <c r="Y303" i="19"/>
  <c r="Z303" i="19" s="1"/>
  <c r="Y223" i="19"/>
  <c r="Z223" i="19" s="1"/>
  <c r="Y54" i="19"/>
  <c r="Z54" i="19" s="1"/>
  <c r="Y145" i="19"/>
  <c r="Z145" i="19" s="1"/>
  <c r="Y244" i="19"/>
  <c r="Z244" i="19" s="1"/>
  <c r="Y134" i="19"/>
  <c r="Z134" i="19" s="1"/>
  <c r="Y20" i="19"/>
  <c r="Z20" i="19" s="1"/>
  <c r="Y204" i="19"/>
  <c r="Z204" i="19" s="1"/>
  <c r="Y8" i="19"/>
  <c r="Z8" i="19" s="1"/>
  <c r="Y197" i="19"/>
  <c r="Z197" i="19" s="1"/>
  <c r="Y219" i="19"/>
  <c r="Z219" i="19" s="1"/>
  <c r="Y192" i="19"/>
  <c r="Z192" i="19" s="1"/>
  <c r="Y13" i="19"/>
  <c r="Z13" i="19" s="1"/>
  <c r="Y189" i="19"/>
  <c r="Z189" i="19" s="1"/>
  <c r="Y26" i="19"/>
  <c r="Z26" i="19" s="1"/>
  <c r="Y94" i="19"/>
  <c r="Z94" i="19" s="1"/>
  <c r="Y184" i="19"/>
  <c r="Z184" i="19" s="1"/>
  <c r="Y59" i="19"/>
  <c r="Z59" i="19" s="1"/>
  <c r="Y281" i="19"/>
  <c r="Z281" i="19" s="1"/>
  <c r="Y91" i="19"/>
  <c r="Z91" i="19" s="1"/>
  <c r="Y172" i="19"/>
  <c r="Z172" i="19" s="1"/>
  <c r="Y309" i="19"/>
  <c r="Z309" i="19" s="1"/>
  <c r="Y38" i="19"/>
  <c r="Z38" i="19" s="1"/>
  <c r="Y190" i="19"/>
  <c r="Z190" i="19" s="1"/>
  <c r="Y97" i="19"/>
  <c r="Z97" i="19" s="1"/>
  <c r="Y58" i="19"/>
  <c r="Z58" i="19" s="1"/>
  <c r="Y203" i="19"/>
  <c r="Z203" i="19" s="1"/>
  <c r="Y99" i="19"/>
  <c r="Z99" i="19" s="1"/>
  <c r="Y253" i="19"/>
  <c r="Z253" i="19" s="1"/>
  <c r="Y277" i="19"/>
  <c r="Z277" i="19" s="1"/>
  <c r="Y84" i="19"/>
  <c r="Z84" i="19" s="1"/>
  <c r="Y139" i="19"/>
  <c r="Z139" i="19" s="1"/>
  <c r="Y21" i="19"/>
  <c r="Z21" i="19" s="1"/>
  <c r="Y28" i="19"/>
  <c r="Z28" i="19" s="1"/>
  <c r="Y154" i="19"/>
  <c r="Z154" i="19" s="1"/>
  <c r="Y312" i="19"/>
  <c r="Z312" i="19" s="1"/>
  <c r="Y205" i="19"/>
  <c r="Z205" i="19" s="1"/>
  <c r="Y272" i="19"/>
  <c r="Z272" i="19" s="1"/>
  <c r="Y242" i="19"/>
  <c r="Z242" i="19" s="1"/>
  <c r="Y66" i="19"/>
  <c r="Z66" i="19" s="1"/>
  <c r="Y181" i="19"/>
  <c r="Z181" i="19" s="1"/>
  <c r="Y196" i="19"/>
  <c r="Z196" i="19" s="1"/>
  <c r="Y270" i="19"/>
  <c r="Z270" i="19" s="1"/>
  <c r="Y252" i="19"/>
  <c r="Z252" i="19" s="1"/>
  <c r="Y265" i="19"/>
  <c r="Z265" i="19" s="1"/>
  <c r="Y150" i="19"/>
  <c r="Z150" i="19" s="1"/>
  <c r="Y14" i="19"/>
  <c r="Z14" i="19" s="1"/>
  <c r="Y211" i="19"/>
  <c r="Z211" i="19" s="1"/>
  <c r="Y187" i="19"/>
  <c r="Z187" i="19" s="1"/>
  <c r="Y178" i="19"/>
  <c r="Z178" i="19" s="1"/>
  <c r="Y259" i="19"/>
  <c r="Z259" i="19" s="1"/>
  <c r="Y62" i="19"/>
  <c r="Z62" i="19" s="1"/>
  <c r="Y36" i="19"/>
  <c r="Z36" i="19" s="1"/>
  <c r="Y258" i="19"/>
  <c r="Z258" i="19" s="1"/>
  <c r="Y140" i="19"/>
  <c r="Z140" i="19" s="1"/>
  <c r="Y255" i="19"/>
  <c r="Z255" i="19" s="1"/>
  <c r="Y131" i="19"/>
  <c r="Z131" i="19" s="1"/>
  <c r="Y153" i="19"/>
  <c r="Z153" i="19" s="1"/>
  <c r="Y237" i="19"/>
  <c r="Z237" i="19" s="1"/>
  <c r="Y206" i="19"/>
  <c r="Z206" i="19" s="1"/>
  <c r="Y176" i="19"/>
  <c r="Z176" i="19" s="1"/>
  <c r="Y79" i="19"/>
  <c r="Z79" i="19" s="1"/>
  <c r="Y298" i="19"/>
  <c r="Z298" i="19" s="1"/>
  <c r="Y37" i="19"/>
  <c r="Z37" i="19" s="1"/>
  <c r="Y9" i="19"/>
  <c r="Z9" i="19" s="1"/>
  <c r="Y316" i="19"/>
  <c r="Z316" i="19" s="1"/>
  <c r="Y268" i="19"/>
  <c r="Z268" i="19" s="1"/>
  <c r="Y164" i="19"/>
  <c r="Z164" i="19" s="1"/>
  <c r="Y247" i="19"/>
  <c r="Z247" i="19" s="1"/>
  <c r="Y160" i="19"/>
  <c r="Z160" i="19" s="1"/>
  <c r="Y214" i="19"/>
  <c r="Z214" i="19" s="1"/>
  <c r="Y300" i="19"/>
  <c r="Z300" i="19" s="1"/>
  <c r="Y148" i="19"/>
  <c r="Z148" i="19" s="1"/>
  <c r="Y317" i="19"/>
  <c r="Z317" i="19" s="1"/>
  <c r="Y112" i="19"/>
  <c r="Z112" i="19" s="1"/>
  <c r="Y77" i="19"/>
  <c r="Z77" i="19" s="1"/>
  <c r="Y165" i="19"/>
  <c r="Z165" i="19" s="1"/>
  <c r="Y65" i="19"/>
  <c r="Z65" i="19" s="1"/>
  <c r="Y41" i="19"/>
  <c r="Z41" i="19" s="1"/>
  <c r="Y35" i="19"/>
  <c r="Z35" i="19" s="1"/>
  <c r="Y266" i="19"/>
  <c r="Z266" i="19" s="1"/>
  <c r="Y102" i="19"/>
  <c r="Z102" i="19" s="1"/>
  <c r="Y31" i="19"/>
  <c r="Z31" i="19" s="1"/>
  <c r="Y257" i="19"/>
  <c r="Z257" i="19" s="1"/>
  <c r="Y241" i="19"/>
  <c r="Z241" i="19" s="1"/>
  <c r="Y216" i="19"/>
  <c r="Z216" i="19" s="1"/>
  <c r="Y289" i="19"/>
  <c r="Z289" i="19" s="1"/>
  <c r="Y33" i="19"/>
  <c r="Z33" i="19" s="1"/>
  <c r="Y273" i="19"/>
  <c r="Z273" i="19" s="1"/>
  <c r="Y157" i="19"/>
  <c r="Z157" i="19" s="1"/>
  <c r="Y143" i="19"/>
  <c r="Z143" i="19" s="1"/>
  <c r="Y271" i="19"/>
  <c r="Z271" i="19" s="1"/>
  <c r="Y222" i="19"/>
  <c r="Z222" i="19" s="1"/>
  <c r="Y70" i="19"/>
  <c r="Z70" i="19" s="1"/>
  <c r="Y290" i="19"/>
  <c r="Z290" i="19" s="1"/>
  <c r="Y209" i="19"/>
  <c r="Z209" i="19" s="1"/>
  <c r="Y182" i="19"/>
  <c r="Z182" i="19" s="1"/>
  <c r="Y147" i="19"/>
  <c r="Z147" i="19" s="1"/>
  <c r="Y161" i="19"/>
  <c r="Z161" i="19" s="1"/>
  <c r="Y308" i="19"/>
  <c r="Z308" i="19" s="1"/>
  <c r="Y286" i="19"/>
  <c r="Z286" i="19" s="1"/>
  <c r="Y251" i="19"/>
  <c r="Z251" i="19" s="1"/>
  <c r="Y256" i="19"/>
  <c r="Z256" i="19" s="1"/>
  <c r="Y166" i="19"/>
  <c r="Z166" i="19" s="1"/>
  <c r="Y57" i="19"/>
  <c r="Z57" i="19" s="1"/>
  <c r="Y158" i="19"/>
  <c r="Z158" i="19" s="1"/>
  <c r="Y188" i="19"/>
  <c r="Z188" i="19" s="1"/>
  <c r="Y170" i="19"/>
  <c r="Z170" i="19" s="1"/>
  <c r="Y193" i="19"/>
  <c r="Z193" i="19" s="1"/>
  <c r="Y213" i="19"/>
  <c r="Z213" i="19" s="1"/>
  <c r="Y39" i="19"/>
  <c r="Z39" i="19" s="1"/>
  <c r="Y261" i="19"/>
  <c r="Z261" i="19" s="1"/>
  <c r="Y68" i="19"/>
  <c r="Z68" i="19" s="1"/>
  <c r="Y53" i="19"/>
  <c r="Z53" i="19" s="1"/>
  <c r="Y191" i="19"/>
  <c r="Z191" i="19" s="1"/>
  <c r="Y285" i="19"/>
  <c r="Z285" i="19" s="1"/>
  <c r="Y260" i="19"/>
  <c r="Z260" i="19" s="1"/>
  <c r="Y179" i="19"/>
  <c r="Z179" i="19" s="1"/>
  <c r="Y114" i="19"/>
  <c r="Z114" i="19" s="1"/>
  <c r="Y60" i="19"/>
  <c r="Z60" i="19" s="1"/>
  <c r="Y110" i="19"/>
  <c r="Z110" i="19" s="1"/>
  <c r="Y24" i="19"/>
  <c r="Z24" i="19" s="1"/>
  <c r="Y78" i="19"/>
  <c r="Z78" i="19" s="1"/>
  <c r="Y217" i="19"/>
  <c r="Z217" i="19" s="1"/>
  <c r="Y122" i="19"/>
  <c r="Z122" i="19" s="1"/>
  <c r="Y129" i="19"/>
  <c r="Z129" i="19" s="1"/>
  <c r="Y25" i="19"/>
  <c r="Z25" i="19" s="1"/>
  <c r="Y278" i="19"/>
  <c r="Z278" i="19" s="1"/>
  <c r="Y304" i="19"/>
  <c r="Z304" i="19" s="1"/>
  <c r="Y52" i="19"/>
  <c r="Z52" i="19" s="1"/>
  <c r="Y103" i="19"/>
  <c r="Z103" i="19" s="1"/>
  <c r="Y45" i="19"/>
  <c r="Z45" i="19" s="1"/>
  <c r="Y175" i="19"/>
  <c r="Z175" i="19" s="1"/>
  <c r="Y159" i="19"/>
  <c r="Z159" i="19" s="1"/>
  <c r="Y169" i="19"/>
  <c r="Z169" i="19" s="1"/>
  <c r="Y29" i="19"/>
  <c r="Z29" i="19" s="1"/>
  <c r="Y75" i="19"/>
  <c r="Z75" i="19" s="1"/>
  <c r="Y167" i="19"/>
  <c r="Z167" i="19" s="1"/>
  <c r="Y76" i="19"/>
  <c r="Z76" i="19" s="1"/>
  <c r="Y249" i="19"/>
  <c r="Z249" i="19" s="1"/>
  <c r="Y4" i="19"/>
  <c r="Y19" i="19"/>
  <c r="Z19" i="19" s="1"/>
  <c r="Y318" i="19"/>
  <c r="Y173" i="19"/>
  <c r="Z173" i="19" s="1"/>
  <c r="Y49" i="19"/>
  <c r="Z49" i="19" s="1"/>
  <c r="Y236" i="19"/>
  <c r="Z236" i="19" s="1"/>
  <c r="Z318" i="19" l="1"/>
  <c r="C21" i="41"/>
  <c r="C24" i="41" s="1"/>
  <c r="Z4" i="19"/>
  <c r="Y3" i="19" a="1"/>
  <c r="Y3" i="19" s="1"/>
  <c r="Z5" i="19"/>
  <c r="Z3" i="19" l="1" a="1"/>
  <c r="Z3" i="19" s="1"/>
  <c r="AA236" i="19" s="1"/>
  <c r="AB236" i="19" s="1"/>
  <c r="AE236" i="19" s="1"/>
  <c r="AA243" i="19" l="1"/>
  <c r="AB243" i="19" s="1"/>
  <c r="AE243" i="19" s="1"/>
  <c r="AA246" i="19"/>
  <c r="AB246" i="19" s="1"/>
  <c r="AE246" i="19" s="1"/>
  <c r="AA119" i="19"/>
  <c r="AB119" i="19" s="1"/>
  <c r="AE119" i="19" s="1"/>
  <c r="AA303" i="19"/>
  <c r="AB303" i="19" s="1"/>
  <c r="AE303" i="19" s="1"/>
  <c r="AA88" i="19"/>
  <c r="AB88" i="19" s="1"/>
  <c r="AE88" i="19" s="1"/>
  <c r="AA211" i="19"/>
  <c r="AB211" i="19" s="1"/>
  <c r="AD211" i="19" s="1"/>
  <c r="AA275" i="19"/>
  <c r="AB275" i="19" s="1"/>
  <c r="AE275" i="19" s="1"/>
  <c r="AA94" i="19"/>
  <c r="AB94" i="19" s="1"/>
  <c r="AE94" i="19" s="1"/>
  <c r="AA318" i="19"/>
  <c r="AB318" i="19" s="1"/>
  <c r="AE318" i="19" s="1"/>
  <c r="AA133" i="19"/>
  <c r="AB133" i="19" s="1"/>
  <c r="AE133" i="19" s="1"/>
  <c r="AA208" i="19"/>
  <c r="AB208" i="19" s="1"/>
  <c r="AE208" i="19" s="1"/>
  <c r="AA77" i="19"/>
  <c r="AB77" i="19" s="1"/>
  <c r="AE77" i="19" s="1"/>
  <c r="AA296" i="19"/>
  <c r="AB296" i="19" s="1"/>
  <c r="AE296" i="19" s="1"/>
  <c r="AA204" i="19"/>
  <c r="AB204" i="19" s="1"/>
  <c r="AE204" i="19" s="1"/>
  <c r="AA168" i="19"/>
  <c r="AB168" i="19" s="1"/>
  <c r="AE168" i="19" s="1"/>
  <c r="AA316" i="19"/>
  <c r="AB316" i="19" s="1"/>
  <c r="AE316" i="19" s="1"/>
  <c r="AA174" i="19"/>
  <c r="AB174" i="19" s="1"/>
  <c r="AE174" i="19" s="1"/>
  <c r="AA218" i="19"/>
  <c r="AB218" i="19" s="1"/>
  <c r="AE218" i="19" s="1"/>
  <c r="AA74" i="19"/>
  <c r="AB74" i="19" s="1"/>
  <c r="AE74" i="19" s="1"/>
  <c r="AA297" i="19"/>
  <c r="AB297" i="19" s="1"/>
  <c r="AE297" i="19" s="1"/>
  <c r="AA171" i="19"/>
  <c r="AB171" i="19" s="1"/>
  <c r="AE171" i="19" s="1"/>
  <c r="AA175" i="19"/>
  <c r="AB175" i="19" s="1"/>
  <c r="AE175" i="19" s="1"/>
  <c r="AA278" i="19"/>
  <c r="AB278" i="19" s="1"/>
  <c r="AE278" i="19" s="1"/>
  <c r="AA25" i="19"/>
  <c r="AB25" i="19" s="1"/>
  <c r="AE25" i="19" s="1"/>
  <c r="AA248" i="19"/>
  <c r="AB248" i="19" s="1"/>
  <c r="AE248" i="19" s="1"/>
  <c r="AA120" i="19"/>
  <c r="AB120" i="19" s="1"/>
  <c r="AE120" i="19" s="1"/>
  <c r="AA229" i="19"/>
  <c r="AB229" i="19" s="1"/>
  <c r="AE229" i="19" s="1"/>
  <c r="AA210" i="19"/>
  <c r="AB210" i="19" s="1"/>
  <c r="AE210" i="19" s="1"/>
  <c r="AA52" i="19"/>
  <c r="AB52" i="19" s="1"/>
  <c r="AE52" i="19" s="1"/>
  <c r="AA186" i="19"/>
  <c r="AB186" i="19" s="1"/>
  <c r="AE186" i="19" s="1"/>
  <c r="AA249" i="19"/>
  <c r="AB249" i="19" s="1"/>
  <c r="AE249" i="19" s="1"/>
  <c r="AA131" i="19"/>
  <c r="AB131" i="19" s="1"/>
  <c r="AE131" i="19" s="1"/>
  <c r="AA291" i="19"/>
  <c r="AB291" i="19" s="1"/>
  <c r="AE291" i="19" s="1"/>
  <c r="AA292" i="19"/>
  <c r="AB292" i="19" s="1"/>
  <c r="AE292" i="19" s="1"/>
  <c r="AA214" i="19"/>
  <c r="AB214" i="19" s="1"/>
  <c r="AE214" i="19" s="1"/>
  <c r="AA221" i="19"/>
  <c r="AB221" i="19" s="1"/>
  <c r="AE221" i="19" s="1"/>
  <c r="AA310" i="19"/>
  <c r="AB310" i="19" s="1"/>
  <c r="AE310" i="19" s="1"/>
  <c r="AA176" i="19"/>
  <c r="AB176" i="19" s="1"/>
  <c r="AE176" i="19" s="1"/>
  <c r="AA245" i="19"/>
  <c r="AB245" i="19" s="1"/>
  <c r="AE245" i="19" s="1"/>
  <c r="AA101" i="19"/>
  <c r="AB101" i="19" s="1"/>
  <c r="AE101" i="19" s="1"/>
  <c r="AA159" i="19"/>
  <c r="AB159" i="19" s="1"/>
  <c r="AE159" i="19" s="1"/>
  <c r="AA41" i="19"/>
  <c r="AB41" i="19" s="1"/>
  <c r="AE41" i="19" s="1"/>
  <c r="AA45" i="19"/>
  <c r="AB45" i="19" s="1"/>
  <c r="AE45" i="19" s="1"/>
  <c r="AA19" i="19"/>
  <c r="AB19" i="19" s="1"/>
  <c r="AE19" i="19" s="1"/>
  <c r="AA152" i="19"/>
  <c r="AB152" i="19" s="1"/>
  <c r="AE152" i="19" s="1"/>
  <c r="AA313" i="19"/>
  <c r="AB313" i="19" s="1"/>
  <c r="AE313" i="19" s="1"/>
  <c r="AA240" i="19"/>
  <c r="AB240" i="19" s="1"/>
  <c r="AE240" i="19" s="1"/>
  <c r="AA276" i="19"/>
  <c r="AB276" i="19" s="1"/>
  <c r="AE276" i="19" s="1"/>
  <c r="AA289" i="19"/>
  <c r="AB289" i="19" s="1"/>
  <c r="AE289" i="19" s="1"/>
  <c r="AA306" i="19"/>
  <c r="AB306" i="19" s="1"/>
  <c r="AE306" i="19" s="1"/>
  <c r="AA228" i="19"/>
  <c r="AB228" i="19" s="1"/>
  <c r="AE228" i="19" s="1"/>
  <c r="AA93" i="19"/>
  <c r="AB93" i="19" s="1"/>
  <c r="AE93" i="19" s="1"/>
  <c r="AA190" i="19"/>
  <c r="AB190" i="19" s="1"/>
  <c r="AE190" i="19" s="1"/>
  <c r="AA16" i="19"/>
  <c r="AB16" i="19" s="1"/>
  <c r="AE16" i="19" s="1"/>
  <c r="AA58" i="19"/>
  <c r="AB58" i="19" s="1"/>
  <c r="AE58" i="19" s="1"/>
  <c r="AA38" i="19"/>
  <c r="AB38" i="19" s="1"/>
  <c r="AE38" i="19" s="1"/>
  <c r="AA121" i="19"/>
  <c r="AB121" i="19" s="1"/>
  <c r="AE121" i="19" s="1"/>
  <c r="AA167" i="19"/>
  <c r="AB167" i="19" s="1"/>
  <c r="AE167" i="19" s="1"/>
  <c r="AA103" i="19"/>
  <c r="AB103" i="19" s="1"/>
  <c r="AE103" i="19" s="1"/>
  <c r="AA233" i="19"/>
  <c r="AB233" i="19" s="1"/>
  <c r="AE233" i="19" s="1"/>
  <c r="AA136" i="19"/>
  <c r="AB136" i="19" s="1"/>
  <c r="AE136" i="19" s="1"/>
  <c r="AA309" i="19"/>
  <c r="AB309" i="19" s="1"/>
  <c r="AE309" i="19" s="1"/>
  <c r="AA66" i="19"/>
  <c r="AB66" i="19" s="1"/>
  <c r="AE66" i="19" s="1"/>
  <c r="AA145" i="19"/>
  <c r="AB145" i="19" s="1"/>
  <c r="AE145" i="19" s="1"/>
  <c r="AA90" i="19"/>
  <c r="AB90" i="19" s="1"/>
  <c r="AE90" i="19" s="1"/>
  <c r="AA286" i="19"/>
  <c r="AB286" i="19" s="1"/>
  <c r="AE286" i="19" s="1"/>
  <c r="AA166" i="19"/>
  <c r="AB166" i="19" s="1"/>
  <c r="AE166" i="19" s="1"/>
  <c r="AA110" i="19"/>
  <c r="AB110" i="19" s="1"/>
  <c r="AE110" i="19" s="1"/>
  <c r="AA150" i="19"/>
  <c r="AB150" i="19" s="1"/>
  <c r="AE150" i="19" s="1"/>
  <c r="AA33" i="19"/>
  <c r="AB33" i="19" s="1"/>
  <c r="AE33" i="19" s="1"/>
  <c r="AA241" i="19"/>
  <c r="AB241" i="19" s="1"/>
  <c r="AE241" i="19" s="1"/>
  <c r="AA55" i="19"/>
  <c r="AB55" i="19" s="1"/>
  <c r="AE55" i="19" s="1"/>
  <c r="AA315" i="19"/>
  <c r="AB315" i="19" s="1"/>
  <c r="AE315" i="19" s="1"/>
  <c r="AA307" i="19"/>
  <c r="AB307" i="19" s="1"/>
  <c r="AE307" i="19" s="1"/>
  <c r="AA280" i="19"/>
  <c r="AB280" i="19" s="1"/>
  <c r="AE280" i="19" s="1"/>
  <c r="AA197" i="19"/>
  <c r="AB197" i="19" s="1"/>
  <c r="AE197" i="19" s="1"/>
  <c r="AA154" i="19"/>
  <c r="AB154" i="19" s="1"/>
  <c r="AE154" i="19" s="1"/>
  <c r="AA227" i="19"/>
  <c r="AB227" i="19" s="1"/>
  <c r="AE227" i="19" s="1"/>
  <c r="AA107" i="19"/>
  <c r="AB107" i="19" s="1"/>
  <c r="AE107" i="19" s="1"/>
  <c r="AA251" i="19"/>
  <c r="AB251" i="19" s="1"/>
  <c r="AE251" i="19" s="1"/>
  <c r="AA143" i="19"/>
  <c r="AB143" i="19" s="1"/>
  <c r="AE143" i="19" s="1"/>
  <c r="AA199" i="19"/>
  <c r="AB199" i="19" s="1"/>
  <c r="AE199" i="19" s="1"/>
  <c r="AA170" i="19"/>
  <c r="AB170" i="19" s="1"/>
  <c r="AE170" i="19" s="1"/>
  <c r="AA108" i="19"/>
  <c r="AB108" i="19" s="1"/>
  <c r="AE108" i="19" s="1"/>
  <c r="AA137" i="19"/>
  <c r="AB137" i="19" s="1"/>
  <c r="AE137" i="19" s="1"/>
  <c r="AA87" i="19"/>
  <c r="AB87" i="19" s="1"/>
  <c r="AE87" i="19" s="1"/>
  <c r="AA209" i="19"/>
  <c r="AB209" i="19" s="1"/>
  <c r="AE209" i="19" s="1"/>
  <c r="AA173" i="19"/>
  <c r="AB173" i="19" s="1"/>
  <c r="AE173" i="19" s="1"/>
  <c r="AA259" i="19"/>
  <c r="AB259" i="19" s="1"/>
  <c r="AE259" i="19" s="1"/>
  <c r="AA24" i="19"/>
  <c r="AB24" i="19" s="1"/>
  <c r="AE24" i="19" s="1"/>
  <c r="AA217" i="19"/>
  <c r="AB217" i="19" s="1"/>
  <c r="AE217" i="19" s="1"/>
  <c r="AA61" i="19"/>
  <c r="AB61" i="19" s="1"/>
  <c r="AE61" i="19" s="1"/>
  <c r="AA207" i="19"/>
  <c r="AB207" i="19" s="1"/>
  <c r="AE207" i="19" s="1"/>
  <c r="AA132" i="19"/>
  <c r="AB132" i="19" s="1"/>
  <c r="AE132" i="19" s="1"/>
  <c r="AA22" i="19"/>
  <c r="AB22" i="19" s="1"/>
  <c r="AE22" i="19" s="1"/>
  <c r="AA7" i="19"/>
  <c r="AB7" i="19" s="1"/>
  <c r="AE7" i="19" s="1"/>
  <c r="AA282" i="19"/>
  <c r="AB282" i="19" s="1"/>
  <c r="AE282" i="19" s="1"/>
  <c r="AA134" i="19"/>
  <c r="AB134" i="19" s="1"/>
  <c r="AE134" i="19" s="1"/>
  <c r="AA290" i="19"/>
  <c r="AB290" i="19" s="1"/>
  <c r="AE290" i="19" s="1"/>
  <c r="AA273" i="19"/>
  <c r="AB273" i="19" s="1"/>
  <c r="AE273" i="19" s="1"/>
  <c r="AA202" i="19"/>
  <c r="AB202" i="19" s="1"/>
  <c r="AE202" i="19" s="1"/>
  <c r="AA83" i="19"/>
  <c r="AB83" i="19" s="1"/>
  <c r="AE83" i="19" s="1"/>
  <c r="AA262" i="19"/>
  <c r="AB262" i="19" s="1"/>
  <c r="AE262" i="19" s="1"/>
  <c r="AA242" i="19"/>
  <c r="AB242" i="19" s="1"/>
  <c r="AE242" i="19" s="1"/>
  <c r="AA13" i="19"/>
  <c r="AB13" i="19" s="1"/>
  <c r="AE13" i="19" s="1"/>
  <c r="AA179" i="19"/>
  <c r="AB179" i="19" s="1"/>
  <c r="AE179" i="19" s="1"/>
  <c r="AA158" i="19"/>
  <c r="AB158" i="19" s="1"/>
  <c r="AE158" i="19" s="1"/>
  <c r="AA238" i="19"/>
  <c r="AB238" i="19" s="1"/>
  <c r="AE238" i="19" s="1"/>
  <c r="AA111" i="19"/>
  <c r="AB111" i="19" s="1"/>
  <c r="AE111" i="19" s="1"/>
  <c r="AA59" i="19"/>
  <c r="AB59" i="19" s="1"/>
  <c r="AE59" i="19" s="1"/>
  <c r="AA142" i="19"/>
  <c r="AB142" i="19" s="1"/>
  <c r="AE142" i="19" s="1"/>
  <c r="AA114" i="19"/>
  <c r="AB114" i="19" s="1"/>
  <c r="AE114" i="19" s="1"/>
  <c r="AA163" i="19"/>
  <c r="AB163" i="19" s="1"/>
  <c r="AE163" i="19" s="1"/>
  <c r="AA284" i="19"/>
  <c r="AB284" i="19" s="1"/>
  <c r="AE284" i="19" s="1"/>
  <c r="AA92" i="19"/>
  <c r="AB92" i="19" s="1"/>
  <c r="AE92" i="19" s="1"/>
  <c r="AA219" i="19"/>
  <c r="AB219" i="19" s="1"/>
  <c r="AE219" i="19" s="1"/>
  <c r="AA40" i="19"/>
  <c r="AB40" i="19" s="1"/>
  <c r="AE40" i="19" s="1"/>
  <c r="AA147" i="19"/>
  <c r="AB147" i="19" s="1"/>
  <c r="AE147" i="19" s="1"/>
  <c r="AA299" i="19"/>
  <c r="AB299" i="19" s="1"/>
  <c r="AE299" i="19" s="1"/>
  <c r="AA109" i="19"/>
  <c r="AB109" i="19" s="1"/>
  <c r="AE109" i="19" s="1"/>
  <c r="AA265" i="19"/>
  <c r="AB265" i="19" s="1"/>
  <c r="AE265" i="19" s="1"/>
  <c r="AA220" i="19"/>
  <c r="AB220" i="19" s="1"/>
  <c r="AE220" i="19" s="1"/>
  <c r="AA15" i="19"/>
  <c r="AB15" i="19" s="1"/>
  <c r="AE15" i="19" s="1"/>
  <c r="AA124" i="19"/>
  <c r="AB124" i="19" s="1"/>
  <c r="AE124" i="19" s="1"/>
  <c r="AA153" i="19"/>
  <c r="AB153" i="19" s="1"/>
  <c r="AE153" i="19" s="1"/>
  <c r="AA302" i="19"/>
  <c r="AB302" i="19" s="1"/>
  <c r="AE302" i="19" s="1"/>
  <c r="AA305" i="19"/>
  <c r="AB305" i="19" s="1"/>
  <c r="AE305" i="19" s="1"/>
  <c r="AA300" i="19"/>
  <c r="AB300" i="19" s="1"/>
  <c r="AE300" i="19" s="1"/>
  <c r="AA267" i="19"/>
  <c r="AB267" i="19" s="1"/>
  <c r="AE267" i="19" s="1"/>
  <c r="AA9" i="19"/>
  <c r="AB9" i="19" s="1"/>
  <c r="AE9" i="19" s="1"/>
  <c r="AA75" i="19"/>
  <c r="AB75" i="19" s="1"/>
  <c r="AE75" i="19" s="1"/>
  <c r="AA51" i="19"/>
  <c r="AB51" i="19" s="1"/>
  <c r="AE51" i="19" s="1"/>
  <c r="AA91" i="19"/>
  <c r="AB91" i="19" s="1"/>
  <c r="AE91" i="19" s="1"/>
  <c r="AA11" i="19"/>
  <c r="AB11" i="19" s="1"/>
  <c r="AE11" i="19" s="1"/>
  <c r="AA213" i="19"/>
  <c r="AB213" i="19" s="1"/>
  <c r="AE213" i="19" s="1"/>
  <c r="AA30" i="19"/>
  <c r="AB30" i="19" s="1"/>
  <c r="AE30" i="19" s="1"/>
  <c r="AA146" i="19"/>
  <c r="AB146" i="19" s="1"/>
  <c r="AE146" i="19" s="1"/>
  <c r="AA283" i="19"/>
  <c r="AB283" i="19" s="1"/>
  <c r="AE283" i="19" s="1"/>
  <c r="AA182" i="19"/>
  <c r="AB182" i="19" s="1"/>
  <c r="AE182" i="19" s="1"/>
  <c r="AA162" i="19"/>
  <c r="AB162" i="19" s="1"/>
  <c r="AE162" i="19" s="1"/>
  <c r="AA65" i="19"/>
  <c r="AB65" i="19" s="1"/>
  <c r="AE65" i="19" s="1"/>
  <c r="AA234" i="19"/>
  <c r="AB234" i="19" s="1"/>
  <c r="AE234" i="19" s="1"/>
  <c r="AA157" i="19"/>
  <c r="AB157" i="19" s="1"/>
  <c r="AE157" i="19" s="1"/>
  <c r="AA277" i="19"/>
  <c r="AB277" i="19" s="1"/>
  <c r="AE277" i="19" s="1"/>
  <c r="AA191" i="19"/>
  <c r="AB191" i="19" s="1"/>
  <c r="AE191" i="19" s="1"/>
  <c r="AA60" i="19"/>
  <c r="AB60" i="19" s="1"/>
  <c r="AE60" i="19" s="1"/>
  <c r="AA49" i="19"/>
  <c r="AB49" i="19" s="1"/>
  <c r="AE49" i="19" s="1"/>
  <c r="AA37" i="19"/>
  <c r="AB37" i="19" s="1"/>
  <c r="AE37" i="19" s="1"/>
  <c r="AA287" i="19"/>
  <c r="AB287" i="19" s="1"/>
  <c r="AE287" i="19" s="1"/>
  <c r="AA46" i="19"/>
  <c r="AB46" i="19" s="1"/>
  <c r="AE46" i="19" s="1"/>
  <c r="AA31" i="19"/>
  <c r="AB31" i="19" s="1"/>
  <c r="AE31" i="19" s="1"/>
  <c r="AA250" i="19"/>
  <c r="AB250" i="19" s="1"/>
  <c r="AE250" i="19" s="1"/>
  <c r="AA135" i="19"/>
  <c r="AB135" i="19" s="1"/>
  <c r="AE135" i="19" s="1"/>
  <c r="AA82" i="19"/>
  <c r="AB82" i="19" s="1"/>
  <c r="AE82" i="19" s="1"/>
  <c r="AA23" i="19"/>
  <c r="AB23" i="19" s="1"/>
  <c r="AE23" i="19" s="1"/>
  <c r="AA20" i="19"/>
  <c r="AB20" i="19" s="1"/>
  <c r="AE20" i="19" s="1"/>
  <c r="AA269" i="19"/>
  <c r="AB269" i="19" s="1"/>
  <c r="AE269" i="19" s="1"/>
  <c r="AA235" i="19"/>
  <c r="AB235" i="19" s="1"/>
  <c r="AE235" i="19" s="1"/>
  <c r="AA17" i="19"/>
  <c r="AB17" i="19" s="1"/>
  <c r="AE17" i="19" s="1"/>
  <c r="AA312" i="19"/>
  <c r="AB312" i="19" s="1"/>
  <c r="AE312" i="19" s="1"/>
  <c r="AA42" i="19"/>
  <c r="AB42" i="19" s="1"/>
  <c r="AE42" i="19" s="1"/>
  <c r="AA122" i="19"/>
  <c r="AB122" i="19" s="1"/>
  <c r="AE122" i="19" s="1"/>
  <c r="AA73" i="19"/>
  <c r="AB73" i="19" s="1"/>
  <c r="AE73" i="19" s="1"/>
  <c r="AA257" i="19"/>
  <c r="AB257" i="19" s="1"/>
  <c r="AE257" i="19" s="1"/>
  <c r="AA8" i="19"/>
  <c r="AB8" i="19" s="1"/>
  <c r="AE8" i="19" s="1"/>
  <c r="AA256" i="19"/>
  <c r="AB256" i="19" s="1"/>
  <c r="AE256" i="19" s="1"/>
  <c r="AA141" i="19"/>
  <c r="AB141" i="19" s="1"/>
  <c r="AE141" i="19" s="1"/>
  <c r="AA295" i="19"/>
  <c r="AB295" i="19" s="1"/>
  <c r="AE295" i="19" s="1"/>
  <c r="AA63" i="19"/>
  <c r="AB63" i="19" s="1"/>
  <c r="AE63" i="19" s="1"/>
  <c r="AA89" i="19"/>
  <c r="AB89" i="19" s="1"/>
  <c r="AE89" i="19" s="1"/>
  <c r="AA50" i="19"/>
  <c r="AB50" i="19" s="1"/>
  <c r="AE50" i="19" s="1"/>
  <c r="AA258" i="19"/>
  <c r="AB258" i="19" s="1"/>
  <c r="AE258" i="19" s="1"/>
  <c r="AA252" i="19"/>
  <c r="AB252" i="19" s="1"/>
  <c r="AE252" i="19" s="1"/>
  <c r="AA155" i="19"/>
  <c r="AB155" i="19" s="1"/>
  <c r="AE155" i="19" s="1"/>
  <c r="AA62" i="19"/>
  <c r="AB62" i="19" s="1"/>
  <c r="AE62" i="19" s="1"/>
  <c r="AA231" i="19"/>
  <c r="AB231" i="19" s="1"/>
  <c r="AE231" i="19" s="1"/>
  <c r="AA68" i="19"/>
  <c r="AB68" i="19" s="1"/>
  <c r="AE68" i="19" s="1"/>
  <c r="AA193" i="19"/>
  <c r="AB193" i="19" s="1"/>
  <c r="AE193" i="19" s="1"/>
  <c r="AA102" i="19"/>
  <c r="AB102" i="19" s="1"/>
  <c r="AE102" i="19" s="1"/>
  <c r="AA201" i="19"/>
  <c r="AB201" i="19" s="1"/>
  <c r="AE201" i="19" s="1"/>
  <c r="AA85" i="19"/>
  <c r="AB85" i="19" s="1"/>
  <c r="AE85" i="19" s="1"/>
  <c r="AA71" i="19"/>
  <c r="AB71" i="19" s="1"/>
  <c r="AE71" i="19" s="1"/>
  <c r="AA196" i="19"/>
  <c r="AB196" i="19" s="1"/>
  <c r="AE196" i="19" s="1"/>
  <c r="AA130" i="19"/>
  <c r="AB130" i="19" s="1"/>
  <c r="AE130" i="19" s="1"/>
  <c r="AA27" i="19"/>
  <c r="AB27" i="19" s="1"/>
  <c r="AE27" i="19" s="1"/>
  <c r="AA156" i="19"/>
  <c r="AB156" i="19" s="1"/>
  <c r="AE156" i="19" s="1"/>
  <c r="AA253" i="19"/>
  <c r="AB253" i="19" s="1"/>
  <c r="AE253" i="19" s="1"/>
  <c r="AA224" i="19"/>
  <c r="AB224" i="19" s="1"/>
  <c r="AE224" i="19" s="1"/>
  <c r="AA53" i="19"/>
  <c r="AB53" i="19" s="1"/>
  <c r="AE53" i="19" s="1"/>
  <c r="AA5" i="19"/>
  <c r="AB5" i="19" s="1"/>
  <c r="AE5" i="19" s="1"/>
  <c r="AA84" i="19"/>
  <c r="AB84" i="19" s="1"/>
  <c r="AE84" i="19" s="1"/>
  <c r="AA187" i="19"/>
  <c r="AB187" i="19" s="1"/>
  <c r="AE187" i="19" s="1"/>
  <c r="AA194" i="19"/>
  <c r="AB194" i="19" s="1"/>
  <c r="AE194" i="19" s="1"/>
  <c r="AA56" i="19"/>
  <c r="AB56" i="19" s="1"/>
  <c r="AE56" i="19" s="1"/>
  <c r="AA266" i="19"/>
  <c r="AB266" i="19" s="1"/>
  <c r="AE266" i="19" s="1"/>
  <c r="AA261" i="19"/>
  <c r="AB261" i="19" s="1"/>
  <c r="AE261" i="19" s="1"/>
  <c r="AA239" i="19"/>
  <c r="AB239" i="19" s="1"/>
  <c r="AE239" i="19" s="1"/>
  <c r="AA96" i="19"/>
  <c r="AB96" i="19" s="1"/>
  <c r="AE96" i="19" s="1"/>
  <c r="AA106" i="19"/>
  <c r="AB106" i="19" s="1"/>
  <c r="AE106" i="19" s="1"/>
  <c r="AA225" i="19"/>
  <c r="AB225" i="19" s="1"/>
  <c r="AE225" i="19" s="1"/>
  <c r="AA255" i="19"/>
  <c r="AB255" i="19" s="1"/>
  <c r="AE255" i="19" s="1"/>
  <c r="AA301" i="19"/>
  <c r="AB301" i="19" s="1"/>
  <c r="AE301" i="19" s="1"/>
  <c r="AA57" i="19"/>
  <c r="AB57" i="19" s="1"/>
  <c r="AE57" i="19" s="1"/>
  <c r="AA216" i="19"/>
  <c r="AB216" i="19" s="1"/>
  <c r="AE216" i="19" s="1"/>
  <c r="AA129" i="19"/>
  <c r="AB129" i="19" s="1"/>
  <c r="AE129" i="19" s="1"/>
  <c r="AA125" i="19"/>
  <c r="AB125" i="19" s="1"/>
  <c r="AE125" i="19" s="1"/>
  <c r="AA311" i="19"/>
  <c r="AB311" i="19" s="1"/>
  <c r="AE311" i="19" s="1"/>
  <c r="AA105" i="19"/>
  <c r="AB105" i="19" s="1"/>
  <c r="AE105" i="19" s="1"/>
  <c r="AA165" i="19"/>
  <c r="AB165" i="19" s="1"/>
  <c r="AE165" i="19" s="1"/>
  <c r="AA148" i="19"/>
  <c r="AB148" i="19" s="1"/>
  <c r="AE148" i="19" s="1"/>
  <c r="AA12" i="19"/>
  <c r="AB12" i="19" s="1"/>
  <c r="AE12" i="19" s="1"/>
  <c r="AA64" i="19"/>
  <c r="AB64" i="19" s="1"/>
  <c r="AE64" i="19" s="1"/>
  <c r="AA198" i="19"/>
  <c r="AB198" i="19" s="1"/>
  <c r="AE198" i="19" s="1"/>
  <c r="AA28" i="19"/>
  <c r="AB28" i="19" s="1"/>
  <c r="AE28" i="19" s="1"/>
  <c r="AA308" i="19"/>
  <c r="AB308" i="19" s="1"/>
  <c r="AE308" i="19" s="1"/>
  <c r="AA100" i="19"/>
  <c r="AB100" i="19" s="1"/>
  <c r="AE100" i="19" s="1"/>
  <c r="AA237" i="19"/>
  <c r="AB237" i="19" s="1"/>
  <c r="AE237" i="19" s="1"/>
  <c r="AA78" i="19"/>
  <c r="AB78" i="19" s="1"/>
  <c r="AE78" i="19" s="1"/>
  <c r="AA86" i="19"/>
  <c r="AB86" i="19" s="1"/>
  <c r="AE86" i="19" s="1"/>
  <c r="AA271" i="19"/>
  <c r="AB271" i="19" s="1"/>
  <c r="AE271" i="19" s="1"/>
  <c r="AA80" i="19"/>
  <c r="AB80" i="19" s="1"/>
  <c r="AE80" i="19" s="1"/>
  <c r="AA189" i="19"/>
  <c r="AB189" i="19" s="1"/>
  <c r="AE189" i="19" s="1"/>
  <c r="AA140" i="19"/>
  <c r="AB140" i="19" s="1"/>
  <c r="AE140" i="19" s="1"/>
  <c r="AA115" i="19"/>
  <c r="AB115" i="19" s="1"/>
  <c r="AE115" i="19" s="1"/>
  <c r="AA264" i="19"/>
  <c r="AB264" i="19" s="1"/>
  <c r="AE264" i="19" s="1"/>
  <c r="AA160" i="19"/>
  <c r="AB160" i="19" s="1"/>
  <c r="AE160" i="19" s="1"/>
  <c r="AA18" i="19"/>
  <c r="AB18" i="19" s="1"/>
  <c r="AE18" i="19" s="1"/>
  <c r="AA200" i="19"/>
  <c r="AB200" i="19" s="1"/>
  <c r="AE200" i="19" s="1"/>
  <c r="AA206" i="19"/>
  <c r="AB206" i="19" s="1"/>
  <c r="AE206" i="19" s="1"/>
  <c r="AA164" i="19"/>
  <c r="AB164" i="19" s="1"/>
  <c r="AE164" i="19" s="1"/>
  <c r="AA79" i="19"/>
  <c r="AB79" i="19" s="1"/>
  <c r="AE79" i="19" s="1"/>
  <c r="AA279" i="19"/>
  <c r="AB279" i="19" s="1"/>
  <c r="AE279" i="19" s="1"/>
  <c r="AA144" i="19"/>
  <c r="AB144" i="19" s="1"/>
  <c r="AE144" i="19" s="1"/>
  <c r="AA39" i="19"/>
  <c r="AB39" i="19" s="1"/>
  <c r="AE39" i="19" s="1"/>
  <c r="AA123" i="19"/>
  <c r="AB123" i="19" s="1"/>
  <c r="AE123" i="19" s="1"/>
  <c r="AA48" i="19"/>
  <c r="AB48" i="19" s="1"/>
  <c r="AE48" i="19" s="1"/>
  <c r="AA226" i="19"/>
  <c r="AB226" i="19" s="1"/>
  <c r="AE226" i="19" s="1"/>
  <c r="AA34" i="19"/>
  <c r="AB34" i="19" s="1"/>
  <c r="AE34" i="19" s="1"/>
  <c r="AA230" i="19"/>
  <c r="AB230" i="19" s="1"/>
  <c r="AE230" i="19" s="1"/>
  <c r="AA212" i="19"/>
  <c r="AB212" i="19" s="1"/>
  <c r="AE212" i="19" s="1"/>
  <c r="AA177" i="19"/>
  <c r="AB177" i="19" s="1"/>
  <c r="AE177" i="19" s="1"/>
  <c r="AA293" i="19"/>
  <c r="AB293" i="19" s="1"/>
  <c r="AE293" i="19" s="1"/>
  <c r="AA97" i="19"/>
  <c r="AB97" i="19" s="1"/>
  <c r="AE97" i="19" s="1"/>
  <c r="AA151" i="19"/>
  <c r="AB151" i="19" s="1"/>
  <c r="AE151" i="19" s="1"/>
  <c r="AA203" i="19"/>
  <c r="AB203" i="19" s="1"/>
  <c r="AE203" i="19" s="1"/>
  <c r="AA185" i="19"/>
  <c r="AB185" i="19" s="1"/>
  <c r="AE185" i="19" s="1"/>
  <c r="AA81" i="19"/>
  <c r="AB81" i="19" s="1"/>
  <c r="AE81" i="19" s="1"/>
  <c r="AA294" i="19"/>
  <c r="AB294" i="19" s="1"/>
  <c r="AE294" i="19" s="1"/>
  <c r="AA4" i="19"/>
  <c r="AB4" i="19" s="1"/>
  <c r="AE4" i="19" s="1"/>
  <c r="AA181" i="19"/>
  <c r="AB181" i="19" s="1"/>
  <c r="AE181" i="19" s="1"/>
  <c r="AA95" i="19"/>
  <c r="AB95" i="19" s="1"/>
  <c r="AE95" i="19" s="1"/>
  <c r="AA288" i="19"/>
  <c r="AB288" i="19" s="1"/>
  <c r="AE288" i="19" s="1"/>
  <c r="AA281" i="19"/>
  <c r="AB281" i="19" s="1"/>
  <c r="AE281" i="19" s="1"/>
  <c r="AA126" i="19"/>
  <c r="AB126" i="19" s="1"/>
  <c r="AE126" i="19" s="1"/>
  <c r="AA180" i="19"/>
  <c r="AB180" i="19" s="1"/>
  <c r="AE180" i="19" s="1"/>
  <c r="AA21" i="19"/>
  <c r="AB21" i="19" s="1"/>
  <c r="AE21" i="19" s="1"/>
  <c r="AA268" i="19"/>
  <c r="AB268" i="19" s="1"/>
  <c r="AE268" i="19" s="1"/>
  <c r="AA29" i="19"/>
  <c r="AB29" i="19" s="1"/>
  <c r="AE29" i="19" s="1"/>
  <c r="AA184" i="19"/>
  <c r="AB184" i="19" s="1"/>
  <c r="AE184" i="19" s="1"/>
  <c r="AA178" i="19"/>
  <c r="AB178" i="19" s="1"/>
  <c r="AE178" i="19" s="1"/>
  <c r="AA247" i="19"/>
  <c r="AB247" i="19" s="1"/>
  <c r="AE247" i="19" s="1"/>
  <c r="AA69" i="19"/>
  <c r="AB69" i="19" s="1"/>
  <c r="AE69" i="19" s="1"/>
  <c r="AA128" i="19"/>
  <c r="AB128" i="19" s="1"/>
  <c r="AE128" i="19" s="1"/>
  <c r="AA232" i="19"/>
  <c r="AB232" i="19" s="1"/>
  <c r="AE232" i="19" s="1"/>
  <c r="AA314" i="19"/>
  <c r="AB314" i="19" s="1"/>
  <c r="AE314" i="19" s="1"/>
  <c r="AA76" i="19"/>
  <c r="AB76" i="19" s="1"/>
  <c r="AE76" i="19" s="1"/>
  <c r="AA272" i="19"/>
  <c r="AB272" i="19" s="1"/>
  <c r="AE272" i="19" s="1"/>
  <c r="AA104" i="19"/>
  <c r="AB104" i="19" s="1"/>
  <c r="AE104" i="19" s="1"/>
  <c r="AA298" i="19"/>
  <c r="AB298" i="19" s="1"/>
  <c r="AE298" i="19" s="1"/>
  <c r="AA99" i="19"/>
  <c r="AB99" i="19" s="1"/>
  <c r="AE99" i="19" s="1"/>
  <c r="AA127" i="19"/>
  <c r="AB127" i="19" s="1"/>
  <c r="AE127" i="19" s="1"/>
  <c r="AA72" i="19"/>
  <c r="AB72" i="19" s="1"/>
  <c r="AE72" i="19" s="1"/>
  <c r="AA149" i="19"/>
  <c r="AB149" i="19" s="1"/>
  <c r="AE149" i="19" s="1"/>
  <c r="AA317" i="19"/>
  <c r="AB317" i="19" s="1"/>
  <c r="AE317" i="19" s="1"/>
  <c r="AA26" i="19"/>
  <c r="AB26" i="19" s="1"/>
  <c r="AE26" i="19" s="1"/>
  <c r="AA70" i="19"/>
  <c r="AB70" i="19" s="1"/>
  <c r="AE70" i="19" s="1"/>
  <c r="AA172" i="19"/>
  <c r="AB172" i="19" s="1"/>
  <c r="AE172" i="19" s="1"/>
  <c r="AA67" i="19"/>
  <c r="AB67" i="19" s="1"/>
  <c r="AE67" i="19" s="1"/>
  <c r="AA44" i="19"/>
  <c r="AB44" i="19" s="1"/>
  <c r="AE44" i="19" s="1"/>
  <c r="AA118" i="19"/>
  <c r="AB118" i="19" s="1"/>
  <c r="AE118" i="19" s="1"/>
  <c r="AA274" i="19"/>
  <c r="AB274" i="19" s="1"/>
  <c r="AE274" i="19" s="1"/>
  <c r="AA47" i="19"/>
  <c r="AB47" i="19" s="1"/>
  <c r="AE47" i="19" s="1"/>
  <c r="AA169" i="19"/>
  <c r="AB169" i="19" s="1"/>
  <c r="AE169" i="19" s="1"/>
  <c r="AA304" i="19"/>
  <c r="AB304" i="19" s="1"/>
  <c r="AE304" i="19" s="1"/>
  <c r="AA113" i="19"/>
  <c r="AB113" i="19" s="1"/>
  <c r="AE113" i="19" s="1"/>
  <c r="AA183" i="19"/>
  <c r="AB183" i="19" s="1"/>
  <c r="AE183" i="19" s="1"/>
  <c r="AA14" i="19"/>
  <c r="AB14" i="19" s="1"/>
  <c r="AE14" i="19" s="1"/>
  <c r="AA192" i="19"/>
  <c r="AB192" i="19" s="1"/>
  <c r="AE192" i="19" s="1"/>
  <c r="AA32" i="19"/>
  <c r="AB32" i="19" s="1"/>
  <c r="AE32" i="19" s="1"/>
  <c r="AA35" i="19"/>
  <c r="AB35" i="19" s="1"/>
  <c r="AE35" i="19" s="1"/>
  <c r="AA222" i="19"/>
  <c r="AB222" i="19" s="1"/>
  <c r="AE222" i="19" s="1"/>
  <c r="AA54" i="19"/>
  <c r="AB54" i="19" s="1"/>
  <c r="AE54" i="19" s="1"/>
  <c r="AA10" i="19"/>
  <c r="AB10" i="19" s="1"/>
  <c r="AE10" i="19" s="1"/>
  <c r="AA215" i="19"/>
  <c r="AB215" i="19" s="1"/>
  <c r="AE215" i="19" s="1"/>
  <c r="AA116" i="19"/>
  <c r="AB116" i="19" s="1"/>
  <c r="AE116" i="19" s="1"/>
  <c r="AA223" i="19"/>
  <c r="AB223" i="19" s="1"/>
  <c r="AE223" i="19" s="1"/>
  <c r="AA188" i="19"/>
  <c r="AB188" i="19" s="1"/>
  <c r="AE188" i="19" s="1"/>
  <c r="AA195" i="19"/>
  <c r="AB195" i="19" s="1"/>
  <c r="AE195" i="19" s="1"/>
  <c r="AA43" i="19"/>
  <c r="AB43" i="19" s="1"/>
  <c r="AE43" i="19" s="1"/>
  <c r="AA139" i="19"/>
  <c r="AB139" i="19" s="1"/>
  <c r="AE139" i="19" s="1"/>
  <c r="AA270" i="19"/>
  <c r="AB270" i="19" s="1"/>
  <c r="AE270" i="19" s="1"/>
  <c r="AA285" i="19"/>
  <c r="AB285" i="19" s="1"/>
  <c r="AE285" i="19" s="1"/>
  <c r="AA117" i="19"/>
  <c r="AB117" i="19" s="1"/>
  <c r="AE117" i="19" s="1"/>
  <c r="AA260" i="19"/>
  <c r="AB260" i="19" s="1"/>
  <c r="AE260" i="19" s="1"/>
  <c r="AA6" i="19"/>
  <c r="AB6" i="19" s="1"/>
  <c r="AE6" i="19" s="1"/>
  <c r="AA161" i="19"/>
  <c r="AB161" i="19" s="1"/>
  <c r="AE161" i="19" s="1"/>
  <c r="AA138" i="19"/>
  <c r="AB138" i="19" s="1"/>
  <c r="AE138" i="19" s="1"/>
  <c r="AA205" i="19"/>
  <c r="AB205" i="19" s="1"/>
  <c r="AE205" i="19" s="1"/>
  <c r="AA254" i="19"/>
  <c r="AB254" i="19" s="1"/>
  <c r="AE254" i="19" s="1"/>
  <c r="AA263" i="19"/>
  <c r="AB263" i="19" s="1"/>
  <c r="AE263" i="19" s="1"/>
  <c r="AA98" i="19"/>
  <c r="AB98" i="19" s="1"/>
  <c r="AE98" i="19" s="1"/>
  <c r="AA36" i="19"/>
  <c r="AB36" i="19" s="1"/>
  <c r="AE36" i="19" s="1"/>
  <c r="AA244" i="19"/>
  <c r="AB244" i="19" s="1"/>
  <c r="AE244" i="19" s="1"/>
  <c r="AA112" i="19"/>
  <c r="AB112" i="19" s="1"/>
  <c r="AE112" i="19" s="1"/>
  <c r="AE211" i="19" l="1"/>
  <c r="AE3" i="19"/>
  <c r="AD3" i="19"/>
  <c r="B22" i="12" s="1"/>
  <c r="B23" i="12" s="1"/>
  <c r="AE1" i="19" s="1"/>
  <c r="AF1" i="19" l="1"/>
  <c r="AF2" i="1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3F7485F-1D5E-4C71-B11A-E207F782AA95}" keepAlive="1" name="ModelConnection_ExternalData_1" description="Data Model" type="5" refreshedVersion="8" minRefreshableVersion="5" saveData="1">
    <dbPr connection="Data Model Connection" command="Split Calc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3CECE2BF-A117-42CE-B7CE-319A63F56C12}" keepAlive="1" name="ModelConnection_ExternalData_11" description="Data Model" type="5" refreshedVersion="8" minRefreshableVersion="5" saveData="1">
    <dbPr connection="Data Model Connection" command="Prior Year Net to district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9BE3B5E0-A973-4D4E-9CB0-BDC6583C4F63}" keepAlive="1" name="ModelConnection_ExternalData_2" description="Data Model" type="5" refreshedVersion="8" minRefreshableVersion="5" saveData="1">
    <dbPr connection="Data Model Connection" command="Assumptions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1861A15E-6141-4478-8EE1-91914C07A7AB}" keepAlive="1" name="ModelConnection_ExternalData_21" description="Data Model" type="5" refreshedVersion="8" minRefreshableVersion="5" saveData="1">
    <dbPr connection="Data Model Connection" command="New or Expanded HH check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D4407729-C773-452B-977E-A53DF6C5AEAA}" keepAlive="1" name="ModelConnection_ExternalData_22" description="Data Model" type="5" refreshedVersion="8" minRefreshableVersion="5" saveData="1">
    <dbPr connection="Data Model Connection" command="Initial adjusted formula count" commandType="3"/>
    <extLst>
      <ext xmlns:x15="http://schemas.microsoft.com/office/spreadsheetml/2010/11/main" uri="{DE250136-89BD-433C-8126-D09CA5730AF9}">
        <x15:connection id="" model="1"/>
      </ext>
    </extLst>
  </connection>
  <connection id="6" xr16:uid="{67F1F231-2DCD-42C8-9F82-D795617CC603}" keepAlive="1" name="ModelConnection_ExternalData_23" description="Data Model" type="5" refreshedVersion="8" minRefreshableVersion="5" saveData="1">
    <dbPr connection="Data Model Connection" command="Multipliers" commandType="3"/>
    <extLst>
      <ext xmlns:x15="http://schemas.microsoft.com/office/spreadsheetml/2010/11/main" uri="{DE250136-89BD-433C-8126-D09CA5730AF9}">
        <x15:connection id="" model="1"/>
      </ext>
    </extLst>
  </connection>
  <connection id="7" xr16:uid="{ADB9CF41-9217-42BB-BF57-E82AA7AB5583}" keepAlive="1" name="ModelConnection_ExternalData_24" description="Data Model" type="5" refreshedVersion="8" minRefreshableVersion="5" saveData="1">
    <dbPr connection="Data Model Connection" command="Initial adjusted allocations" commandType="3"/>
    <extLst>
      <ext xmlns:x15="http://schemas.microsoft.com/office/spreadsheetml/2010/11/main" uri="{DE250136-89BD-433C-8126-D09CA5730AF9}">
        <x15:connection id="" model="1"/>
      </ext>
    </extLst>
  </connection>
  <connection id="8" xr16:uid="{B00384A5-D83B-467C-9A37-A711C53DCBD3}" keepAlive="1" name="ModelConnection_ExternalData_25" description="Data Model" type="5" refreshedVersion="8" minRefreshableVersion="5" saveData="1">
    <dbPr connection="Data Model Connection" command="Model allocations" commandType="3"/>
    <extLst>
      <ext xmlns:x15="http://schemas.microsoft.com/office/spreadsheetml/2010/11/main" uri="{DE250136-89BD-433C-8126-D09CA5730AF9}">
        <x15:connection id="" model="1"/>
      </ext>
    </extLst>
  </connection>
  <connection id="9" xr16:uid="{F273DE80-6043-4AF0-AC87-85F174A594A1}" keepAlive="1" name="ModelConnection_ExternalData_3" description="Data Model" type="5" refreshedVersion="8" minRefreshableVersion="5" saveData="1">
    <dbPr connection="Data Model Connection" command="Title" commandType="3"/>
    <extLst>
      <ext xmlns:x15="http://schemas.microsoft.com/office/spreadsheetml/2010/11/main" uri="{DE250136-89BD-433C-8126-D09CA5730AF9}">
        <x15:connection id="" model="1"/>
      </ext>
    </extLst>
  </connection>
  <connection id="10" xr16:uid="{03188AAA-0244-4024-AF0A-7651FF1DFD15}" keepAlive="1" name="ModelConnection_ExternalData_4" description="Data Model" type="5" refreshedVersion="8" minRefreshableVersion="5" saveData="1">
    <dbPr connection="Data Model Connection" command="Conc eligibility year" commandType="3"/>
    <extLst>
      <ext xmlns:x15="http://schemas.microsoft.com/office/spreadsheetml/2010/11/main" uri="{DE250136-89BD-433C-8126-D09CA5730AF9}">
        <x15:connection id="" model="1"/>
      </ext>
    </extLst>
  </connection>
  <connection id="11" xr16:uid="{C7DA9270-04F4-4551-BFC7-3A95A3078BD5}" name="Query - Amount per Formula student" description="Connection to the 'Amount per Formula student' query in the workbook." type="100" refreshedVersion="8" minRefreshableVersion="5">
    <extLst>
      <ext xmlns:x15="http://schemas.microsoft.com/office/spreadsheetml/2010/11/main" uri="{DE250136-89BD-433C-8126-D09CA5730AF9}">
        <x15:connection id="0f6d92b6-ae08-43b6-b24f-123a8aa3acc0"/>
      </ext>
    </extLst>
  </connection>
  <connection id="12" xr16:uid="{ADB4B373-64E4-4E27-BFC7-27D89581C21C}" name="Query - Assumptions" description="Connection to the 'Assumptions' query in the workbook." type="100" refreshedVersion="8" minRefreshableVersion="5">
    <extLst>
      <ext xmlns:x15="http://schemas.microsoft.com/office/spreadsheetml/2010/11/main" uri="{DE250136-89BD-433C-8126-D09CA5730AF9}">
        <x15:connection id="deeed0ce-f38c-4c9c-878b-7937c5753ccf"/>
      </ext>
    </extLst>
  </connection>
  <connection id="13" xr16:uid="{542C7F5E-F0FA-4914-873F-16CF0C115D4A}" name="Query - CCDDD/LEAid" description="Connection to the 'CCDDD/LEAid' query in the workbook." type="100" refreshedVersion="8" minRefreshableVersion="5">
    <extLst>
      <ext xmlns:x15="http://schemas.microsoft.com/office/spreadsheetml/2010/11/main" uri="{DE250136-89BD-433C-8126-D09CA5730AF9}">
        <x15:connection id="2eb2b953-f3aa-499e-9119-a03f9e484b10"/>
      </ext>
    </extLst>
  </connection>
  <connection id="14" xr16:uid="{91003EF9-DB25-4F66-9BE8-86959CA087C6}" name="Query - Charter_TribalSending Districts" description="Connection to the 'Charter_TribalSending Districts' query in the workbook." type="100" refreshedVersion="8" minRefreshableVersion="5">
    <extLst>
      <ext xmlns:x15="http://schemas.microsoft.com/office/spreadsheetml/2010/11/main" uri="{DE250136-89BD-433C-8126-D09CA5730AF9}">
        <x15:connection id="3d9b712e-3bb7-44f3-a2f9-034fa804b416"/>
      </ext>
    </extLst>
  </connection>
  <connection id="15" xr16:uid="{C30C47C6-1FF0-4AAB-9F94-783245BA71F7}" name="Query - CharterOnly" description="Connection to the 'CharterOnly' query in the workbook." type="100" refreshedVersion="8" minRefreshableVersion="5">
    <extLst>
      <ext xmlns:x15="http://schemas.microsoft.com/office/spreadsheetml/2010/11/main" uri="{DE250136-89BD-433C-8126-D09CA5730AF9}">
        <x15:connection id="b4c107b6-2731-48a1-9ac4-ee372753982e"/>
      </ext>
    </extLst>
  </connection>
  <connection id="16" xr16:uid="{C18B9915-2A79-42F4-A459-7392B3050B50}" name="Query - Conc eligibility year" description="Connection to the 'Conc eligibility year' query in the workbook." type="100" refreshedVersion="8" minRefreshableVersion="5">
    <extLst>
      <ext xmlns:x15="http://schemas.microsoft.com/office/spreadsheetml/2010/11/main" uri="{DE250136-89BD-433C-8126-D09CA5730AF9}">
        <x15:connection id="18206292-60b0-4569-bf14-38a21a0e8d3b"/>
      </ext>
    </extLst>
  </connection>
  <connection id="17" xr16:uid="{AE673D06-121F-4A24-B384-06F71F48A4B9}" name="Query - Conc lookback" description="Connection to the 'Conc lookback' query in the workbook." type="100" refreshedVersion="8" minRefreshableVersion="5">
    <extLst>
      <ext xmlns:x15="http://schemas.microsoft.com/office/spreadsheetml/2010/11/main" uri="{DE250136-89BD-433C-8126-D09CA5730AF9}">
        <x15:connection id="788a9908-e397-456f-8db4-a29f060b0218"/>
      </ext>
    </extLst>
  </connection>
  <connection id="18" xr16:uid="{B74FDC49-A795-43E6-AE8C-B29DEDEFA5AC}" name="Query - DOE Allocation" description="Connection to the 'DOE Allocation' query in the workbook." type="100" refreshedVersion="8" minRefreshableVersion="5">
    <extLst>
      <ext xmlns:x15="http://schemas.microsoft.com/office/spreadsheetml/2010/11/main" uri="{DE250136-89BD-433C-8126-D09CA5730AF9}">
        <x15:connection id="236a4e85-91bd-48a5-ac19-35d356dad1c0"/>
      </ext>
    </extLst>
  </connection>
  <connection id="19" xr16:uid="{8393CDFE-15D7-4924-8603-4C507CED6C4D}" name="Query - DOE Formula counts" description="Connection to the 'DOE Formula counts' query in the workbook." type="100" refreshedVersion="8" minRefreshableVersion="5">
    <extLst>
      <ext xmlns:x15="http://schemas.microsoft.com/office/spreadsheetml/2010/11/main" uri="{DE250136-89BD-433C-8126-D09CA5730AF9}">
        <x15:connection id="d206154a-6a1b-4aef-b7f3-5bdacbc7986d"/>
      </ext>
    </extLst>
  </connection>
  <connection id="20" xr16:uid="{2283D947-F146-4FB0-A99E-5986F658F172}" name="Query - FRPL" description="Connection to the 'FRPL' query in the workbook." type="100" refreshedVersion="8" minRefreshableVersion="5">
    <extLst>
      <ext xmlns:x15="http://schemas.microsoft.com/office/spreadsheetml/2010/11/main" uri="{DE250136-89BD-433C-8126-D09CA5730AF9}">
        <x15:connection id="df05508d-0e48-4b6c-bf6c-75ac86932e06"/>
      </ext>
    </extLst>
  </connection>
  <connection id="21" xr16:uid="{C99D747A-E316-4BD3-8238-016803D54F8C}" name="Query - Initial adjusted allocations" description="Connection to the 'Initial adjusted allocations' query in the workbook." type="100" refreshedVersion="8" minRefreshableVersion="5">
    <extLst>
      <ext xmlns:x15="http://schemas.microsoft.com/office/spreadsheetml/2010/11/main" uri="{DE250136-89BD-433C-8126-D09CA5730AF9}">
        <x15:connection id="95f86261-1450-4cf6-9d4a-ab2533882a91"/>
      </ext>
    </extLst>
  </connection>
  <connection id="22" xr16:uid="{29222693-C453-45BC-8CFC-0FB4D2158224}" name="Query - Initial adjusted formula count" description="Connection to the 'Initial adjusted formula count' query in the workbook." type="100" refreshedVersion="8" minRefreshableVersion="5">
    <extLst>
      <ext xmlns:x15="http://schemas.microsoft.com/office/spreadsheetml/2010/11/main" uri="{DE250136-89BD-433C-8126-D09CA5730AF9}">
        <x15:connection id="77a603a2-f32e-4b83-892d-d8f059193c75"/>
      </ext>
    </extLst>
  </connection>
  <connection id="23" xr16:uid="{82F9FC6A-7E33-4B4B-81E0-77472283AB26}" name="Query - Model allocations" description="Connection to the 'Model allocations' query in the workbook." type="100" refreshedVersion="8" minRefreshableVersion="5" saveData="1">
    <extLst>
      <ext xmlns:x15="http://schemas.microsoft.com/office/spreadsheetml/2010/11/main" uri="{DE250136-89BD-433C-8126-D09CA5730AF9}">
        <x15:connection id="f4defdaa-6d16-4575-898b-1dd3673ecde0"/>
      </ext>
    </extLst>
  </connection>
  <connection id="24" xr16:uid="{95C362BF-8426-4AED-BE75-E588067137A1}" name="Query - Multipliers" description="Connection to the 'Multipliers' query in the workbook." type="100" refreshedVersion="8" minRefreshableVersion="5">
    <extLst>
      <ext xmlns:x15="http://schemas.microsoft.com/office/spreadsheetml/2010/11/main" uri="{DE250136-89BD-433C-8126-D09CA5730AF9}">
        <x15:connection id="d25ca89b-f3e1-4283-8441-cde0a03e1316"/>
      </ext>
    </extLst>
  </connection>
  <connection id="25" xr16:uid="{5FF6C8B8-9968-45AC-BDF5-86754C37C5AA}" name="Query - New or Expanded HH check" description="Connection to the 'New or Expanded HH check' query in the workbook." type="100" refreshedVersion="8" minRefreshableVersion="5">
    <extLst>
      <ext xmlns:x15="http://schemas.microsoft.com/office/spreadsheetml/2010/11/main" uri="{DE250136-89BD-433C-8126-D09CA5730AF9}">
        <x15:connection id="624d2c4f-a746-4243-8281-819522275ae2"/>
      </ext>
    </extLst>
  </connection>
  <connection id="26" xr16:uid="{7A3923D5-9766-4821-A861-9BABEF56F40C}" name="Query - Prior Year adjusted allocations" description="Connection to the 'Prior Year adjusted allocations' query in the workbook." type="100" refreshedVersion="8" minRefreshableVersion="5">
    <extLst>
      <ext xmlns:x15="http://schemas.microsoft.com/office/spreadsheetml/2010/11/main" uri="{DE250136-89BD-433C-8126-D09CA5730AF9}">
        <x15:connection id="eaa69682-c759-4eb0-953a-7b14d50b1436"/>
      </ext>
    </extLst>
  </connection>
  <connection id="27" xr16:uid="{0C8F228B-8F2E-4096-9170-BFDADD8F9733}" name="Query - Prior Year Adjusted Formula counts" description="Connection to the 'Prior Year Adjusted Formula counts' query in the workbook." type="100" refreshedVersion="8" minRefreshableVersion="5">
    <extLst>
      <ext xmlns:x15="http://schemas.microsoft.com/office/spreadsheetml/2010/11/main" uri="{DE250136-89BD-433C-8126-D09CA5730AF9}">
        <x15:connection id="bf949c98-9037-4684-a641-fc0259e93455"/>
      </ext>
    </extLst>
  </connection>
  <connection id="28" xr16:uid="{D489CBD3-2985-4DC3-B4D5-D972C7EB9ED0}" name="Query - Prior Year Net to district" description="Connection to the 'Prior Year Net to district' query in the workbook." type="100" refreshedVersion="8" minRefreshableVersion="5">
    <extLst>
      <ext xmlns:x15="http://schemas.microsoft.com/office/spreadsheetml/2010/11/main" uri="{DE250136-89BD-433C-8126-D09CA5730AF9}">
        <x15:connection id="0ba627ec-6a44-4681-929f-ecb631fc5b57"/>
      </ext>
    </extLst>
  </connection>
  <connection id="29" xr16:uid="{FCBA417F-ED2D-4CC2-A4DF-0CC621B5F90A}" name="Query - SendingOnly" description="Connection to the 'SendingOnly' query in the workbook." type="100" refreshedVersion="8" minRefreshableVersion="5">
    <extLst>
      <ext xmlns:x15="http://schemas.microsoft.com/office/spreadsheetml/2010/11/main" uri="{DE250136-89BD-433C-8126-D09CA5730AF9}">
        <x15:connection id="b0fac3f6-5fee-4a75-9f21-56c4695f9f25"/>
      </ext>
    </extLst>
  </connection>
  <connection id="30" xr16:uid="{0C232062-8315-446C-AAC7-B774362CF6BA}" name="Query - Split Calc" description="Connection to the 'Split Calc' query in the workbook." type="100" refreshedVersion="8" minRefreshableVersion="5">
    <extLst>
      <ext xmlns:x15="http://schemas.microsoft.com/office/spreadsheetml/2010/11/main" uri="{DE250136-89BD-433C-8126-D09CA5730AF9}">
        <x15:connection id="f2cdf21a-84f4-4ea1-ac95-0b95f9ff2d75"/>
      </ext>
    </extLst>
  </connection>
  <connection id="31" xr16:uid="{3A3600AE-870E-4797-B223-3D24F0C349E9}" name="Query - sumif" description="Connection to the 'sumif' query in the workbook." type="100" refreshedVersion="8" minRefreshableVersion="5">
    <extLst>
      <ext xmlns:x15="http://schemas.microsoft.com/office/spreadsheetml/2010/11/main" uri="{DE250136-89BD-433C-8126-D09CA5730AF9}">
        <x15:connection id="ba52d27a-0e52-42ef-92db-5acd650209ae"/>
      </ext>
    </extLst>
  </connection>
  <connection id="32" xr16:uid="{FF69749E-6A53-4EB1-B5D3-BCEE57FD418F}" keepAlive="1" name="Query - T-I State Adm  1004(b)" description="Connection to the 'T-I State Adm  1004(b)' query in the workbook." type="5" refreshedVersion="0" background="1">
    <dbPr connection="Provider=Microsoft.Mashup.OleDb.1;Data Source=$Workbook$;Location=&quot;T-I State Adm  1004(b)&quot;;Extended Properties=&quot;&quot;" command="SELECT * FROM [T-I State Adm  1004(b)]"/>
  </connection>
  <connection id="33" xr16:uid="{0A23DA92-1FF9-4F8B-B28D-475595437A06}" name="Query - Title" description="Connection to the 'Title' query in the workbook." type="100" refreshedVersion="8" minRefreshableVersion="5">
    <extLst>
      <ext xmlns:x15="http://schemas.microsoft.com/office/spreadsheetml/2010/11/main" uri="{DE250136-89BD-433C-8126-D09CA5730AF9}">
        <x15:connection id="f06724d4-6dad-4bd0-89d6-325c5308eeb5"/>
      </ext>
    </extLst>
  </connection>
  <connection id="34" xr16:uid="{FBA49C60-73C5-4286-BBF3-D6356835BE3D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<sst xmlns="http://schemas.openxmlformats.org/spreadsheetml/2006/main" count="10912" uniqueCount="1578">
  <si>
    <t>CCDDD</t>
  </si>
  <si>
    <t>Charter/Tribal</t>
  </si>
  <si>
    <t>Sending District</t>
  </si>
  <si>
    <t>Sending District CCDDD</t>
  </si>
  <si>
    <t>LEAID</t>
  </si>
  <si>
    <t>IsNew</t>
  </si>
  <si>
    <t>TotalStudentsInPoverty</t>
  </si>
  <si>
    <t>SendingTotalStudentsInPoverty</t>
  </si>
  <si>
    <t>18901</t>
  </si>
  <si>
    <t>Bremerton</t>
  </si>
  <si>
    <t>18100</t>
  </si>
  <si>
    <t>18902</t>
  </si>
  <si>
    <t>Suquamish</t>
  </si>
  <si>
    <t>37902</t>
  </si>
  <si>
    <t>37501</t>
  </si>
  <si>
    <t>17908</t>
  </si>
  <si>
    <t>Rainier Prep</t>
  </si>
  <si>
    <t>Highline</t>
  </si>
  <si>
    <t>17401</t>
  </si>
  <si>
    <t>17917</t>
  </si>
  <si>
    <t>38267</t>
  </si>
  <si>
    <t>17910</t>
  </si>
  <si>
    <t>Rainier Valley Leadership Academy (Green Dot: RV)</t>
  </si>
  <si>
    <t>Seattle</t>
  </si>
  <si>
    <t>17001</t>
  </si>
  <si>
    <t>17905</t>
  </si>
  <si>
    <t>Summit: Atlas</t>
  </si>
  <si>
    <t>17902</t>
  </si>
  <si>
    <t>Summit: Sierra</t>
  </si>
  <si>
    <t>32903</t>
  </si>
  <si>
    <t>Lumen High School</t>
  </si>
  <si>
    <t>Spokane</t>
  </si>
  <si>
    <t>32081</t>
  </si>
  <si>
    <t>32907</t>
  </si>
  <si>
    <t>PRIDE Prep</t>
  </si>
  <si>
    <t>32901</t>
  </si>
  <si>
    <t>Spokane International</t>
  </si>
  <si>
    <t>27902</t>
  </si>
  <si>
    <t>Tacoma</t>
  </si>
  <si>
    <t>27010</t>
  </si>
  <si>
    <t>17911</t>
  </si>
  <si>
    <t>Impact Puget Sound (Public Schools)</t>
  </si>
  <si>
    <t>Tukwila</t>
  </si>
  <si>
    <t>17406</t>
  </si>
  <si>
    <t>17916</t>
  </si>
  <si>
    <t>Impact Salish Sea</t>
  </si>
  <si>
    <t>34974</t>
  </si>
  <si>
    <t>School of the Blind</t>
  </si>
  <si>
    <t>Vancouver</t>
  </si>
  <si>
    <t>06037</t>
  </si>
  <si>
    <t>34975</t>
  </si>
  <si>
    <t>School for the Deaf</t>
  </si>
  <si>
    <t>04901</t>
  </si>
  <si>
    <t>04246</t>
  </si>
  <si>
    <t>SendingLEAId</t>
  </si>
  <si>
    <t>5300660</t>
  </si>
  <si>
    <t>5300420</t>
  </si>
  <si>
    <t>5303540</t>
  </si>
  <si>
    <t>5306930</t>
  </si>
  <si>
    <t>5307710</t>
  </si>
  <si>
    <t>5308130</t>
  </si>
  <si>
    <t>5308250</t>
  </si>
  <si>
    <t>5308700</t>
  </si>
  <si>
    <t>5309270</t>
  </si>
  <si>
    <t>5309660</t>
  </si>
  <si>
    <t>LEAid</t>
  </si>
  <si>
    <t>5301000</t>
  </si>
  <si>
    <t>5308690</t>
  </si>
  <si>
    <t>5309740</t>
  </si>
  <si>
    <t>5307120</t>
  </si>
  <si>
    <t>5300955</t>
  </si>
  <si>
    <t>5303280</t>
  </si>
  <si>
    <t>5308290</t>
  </si>
  <si>
    <t>5308240</t>
  </si>
  <si>
    <t>5303700</t>
  </si>
  <si>
    <t>5303710</t>
  </si>
  <si>
    <t>5304550</t>
  </si>
  <si>
    <t>5306890</t>
  </si>
  <si>
    <t>5308260</t>
  </si>
  <si>
    <t>5303705</t>
  </si>
  <si>
    <t>5308230</t>
  </si>
  <si>
    <t>5307690</t>
  </si>
  <si>
    <t>5307700</t>
  </si>
  <si>
    <t>5306770</t>
  </si>
  <si>
    <t>Basic Allocation</t>
  </si>
  <si>
    <t>Conc. Allocation</t>
  </si>
  <si>
    <t>Targeted Allocation</t>
  </si>
  <si>
    <t>EFIG Allocation</t>
  </si>
  <si>
    <t>0</t>
  </si>
  <si>
    <t>5300150</t>
  </si>
  <si>
    <t>Anacortes School District</t>
  </si>
  <si>
    <t>5300240</t>
  </si>
  <si>
    <t>Arlington School District</t>
  </si>
  <si>
    <t>5300330</t>
  </si>
  <si>
    <t>Bainbridge Island School District</t>
  </si>
  <si>
    <t>5300380</t>
  </si>
  <si>
    <t>Battle Ground School District</t>
  </si>
  <si>
    <t>5300390</t>
  </si>
  <si>
    <t>Bellevue School District</t>
  </si>
  <si>
    <t>5300450</t>
  </si>
  <si>
    <t>Benge School District</t>
  </si>
  <si>
    <t>5300810</t>
  </si>
  <si>
    <t>Camas School District</t>
  </si>
  <si>
    <t>5300870</t>
  </si>
  <si>
    <t>Carbonado School District</t>
  </si>
  <si>
    <t>5300990</t>
  </si>
  <si>
    <t>Castle Rock School District</t>
  </si>
  <si>
    <t>5301080</t>
  </si>
  <si>
    <t>Central Kitsap School District</t>
  </si>
  <si>
    <t>5301290</t>
  </si>
  <si>
    <t>Chimacum School District</t>
  </si>
  <si>
    <t>5301680</t>
  </si>
  <si>
    <t>Conway School District</t>
  </si>
  <si>
    <t>5301710</t>
  </si>
  <si>
    <t>Cosmopolis School District</t>
  </si>
  <si>
    <t>5301950</t>
  </si>
  <si>
    <t>Damman School District</t>
  </si>
  <si>
    <t>5302340</t>
  </si>
  <si>
    <t>Easton School District</t>
  </si>
  <si>
    <t>5302370</t>
  </si>
  <si>
    <t>Eatonville School District</t>
  </si>
  <si>
    <t>5302400</t>
  </si>
  <si>
    <t>Edmonds School District</t>
  </si>
  <si>
    <t>5300001</t>
  </si>
  <si>
    <t>Enumclaw School District</t>
  </si>
  <si>
    <t>5302670</t>
  </si>
  <si>
    <t>Everett School District</t>
  </si>
  <si>
    <t>5302850</t>
  </si>
  <si>
    <t>Ferndale School District</t>
  </si>
  <si>
    <t>5302880</t>
  </si>
  <si>
    <t>Fife Public Schools</t>
  </si>
  <si>
    <t>5302970</t>
  </si>
  <si>
    <t>Freeman School District</t>
  </si>
  <si>
    <t>5303030</t>
  </si>
  <si>
    <t>Glenwood School District</t>
  </si>
  <si>
    <t>5303210</t>
  </si>
  <si>
    <t>Granite Falls School District</t>
  </si>
  <si>
    <t>5303300</t>
  </si>
  <si>
    <t>Green Mountain School District</t>
  </si>
  <si>
    <t>5303330</t>
  </si>
  <si>
    <t>Griffin School District</t>
  </si>
  <si>
    <t>5303570</t>
  </si>
  <si>
    <t>Hockinson School District</t>
  </si>
  <si>
    <t>5303750</t>
  </si>
  <si>
    <t>Issaquah School District</t>
  </si>
  <si>
    <t>5303780</t>
  </si>
  <si>
    <t>Kahlotus School District</t>
  </si>
  <si>
    <t>5303810</t>
  </si>
  <si>
    <t>Kalama School District</t>
  </si>
  <si>
    <t>5304170</t>
  </si>
  <si>
    <t>La Center School District</t>
  </si>
  <si>
    <t>5304200</t>
  </si>
  <si>
    <t>Lake Stevens School District</t>
  </si>
  <si>
    <t>5304230</t>
  </si>
  <si>
    <t>Lake Washington School District</t>
  </si>
  <si>
    <t>5304260</t>
  </si>
  <si>
    <t>Lakewood School District</t>
  </si>
  <si>
    <t>5304290</t>
  </si>
  <si>
    <t>Lamont School District</t>
  </si>
  <si>
    <t>5304380</t>
  </si>
  <si>
    <t>Liberty School District</t>
  </si>
  <si>
    <t>5304620</t>
  </si>
  <si>
    <t>Lynden School District</t>
  </si>
  <si>
    <t>5304860</t>
  </si>
  <si>
    <t>Marysville School District</t>
  </si>
  <si>
    <t>5304920</t>
  </si>
  <si>
    <t>Mead School District</t>
  </si>
  <si>
    <t>5304950</t>
  </si>
  <si>
    <t>Medical Lake School District</t>
  </si>
  <si>
    <t>5304980</t>
  </si>
  <si>
    <t>Mercer Island School District</t>
  </si>
  <si>
    <t>5305010</t>
  </si>
  <si>
    <t>Meridian School District</t>
  </si>
  <si>
    <t>5305130</t>
  </si>
  <si>
    <t>Monroe School District</t>
  </si>
  <si>
    <t>5305340</t>
  </si>
  <si>
    <t>Mount Pleasant School District</t>
  </si>
  <si>
    <t>5305670</t>
  </si>
  <si>
    <t>Nooksack Valley School District</t>
  </si>
  <si>
    <t>5305760</t>
  </si>
  <si>
    <t>North Kitsap School District</t>
  </si>
  <si>
    <t>5305850</t>
  </si>
  <si>
    <t>North Thurston Public Schools</t>
  </si>
  <si>
    <t>5305910</t>
  </si>
  <si>
    <t>Northshore School District</t>
  </si>
  <si>
    <t>5305940</t>
  </si>
  <si>
    <t>Oak Harbor School District</t>
  </si>
  <si>
    <t>5305970</t>
  </si>
  <si>
    <t>Oakesdale School District</t>
  </si>
  <si>
    <t>5306180</t>
  </si>
  <si>
    <t>Olympia School District</t>
  </si>
  <si>
    <t>5306630</t>
  </si>
  <si>
    <t>Paterson School District</t>
  </si>
  <si>
    <t>5306690</t>
  </si>
  <si>
    <t>Peninsula School District</t>
  </si>
  <si>
    <t>5306960</t>
  </si>
  <si>
    <t>Puyallup School District</t>
  </si>
  <si>
    <t>5307110</t>
  </si>
  <si>
    <t>Rainier School District</t>
  </si>
  <si>
    <t>5307320</t>
  </si>
  <si>
    <t>Richland School District</t>
  </si>
  <si>
    <t>5307350</t>
  </si>
  <si>
    <t>Ridgefield School District</t>
  </si>
  <si>
    <t>5307380</t>
  </si>
  <si>
    <t>Ritzville School District</t>
  </si>
  <si>
    <t>5304560</t>
  </si>
  <si>
    <t>Riverview School District</t>
  </si>
  <si>
    <t>5307650</t>
  </si>
  <si>
    <t>San Juan Island School District</t>
  </si>
  <si>
    <t>5307860</t>
  </si>
  <si>
    <t>Shaw Island School District</t>
  </si>
  <si>
    <t>5307920</t>
  </si>
  <si>
    <t>Shoreline School District</t>
  </si>
  <si>
    <t>5307980</t>
  </si>
  <si>
    <t>Skykomish School District</t>
  </si>
  <si>
    <t>5308020</t>
  </si>
  <si>
    <t>Snohomish School District</t>
  </si>
  <si>
    <t>5308040</t>
  </si>
  <si>
    <t>Snoqualmie Valley School District</t>
  </si>
  <si>
    <t>5308160</t>
  </si>
  <si>
    <t>South Kitsap School District</t>
  </si>
  <si>
    <t>5308190</t>
  </si>
  <si>
    <t>South Whidbey School District</t>
  </si>
  <si>
    <t>5308340</t>
  </si>
  <si>
    <t>Stanwood-Camano School District</t>
  </si>
  <si>
    <t>5308370</t>
  </si>
  <si>
    <t>Star School District</t>
  </si>
  <si>
    <t>5308430</t>
  </si>
  <si>
    <t>Stehekin School District</t>
  </si>
  <si>
    <t>5308460</t>
  </si>
  <si>
    <t>Steilacoom Historical School District</t>
  </si>
  <si>
    <t>5308550</t>
  </si>
  <si>
    <t>Sultan School District</t>
  </si>
  <si>
    <t>5308610</t>
  </si>
  <si>
    <t>Sumner School District</t>
  </si>
  <si>
    <t>5308760</t>
  </si>
  <si>
    <t>Tahoma School District</t>
  </si>
  <si>
    <t>5308790</t>
  </si>
  <si>
    <t>Tekoa School District</t>
  </si>
  <si>
    <t>5308850</t>
  </si>
  <si>
    <t>Thorp School District</t>
  </si>
  <si>
    <t>5308910</t>
  </si>
  <si>
    <t>Toledo School District</t>
  </si>
  <si>
    <t>5309000</t>
  </si>
  <si>
    <t>Touchet School District</t>
  </si>
  <si>
    <t>5309030</t>
  </si>
  <si>
    <t>Toutle Lake School District</t>
  </si>
  <si>
    <t>5309100</t>
  </si>
  <si>
    <t>Tumwater School District</t>
  </si>
  <si>
    <t>5309180</t>
  </si>
  <si>
    <t>University Place School District</t>
  </si>
  <si>
    <t>5309300</t>
  </si>
  <si>
    <t>Vashon Island School District</t>
  </si>
  <si>
    <t>5309540</t>
  </si>
  <si>
    <t>Washougal School District</t>
  </si>
  <si>
    <t>5309720</t>
  </si>
  <si>
    <t>5309780</t>
  </si>
  <si>
    <t>White River School District</t>
  </si>
  <si>
    <t>5309840</t>
  </si>
  <si>
    <t>Wilbur School District</t>
  </si>
  <si>
    <t>5300060</t>
  </si>
  <si>
    <t>Adna School District</t>
  </si>
  <si>
    <t>5300090</t>
  </si>
  <si>
    <t>Almira School District</t>
  </si>
  <si>
    <t>5300480</t>
  </si>
  <si>
    <t>Bethel School District</t>
  </si>
  <si>
    <t>5301110</t>
  </si>
  <si>
    <t>Central Valley School District</t>
  </si>
  <si>
    <t>5301230</t>
  </si>
  <si>
    <t>Cheney School District</t>
  </si>
  <si>
    <t>5301440</t>
  </si>
  <si>
    <t>Colfax School District</t>
  </si>
  <si>
    <t>5301980</t>
  </si>
  <si>
    <t>Darrington School District</t>
  </si>
  <si>
    <t>5302130</t>
  </si>
  <si>
    <t>Dieringer School District</t>
  </si>
  <si>
    <t>5302700</t>
  </si>
  <si>
    <t>Evergreen School District (Clark)</t>
  </si>
  <si>
    <t>5304050</t>
  </si>
  <si>
    <t>Kittitas School District</t>
  </si>
  <si>
    <t>5304110</t>
  </si>
  <si>
    <t>La Conner School District</t>
  </si>
  <si>
    <t>5301200</t>
  </si>
  <si>
    <t>Lake Chelan School District</t>
  </si>
  <si>
    <t>5304740</t>
  </si>
  <si>
    <t>Manson School District</t>
  </si>
  <si>
    <t>5305430</t>
  </si>
  <si>
    <t>Mukilteo School District</t>
  </si>
  <si>
    <t>5306120</t>
  </si>
  <si>
    <t>Odessa School District</t>
  </si>
  <si>
    <t>5306330</t>
  </si>
  <si>
    <t>Orchard Prairie School District</t>
  </si>
  <si>
    <t>5306450</t>
  </si>
  <si>
    <t>Orting School District</t>
  </si>
  <si>
    <t>5306660</t>
  </si>
  <si>
    <t>Pe Ell School District</t>
  </si>
  <si>
    <t>5307440</t>
  </si>
  <si>
    <t>Riverside School District</t>
  </si>
  <si>
    <t>5307530</t>
  </si>
  <si>
    <t>Roosevelt School District</t>
  </si>
  <si>
    <t>5307740</t>
  </si>
  <si>
    <t>Sedro-Woolley School District</t>
  </si>
  <si>
    <t>5307950</t>
  </si>
  <si>
    <t>Skamania School District</t>
  </si>
  <si>
    <t>5308820</t>
  </si>
  <si>
    <t>Tenino School District</t>
  </si>
  <si>
    <t>5309690</t>
  </si>
  <si>
    <t>5309810</t>
  </si>
  <si>
    <t>White Salmon Valley School District</t>
  </si>
  <si>
    <t>5300030</t>
  </si>
  <si>
    <t>5300280</t>
  </si>
  <si>
    <t>Asotin-Anatone School District</t>
  </si>
  <si>
    <t>5300300</t>
  </si>
  <si>
    <t>Auburn School District</t>
  </si>
  <si>
    <t>5300510</t>
  </si>
  <si>
    <t>Bickleton School District</t>
  </si>
  <si>
    <t>5300570</t>
  </si>
  <si>
    <t>Blaine School District</t>
  </si>
  <si>
    <t>5300630</t>
  </si>
  <si>
    <t>Boistfort School District</t>
  </si>
  <si>
    <t>5300690</t>
  </si>
  <si>
    <t>Brewster School District</t>
  </si>
  <si>
    <t>5300720</t>
  </si>
  <si>
    <t>Bridgeport School District</t>
  </si>
  <si>
    <t>5300750</t>
  </si>
  <si>
    <t>Brinnon School District</t>
  </si>
  <si>
    <t>5300780</t>
  </si>
  <si>
    <t>Burlington-Edison School District</t>
  </si>
  <si>
    <t>5300840</t>
  </si>
  <si>
    <t>Cape Flattery School District</t>
  </si>
  <si>
    <t>5300950</t>
  </si>
  <si>
    <t>Cascade School District</t>
  </si>
  <si>
    <t>5300960</t>
  </si>
  <si>
    <t>Cashmere School District</t>
  </si>
  <si>
    <t>5301050</t>
  </si>
  <si>
    <t>Centerville School District</t>
  </si>
  <si>
    <t>5301140</t>
  </si>
  <si>
    <t>Centralia School District</t>
  </si>
  <si>
    <t>5301170</t>
  </si>
  <si>
    <t>Chehalis School District</t>
  </si>
  <si>
    <t>5301260</t>
  </si>
  <si>
    <t>Chewelah School District</t>
  </si>
  <si>
    <t>5301320</t>
  </si>
  <si>
    <t>Clarkston School District</t>
  </si>
  <si>
    <t>5301350</t>
  </si>
  <si>
    <t>Cle Elum-Roslyn School District</t>
  </si>
  <si>
    <t>5301410</t>
  </si>
  <si>
    <t>Clover Park School District</t>
  </si>
  <si>
    <t>5301470</t>
  </si>
  <si>
    <t>College Place School District</t>
  </si>
  <si>
    <t>5301500</t>
  </si>
  <si>
    <t>Colton School District</t>
  </si>
  <si>
    <t>5301560</t>
  </si>
  <si>
    <t>5301590</t>
  </si>
  <si>
    <t>5301630</t>
  </si>
  <si>
    <t>Colville School District</t>
  </si>
  <si>
    <t>5301660</t>
  </si>
  <si>
    <t>Concrete School District</t>
  </si>
  <si>
    <t>5303440</t>
  </si>
  <si>
    <t>Coulee-Hartline School District</t>
  </si>
  <si>
    <t>5301800</t>
  </si>
  <si>
    <t>Coupeville School District</t>
  </si>
  <si>
    <t>5301830</t>
  </si>
  <si>
    <t>Crescent School District</t>
  </si>
  <si>
    <t>5301860</t>
  </si>
  <si>
    <t>Creston School District</t>
  </si>
  <si>
    <t>5301890</t>
  </si>
  <si>
    <t>Curlew School District</t>
  </si>
  <si>
    <t>5301920</t>
  </si>
  <si>
    <t>Cusick School District</t>
  </si>
  <si>
    <t>5302010</t>
  </si>
  <si>
    <t>Davenport School District</t>
  </si>
  <si>
    <t>5302040</t>
  </si>
  <si>
    <t>Dayton School District</t>
  </si>
  <si>
    <t>5302070</t>
  </si>
  <si>
    <t>Deer Park School District</t>
  </si>
  <si>
    <t>5302160</t>
  </si>
  <si>
    <t>Dixie School District</t>
  </si>
  <si>
    <t>5302280</t>
  </si>
  <si>
    <t>East Valley School District (Spokane)</t>
  </si>
  <si>
    <t>5305370</t>
  </si>
  <si>
    <t>East Valley School District (Yakima)</t>
  </si>
  <si>
    <t>5302310</t>
  </si>
  <si>
    <t>Eastmont School District</t>
  </si>
  <si>
    <t>5302460</t>
  </si>
  <si>
    <t>Ellensburg School District</t>
  </si>
  <si>
    <t>5302490</t>
  </si>
  <si>
    <t>Elma School District</t>
  </si>
  <si>
    <t>5302520</t>
  </si>
  <si>
    <t>Endicott School District</t>
  </si>
  <si>
    <t>5302550</t>
  </si>
  <si>
    <t>Entiat School District</t>
  </si>
  <si>
    <t>5302610</t>
  </si>
  <si>
    <t>Ephrata School District</t>
  </si>
  <si>
    <t>5302640</t>
  </si>
  <si>
    <t>Evaline School District</t>
  </si>
  <si>
    <t>5302730</t>
  </si>
  <si>
    <t>Evergreen School District (Stevens)</t>
  </si>
  <si>
    <t>5302820</t>
  </si>
  <si>
    <t>Federal Way School District</t>
  </si>
  <si>
    <t>5302910</t>
  </si>
  <si>
    <t>Finley School District</t>
  </si>
  <si>
    <t>5302940</t>
  </si>
  <si>
    <t>Franklin Pierce School District</t>
  </si>
  <si>
    <t>5303000</t>
  </si>
  <si>
    <t>Garfield School District</t>
  </si>
  <si>
    <t>5303090</t>
  </si>
  <si>
    <t>Goldendale School District</t>
  </si>
  <si>
    <t>5303130</t>
  </si>
  <si>
    <t>Grand Coulee Dam School District</t>
  </si>
  <si>
    <t>5303150</t>
  </si>
  <si>
    <t>Grandview School District</t>
  </si>
  <si>
    <t>5303180</t>
  </si>
  <si>
    <t>Granger School District</t>
  </si>
  <si>
    <t>5303240</t>
  </si>
  <si>
    <t>Grapeview School District</t>
  </si>
  <si>
    <t>5303270</t>
  </si>
  <si>
    <t>Great Northern School District</t>
  </si>
  <si>
    <t>5303360</t>
  </si>
  <si>
    <t>Harrington School District</t>
  </si>
  <si>
    <t>5303510</t>
  </si>
  <si>
    <t>Highland School District</t>
  </si>
  <si>
    <t>5303600</t>
  </si>
  <si>
    <t>Hood Canal School District</t>
  </si>
  <si>
    <t>5303660</t>
  </si>
  <si>
    <t>Hoquiam School District</t>
  </si>
  <si>
    <t>5300002</t>
  </si>
  <si>
    <t>Inchelium School District</t>
  </si>
  <si>
    <t>5303720</t>
  </si>
  <si>
    <t>Index School District</t>
  </si>
  <si>
    <t>5303870</t>
  </si>
  <si>
    <t>Keller School District</t>
  </si>
  <si>
    <t>5300003</t>
  </si>
  <si>
    <t>Kelso School District</t>
  </si>
  <si>
    <t>5303930</t>
  </si>
  <si>
    <t>Kennewick School District</t>
  </si>
  <si>
    <t>5303960</t>
  </si>
  <si>
    <t>Kent School District</t>
  </si>
  <si>
    <t>5303990</t>
  </si>
  <si>
    <t>Kettle Falls School District</t>
  </si>
  <si>
    <t>5304020</t>
  </si>
  <si>
    <t>5304080</t>
  </si>
  <si>
    <t>Klickitat School District</t>
  </si>
  <si>
    <t>5304150</t>
  </si>
  <si>
    <t>LaCrosse School District</t>
  </si>
  <si>
    <t>5307050</t>
  </si>
  <si>
    <t>Lake Quinault School District</t>
  </si>
  <si>
    <t>5304410</t>
  </si>
  <si>
    <t>Lind School District</t>
  </si>
  <si>
    <t>5304470</t>
  </si>
  <si>
    <t>Longview Public Schools</t>
  </si>
  <si>
    <t>5304500</t>
  </si>
  <si>
    <t>Loon Lake School District</t>
  </si>
  <si>
    <t>5304530</t>
  </si>
  <si>
    <t>Lopez School District</t>
  </si>
  <si>
    <t>5304590</t>
  </si>
  <si>
    <t>Lyle School District</t>
  </si>
  <si>
    <t>5304650</t>
  </si>
  <si>
    <t>Mabton School District</t>
  </si>
  <si>
    <t>5304710</t>
  </si>
  <si>
    <t>Mansfield School District</t>
  </si>
  <si>
    <t>5304800</t>
  </si>
  <si>
    <t>Mary M. Knight School District</t>
  </si>
  <si>
    <t>5304830</t>
  </si>
  <si>
    <t>Mary Walker School District</t>
  </si>
  <si>
    <t>5304890</t>
  </si>
  <si>
    <t>McCleary School District</t>
  </si>
  <si>
    <t>5305020</t>
  </si>
  <si>
    <t>Methow Valley School District</t>
  </si>
  <si>
    <t>5305040</t>
  </si>
  <si>
    <t>Mill A School District</t>
  </si>
  <si>
    <t>5305160</t>
  </si>
  <si>
    <t>Montesano School District</t>
  </si>
  <si>
    <t>5305190</t>
  </si>
  <si>
    <t>Morton School District</t>
  </si>
  <si>
    <t>5305220</t>
  </si>
  <si>
    <t>Moses Lake School District</t>
  </si>
  <si>
    <t>5305250</t>
  </si>
  <si>
    <t>Mossyrock School District</t>
  </si>
  <si>
    <t>5305280</t>
  </si>
  <si>
    <t>Mount Adams School District</t>
  </si>
  <si>
    <t>5305310</t>
  </si>
  <si>
    <t>Mount Baker School District</t>
  </si>
  <si>
    <t>5305400</t>
  </si>
  <si>
    <t>Mount Vernon School District</t>
  </si>
  <si>
    <t>5305460</t>
  </si>
  <si>
    <t>Naches Valley School District</t>
  </si>
  <si>
    <t>5305490</t>
  </si>
  <si>
    <t>Napavine School District</t>
  </si>
  <si>
    <t>5305520</t>
  </si>
  <si>
    <t>Naselle-Grays River Valley School District</t>
  </si>
  <si>
    <t>5305550</t>
  </si>
  <si>
    <t>Nespelem School District</t>
  </si>
  <si>
    <t>5305610</t>
  </si>
  <si>
    <t>Newport School District</t>
  </si>
  <si>
    <t>5305640</t>
  </si>
  <si>
    <t>Nine Mile Falls School District</t>
  </si>
  <si>
    <t>5305700</t>
  </si>
  <si>
    <t>North Beach School District</t>
  </si>
  <si>
    <t>5305730</t>
  </si>
  <si>
    <t>North Franklin School District</t>
  </si>
  <si>
    <t>5305790</t>
  </si>
  <si>
    <t>North Mason School District</t>
  </si>
  <si>
    <t>5305820</t>
  </si>
  <si>
    <t>North River School District</t>
  </si>
  <si>
    <t>5305880</t>
  </si>
  <si>
    <t>Northport School District</t>
  </si>
  <si>
    <t>5306000</t>
  </si>
  <si>
    <t>Oakville School District</t>
  </si>
  <si>
    <t>5306060</t>
  </si>
  <si>
    <t>Ocean Beach School District</t>
  </si>
  <si>
    <t>5306090</t>
  </si>
  <si>
    <t>Ocosta School District</t>
  </si>
  <si>
    <t>5306150</t>
  </si>
  <si>
    <t>Okanogan School District</t>
  </si>
  <si>
    <t>5306220</t>
  </si>
  <si>
    <t>Omak School District</t>
  </si>
  <si>
    <t>5306240</t>
  </si>
  <si>
    <t>Onalaska School District</t>
  </si>
  <si>
    <t>5306270</t>
  </si>
  <si>
    <t>Onion Creek School District</t>
  </si>
  <si>
    <t>5306300</t>
  </si>
  <si>
    <t>Orcas Island School District</t>
  </si>
  <si>
    <t>5306360</t>
  </si>
  <si>
    <t>Orient School District</t>
  </si>
  <si>
    <t>5306390</t>
  </si>
  <si>
    <t>Orondo School District</t>
  </si>
  <si>
    <t>5306420</t>
  </si>
  <si>
    <t>Oroville School District</t>
  </si>
  <si>
    <t>5306480</t>
  </si>
  <si>
    <t>Othello School District</t>
  </si>
  <si>
    <t>5306510</t>
  </si>
  <si>
    <t>Palisades School District</t>
  </si>
  <si>
    <t>5306540</t>
  </si>
  <si>
    <t>Palouse School District</t>
  </si>
  <si>
    <t>5306570</t>
  </si>
  <si>
    <t>Pasco School District</t>
  </si>
  <si>
    <t>5306600</t>
  </si>
  <si>
    <t>Pateros School District</t>
  </si>
  <si>
    <t>5306750</t>
  </si>
  <si>
    <t>Pioneer School District</t>
  </si>
  <si>
    <t>5306780</t>
  </si>
  <si>
    <t>Pomeroy School District</t>
  </si>
  <si>
    <t>5306820</t>
  </si>
  <si>
    <t>Port Angeles School District</t>
  </si>
  <si>
    <t>5306840</t>
  </si>
  <si>
    <t>Port Townsend School District</t>
  </si>
  <si>
    <t>5306870</t>
  </si>
  <si>
    <t>Prescott School District</t>
  </si>
  <si>
    <t>5306900</t>
  </si>
  <si>
    <t>Prosser School District</t>
  </si>
  <si>
    <t>5301380</t>
  </si>
  <si>
    <t>Queets-Clearwater School District</t>
  </si>
  <si>
    <t>5306990</t>
  </si>
  <si>
    <t>Quilcene School District</t>
  </si>
  <si>
    <t>5307020</t>
  </si>
  <si>
    <t>Quillayute Valley School District</t>
  </si>
  <si>
    <t>5307080</t>
  </si>
  <si>
    <t>Quincy School District</t>
  </si>
  <si>
    <t>5307140</t>
  </si>
  <si>
    <t>Raymond School District</t>
  </si>
  <si>
    <t>5307210</t>
  </si>
  <si>
    <t>Reardan-Edwall School District</t>
  </si>
  <si>
    <t>5307230</t>
  </si>
  <si>
    <t>5307260</t>
  </si>
  <si>
    <t>Republic School District</t>
  </si>
  <si>
    <t>5307470</t>
  </si>
  <si>
    <t>Rochester School District</t>
  </si>
  <si>
    <t>5307560</t>
  </si>
  <si>
    <t>Rosalia School District</t>
  </si>
  <si>
    <t>5307620</t>
  </si>
  <si>
    <t>Royal School District</t>
  </si>
  <si>
    <t>5307680</t>
  </si>
  <si>
    <t>Satsop School District</t>
  </si>
  <si>
    <t>5307770</t>
  </si>
  <si>
    <t>Selah School District</t>
  </si>
  <si>
    <t>5307800</t>
  </si>
  <si>
    <t>Selkirk School District</t>
  </si>
  <si>
    <t>5307830</t>
  </si>
  <si>
    <t>Sequim School District</t>
  </si>
  <si>
    <t>5307900</t>
  </si>
  <si>
    <t>Shelton School District</t>
  </si>
  <si>
    <t>5308070</t>
  </si>
  <si>
    <t>Soap Lake School District</t>
  </si>
  <si>
    <t>5308100</t>
  </si>
  <si>
    <t>South Bend School District</t>
  </si>
  <si>
    <t>5308220</t>
  </si>
  <si>
    <t>Southside School District</t>
  </si>
  <si>
    <t>5308280</t>
  </si>
  <si>
    <t>Sprague School District</t>
  </si>
  <si>
    <t>5308310</t>
  </si>
  <si>
    <t>St. John School District</t>
  </si>
  <si>
    <t>5308400</t>
  </si>
  <si>
    <t>Starbuck School District</t>
  </si>
  <si>
    <t>5308490</t>
  </si>
  <si>
    <t>Steptoe School District</t>
  </si>
  <si>
    <t>5308520</t>
  </si>
  <si>
    <t>Stevenson-Carson School District</t>
  </si>
  <si>
    <t>5308580</t>
  </si>
  <si>
    <t>Summit Valley School District</t>
  </si>
  <si>
    <t>5308670</t>
  </si>
  <si>
    <t>Sunnyside School District</t>
  </si>
  <si>
    <t>5308730</t>
  </si>
  <si>
    <t>Taholah School District</t>
  </si>
  <si>
    <t>5308940</t>
  </si>
  <si>
    <t>Tonasket School District</t>
  </si>
  <si>
    <t>5308970</t>
  </si>
  <si>
    <t>Toppenish School District</t>
  </si>
  <si>
    <t>5309060</t>
  </si>
  <si>
    <t>Trout Lake School District</t>
  </si>
  <si>
    <t>5309150</t>
  </si>
  <si>
    <t>Union Gap School District</t>
  </si>
  <si>
    <t>5309240</t>
  </si>
  <si>
    <t>Valley School District</t>
  </si>
  <si>
    <t>5309330</t>
  </si>
  <si>
    <t>Wahkiakum School District</t>
  </si>
  <si>
    <t>5309360</t>
  </si>
  <si>
    <t>Wahluke School District</t>
  </si>
  <si>
    <t>5309390</t>
  </si>
  <si>
    <t>Waitsburg School District</t>
  </si>
  <si>
    <t>5309450</t>
  </si>
  <si>
    <t>5309480</t>
  </si>
  <si>
    <t>Wapato School District</t>
  </si>
  <si>
    <t>5309510</t>
  </si>
  <si>
    <t>Warden School District</t>
  </si>
  <si>
    <t>5309570</t>
  </si>
  <si>
    <t>Washtucna School District</t>
  </si>
  <si>
    <t>5309600</t>
  </si>
  <si>
    <t>Waterville School District</t>
  </si>
  <si>
    <t>5309630</t>
  </si>
  <si>
    <t>Wellpinit School District</t>
  </si>
  <si>
    <t>5309750</t>
  </si>
  <si>
    <t>White Pass School District</t>
  </si>
  <si>
    <t>5309870</t>
  </si>
  <si>
    <t>Willapa Valley School District</t>
  </si>
  <si>
    <t>5309900</t>
  </si>
  <si>
    <t>Wilson Creek School District</t>
  </si>
  <si>
    <t>5309930</t>
  </si>
  <si>
    <t>Winlock School District</t>
  </si>
  <si>
    <t>5309990</t>
  </si>
  <si>
    <t>Wishkah Valley School District</t>
  </si>
  <si>
    <t>5310020</t>
  </si>
  <si>
    <t>Wishram School District</t>
  </si>
  <si>
    <t>5310050</t>
  </si>
  <si>
    <t>Woodland School District</t>
  </si>
  <si>
    <t>5310110</t>
  </si>
  <si>
    <t>Yakima School District</t>
  </si>
  <si>
    <t>5310140</t>
  </si>
  <si>
    <t>Yelm Community Schools</t>
  </si>
  <si>
    <t>5310170</t>
  </si>
  <si>
    <t>Zillah School District</t>
  </si>
  <si>
    <t>5399999</t>
  </si>
  <si>
    <t>PART D SUBPART 2</t>
  </si>
  <si>
    <t>1</t>
  </si>
  <si>
    <t>Hold Harmless Percentage</t>
  </si>
  <si>
    <t>IsExpanded</t>
  </si>
  <si>
    <t>Sum of Charters RFPL+Sending RFPL</t>
  </si>
  <si>
    <t>WASHINGTON</t>
  </si>
  <si>
    <t>Pool</t>
  </si>
  <si>
    <t>Allocation</t>
  </si>
  <si>
    <t>MOE</t>
  </si>
  <si>
    <t>14005</t>
  </si>
  <si>
    <t>ABERDEEN</t>
  </si>
  <si>
    <t>21226</t>
  </si>
  <si>
    <t>ADNA</t>
  </si>
  <si>
    <t>22017</t>
  </si>
  <si>
    <t>ALMIRA</t>
  </si>
  <si>
    <t>29103</t>
  </si>
  <si>
    <t>ANACORTES</t>
  </si>
  <si>
    <t>31016</t>
  </si>
  <si>
    <t>ARLINGTON</t>
  </si>
  <si>
    <t>02420</t>
  </si>
  <si>
    <t>ASOTIN-ANATONE</t>
  </si>
  <si>
    <t>17408</t>
  </si>
  <si>
    <t>AUBURN</t>
  </si>
  <si>
    <t>18303</t>
  </si>
  <si>
    <t>BAINBRIDGE ISLAND</t>
  </si>
  <si>
    <t>06119</t>
  </si>
  <si>
    <t>BATTLE GROUND</t>
  </si>
  <si>
    <t>17405</t>
  </si>
  <si>
    <t>BELLEVUE</t>
  </si>
  <si>
    <t>BELLINGHAM</t>
  </si>
  <si>
    <t>01122</t>
  </si>
  <si>
    <t>BENGE</t>
  </si>
  <si>
    <t>27403</t>
  </si>
  <si>
    <t>BETHEL</t>
  </si>
  <si>
    <t>20203</t>
  </si>
  <si>
    <t>BICKLETON</t>
  </si>
  <si>
    <t>37503</t>
  </si>
  <si>
    <t>BLAINE</t>
  </si>
  <si>
    <t>21234</t>
  </si>
  <si>
    <t>BOISTFORT</t>
  </si>
  <si>
    <t>BREMERTON</t>
  </si>
  <si>
    <t>24111</t>
  </si>
  <si>
    <t>BREWSTER</t>
  </si>
  <si>
    <t>09075</t>
  </si>
  <si>
    <t>BRIDGEPORT</t>
  </si>
  <si>
    <t>16046</t>
  </si>
  <si>
    <t>BRINNON</t>
  </si>
  <si>
    <t>29100</t>
  </si>
  <si>
    <t>BURLINGTON-EDISON</t>
  </si>
  <si>
    <t>06117</t>
  </si>
  <si>
    <t>CAMAS</t>
  </si>
  <si>
    <t>05401</t>
  </si>
  <si>
    <t>CAPE FLATTERY</t>
  </si>
  <si>
    <t>27019</t>
  </si>
  <si>
    <t>CARBONADO</t>
  </si>
  <si>
    <t>04228</t>
  </si>
  <si>
    <t>CASCADE</t>
  </si>
  <si>
    <t>04222</t>
  </si>
  <si>
    <t>CASHMERE</t>
  </si>
  <si>
    <t>08401</t>
  </si>
  <si>
    <t>CASTLE ROCK</t>
  </si>
  <si>
    <t>CATALYST BREMERTON CHARTER</t>
  </si>
  <si>
    <t>20215</t>
  </si>
  <si>
    <t>CENTERVILLE</t>
  </si>
  <si>
    <t>18401</t>
  </si>
  <si>
    <t>CENTRAL KITSAP</t>
  </si>
  <si>
    <t>32356</t>
  </si>
  <si>
    <t>CENTRAL VALLEY</t>
  </si>
  <si>
    <t>21401</t>
  </si>
  <si>
    <t>CENTRALIA</t>
  </si>
  <si>
    <t>21302</t>
  </si>
  <si>
    <t>CHEHALIS</t>
  </si>
  <si>
    <t>32360</t>
  </si>
  <si>
    <t>CHENEY</t>
  </si>
  <si>
    <t>33036</t>
  </si>
  <si>
    <t>CHEWELAH</t>
  </si>
  <si>
    <t>16049</t>
  </si>
  <si>
    <t>CHIMACUM</t>
  </si>
  <si>
    <t>02250</t>
  </si>
  <si>
    <t>CLARKSTON</t>
  </si>
  <si>
    <t>19404</t>
  </si>
  <si>
    <t>CLE ELUM-ROSLYN</t>
  </si>
  <si>
    <t>27400</t>
  </si>
  <si>
    <t>CLOVER PARK</t>
  </si>
  <si>
    <t>38300</t>
  </si>
  <si>
    <t>COLFAX</t>
  </si>
  <si>
    <t>36250</t>
  </si>
  <si>
    <t>COLLEGE PLACE</t>
  </si>
  <si>
    <t>38306</t>
  </si>
  <si>
    <t>COLTON</t>
  </si>
  <si>
    <t>33206</t>
  </si>
  <si>
    <t>COLUMBIA (STEV)</t>
  </si>
  <si>
    <t>36400</t>
  </si>
  <si>
    <t>COLUMBIA (WALLA)</t>
  </si>
  <si>
    <t>33115</t>
  </si>
  <si>
    <t>COLVILLE</t>
  </si>
  <si>
    <t>29011</t>
  </si>
  <si>
    <t>CONCRETE</t>
  </si>
  <si>
    <t>29317</t>
  </si>
  <si>
    <t>CONWAY</t>
  </si>
  <si>
    <t>14099</t>
  </si>
  <si>
    <t>COSMOPOLIS</t>
  </si>
  <si>
    <t>13151</t>
  </si>
  <si>
    <t>COULEE-HARTLINE</t>
  </si>
  <si>
    <t>15204</t>
  </si>
  <si>
    <t>COUPEVILLE</t>
  </si>
  <si>
    <t>05313</t>
  </si>
  <si>
    <t>CRESCENT</t>
  </si>
  <si>
    <t>22073</t>
  </si>
  <si>
    <t>CRESTON</t>
  </si>
  <si>
    <t>10050</t>
  </si>
  <si>
    <t>CURLEW</t>
  </si>
  <si>
    <t>26059</t>
  </si>
  <si>
    <t>CUSICK</t>
  </si>
  <si>
    <t>19007</t>
  </si>
  <si>
    <t>DAMMAN</t>
  </si>
  <si>
    <t>31330</t>
  </si>
  <si>
    <t>DARRINGTON</t>
  </si>
  <si>
    <t>22207</t>
  </si>
  <si>
    <t>DAVENPORT</t>
  </si>
  <si>
    <t>07002</t>
  </si>
  <si>
    <t>DAYTON</t>
  </si>
  <si>
    <t>32414</t>
  </si>
  <si>
    <t>DEER PARK</t>
  </si>
  <si>
    <t>27343</t>
  </si>
  <si>
    <t>DIERINGER</t>
  </si>
  <si>
    <t>36101</t>
  </si>
  <si>
    <t>DIXIE</t>
  </si>
  <si>
    <t>32361</t>
  </si>
  <si>
    <t>EAST VALLEY (SPK)</t>
  </si>
  <si>
    <t>39090</t>
  </si>
  <si>
    <t>EAST VALLEY (YAK)</t>
  </si>
  <si>
    <t>09206</t>
  </si>
  <si>
    <t>EASTMONT</t>
  </si>
  <si>
    <t>19028</t>
  </si>
  <si>
    <t>EASTON</t>
  </si>
  <si>
    <t>27404</t>
  </si>
  <si>
    <t>EATONVILLE</t>
  </si>
  <si>
    <t>31015</t>
  </si>
  <si>
    <t>EDMONDS</t>
  </si>
  <si>
    <t>19401</t>
  </si>
  <si>
    <t>ELLENSBURG</t>
  </si>
  <si>
    <t>14068</t>
  </si>
  <si>
    <t>ELMA</t>
  </si>
  <si>
    <t>38308</t>
  </si>
  <si>
    <t>ENDICOTT</t>
  </si>
  <si>
    <t>04127</t>
  </si>
  <si>
    <t>ENTIAT</t>
  </si>
  <si>
    <t>17216</t>
  </si>
  <si>
    <t>ENUMCLAW</t>
  </si>
  <si>
    <t>13165</t>
  </si>
  <si>
    <t>EPHRATA</t>
  </si>
  <si>
    <t>21036</t>
  </si>
  <si>
    <t>EVALINE</t>
  </si>
  <si>
    <t>31002</t>
  </si>
  <si>
    <t>EVERETT</t>
  </si>
  <si>
    <t>06114</t>
  </si>
  <si>
    <t>EVERGREEN (CLARK)</t>
  </si>
  <si>
    <t>33205</t>
  </si>
  <si>
    <t>EVERGREEN (STEV)</t>
  </si>
  <si>
    <t>17210</t>
  </si>
  <si>
    <t>FEDERAL WAY</t>
  </si>
  <si>
    <t>37502</t>
  </si>
  <si>
    <t>FERNDALE</t>
  </si>
  <si>
    <t>27417</t>
  </si>
  <si>
    <t>FIFE</t>
  </si>
  <si>
    <t>03053</t>
  </si>
  <si>
    <t>FINLEY</t>
  </si>
  <si>
    <t>27402</t>
  </si>
  <si>
    <t>FRANKLIN PIERCE</t>
  </si>
  <si>
    <t>32358</t>
  </si>
  <si>
    <t>FREEMAN</t>
  </si>
  <si>
    <t>38302</t>
  </si>
  <si>
    <t>GARFIELD</t>
  </si>
  <si>
    <t>20401</t>
  </si>
  <si>
    <t>GLENWOOD</t>
  </si>
  <si>
    <t>20404</t>
  </si>
  <si>
    <t>GOLDENDALE</t>
  </si>
  <si>
    <t>13301</t>
  </si>
  <si>
    <t>GRAND COULEE</t>
  </si>
  <si>
    <t>39200</t>
  </si>
  <si>
    <t>GRANDVIEW</t>
  </si>
  <si>
    <t>39204</t>
  </si>
  <si>
    <t>GRANGER</t>
  </si>
  <si>
    <t>31332</t>
  </si>
  <si>
    <t>GRANITE FALLS</t>
  </si>
  <si>
    <t>23054</t>
  </si>
  <si>
    <t>GRAPEVIEW</t>
  </si>
  <si>
    <t>32312</t>
  </si>
  <si>
    <t>GREAT NORTHERN</t>
  </si>
  <si>
    <t>06103</t>
  </si>
  <si>
    <t>GREEN MOUNTAIN</t>
  </si>
  <si>
    <t>34324</t>
  </si>
  <si>
    <t>GRIFFIN</t>
  </si>
  <si>
    <t>22204</t>
  </si>
  <si>
    <t>HARRINGTON</t>
  </si>
  <si>
    <t>39203</t>
  </si>
  <si>
    <t>HIGHLAND</t>
  </si>
  <si>
    <t>HIGHLINE</t>
  </si>
  <si>
    <t>06098</t>
  </si>
  <si>
    <t>HOCKINSON</t>
  </si>
  <si>
    <t>23404</t>
  </si>
  <si>
    <t>HOOD CANAL</t>
  </si>
  <si>
    <t>14028</t>
  </si>
  <si>
    <t>HOQUIAM</t>
  </si>
  <si>
    <t>IMPACT COMMENCEMENT BAY CHARTER</t>
  </si>
  <si>
    <t>IMPACT PUGET SOUND CHARTER</t>
  </si>
  <si>
    <t>IMPACT SALISH SEA CHARTER</t>
  </si>
  <si>
    <t>10070</t>
  </si>
  <si>
    <t>INCHELIUM</t>
  </si>
  <si>
    <t>31063</t>
  </si>
  <si>
    <t>INDEX</t>
  </si>
  <si>
    <t>17411</t>
  </si>
  <si>
    <t>ISSAQUAH</t>
  </si>
  <si>
    <t>11056</t>
  </si>
  <si>
    <t>KAHLOTUS</t>
  </si>
  <si>
    <t>08402</t>
  </si>
  <si>
    <t>KALAMA</t>
  </si>
  <si>
    <t>10003</t>
  </si>
  <si>
    <t>KELLER</t>
  </si>
  <si>
    <t>08458</t>
  </si>
  <si>
    <t>KELSO</t>
  </si>
  <si>
    <t>03017</t>
  </si>
  <si>
    <t>KENNEWICK</t>
  </si>
  <si>
    <t>17415</t>
  </si>
  <si>
    <t>KENT</t>
  </si>
  <si>
    <t>33212</t>
  </si>
  <si>
    <t>KETTLE FALLS</t>
  </si>
  <si>
    <t>03052</t>
  </si>
  <si>
    <t>KIONA-BENTON</t>
  </si>
  <si>
    <t>19403</t>
  </si>
  <si>
    <t>KITTITAS</t>
  </si>
  <si>
    <t>20402</t>
  </si>
  <si>
    <t>KLICKITAT</t>
  </si>
  <si>
    <t>06101</t>
  </si>
  <si>
    <t>LA CENTER</t>
  </si>
  <si>
    <t>29311</t>
  </si>
  <si>
    <t>LA CONNER</t>
  </si>
  <si>
    <t>38126</t>
  </si>
  <si>
    <t>LACROSSE</t>
  </si>
  <si>
    <t>04129</t>
  </si>
  <si>
    <t>LAKE CHELAN</t>
  </si>
  <si>
    <t>31004</t>
  </si>
  <si>
    <t>LAKE STEVENS</t>
  </si>
  <si>
    <t>17414</t>
  </si>
  <si>
    <t>LAKE WASHINGTON</t>
  </si>
  <si>
    <t>31306</t>
  </si>
  <si>
    <t>LAKEWOOD</t>
  </si>
  <si>
    <t>38264</t>
  </si>
  <si>
    <t>LAMONT</t>
  </si>
  <si>
    <t>32362</t>
  </si>
  <si>
    <t>LIBERTY</t>
  </si>
  <si>
    <t>01158</t>
  </si>
  <si>
    <t>LIND</t>
  </si>
  <si>
    <t>08122</t>
  </si>
  <si>
    <t>LONGVIEW</t>
  </si>
  <si>
    <t>33183</t>
  </si>
  <si>
    <t>LOON LAKE</t>
  </si>
  <si>
    <t>28144</t>
  </si>
  <si>
    <t>LOPEZ</t>
  </si>
  <si>
    <t>LUMEN CHARTER</t>
  </si>
  <si>
    <t>20406</t>
  </si>
  <si>
    <t>LYLE</t>
  </si>
  <si>
    <t>37504</t>
  </si>
  <si>
    <t>LYNDEN</t>
  </si>
  <si>
    <t>39120</t>
  </si>
  <si>
    <t>MABTON</t>
  </si>
  <si>
    <t>09207</t>
  </si>
  <si>
    <t>MANSFIELD</t>
  </si>
  <si>
    <t>04019</t>
  </si>
  <si>
    <t>MANSON</t>
  </si>
  <si>
    <t>23311</t>
  </si>
  <si>
    <t>MARY M KNIGHT</t>
  </si>
  <si>
    <t>33207</t>
  </si>
  <si>
    <t>MARY WALKER</t>
  </si>
  <si>
    <t>31025</t>
  </si>
  <si>
    <t>MARYSVILLE</t>
  </si>
  <si>
    <t>14065</t>
  </si>
  <si>
    <t>MCCLEARY</t>
  </si>
  <si>
    <t>32354</t>
  </si>
  <si>
    <t>MEAD</t>
  </si>
  <si>
    <t>32326</t>
  </si>
  <si>
    <t>MEDICAL LAKE</t>
  </si>
  <si>
    <t>17400</t>
  </si>
  <si>
    <t>MERCER ISLAND</t>
  </si>
  <si>
    <t>37505</t>
  </si>
  <si>
    <t>MERIDIAN</t>
  </si>
  <si>
    <t>24350</t>
  </si>
  <si>
    <t>METHOW VALLEY</t>
  </si>
  <si>
    <t>30031</t>
  </si>
  <si>
    <t>MILL A</t>
  </si>
  <si>
    <t>31103</t>
  </si>
  <si>
    <t>MONROE</t>
  </si>
  <si>
    <t>14066</t>
  </si>
  <si>
    <t>MONTESANO</t>
  </si>
  <si>
    <t>21214</t>
  </si>
  <si>
    <t>MORTON</t>
  </si>
  <si>
    <t>13161</t>
  </si>
  <si>
    <t>MOSES LAKE</t>
  </si>
  <si>
    <t>21206</t>
  </si>
  <si>
    <t>MOSSYROCK</t>
  </si>
  <si>
    <t>39209</t>
  </si>
  <si>
    <t>MOUNT ADAMS</t>
  </si>
  <si>
    <t>37507</t>
  </si>
  <si>
    <t>MOUNT BAKER</t>
  </si>
  <si>
    <t>30029</t>
  </si>
  <si>
    <t>MOUNT PLEASANT</t>
  </si>
  <si>
    <t>29320</t>
  </si>
  <si>
    <t>MOUNT VERNON</t>
  </si>
  <si>
    <t>31006</t>
  </si>
  <si>
    <t>MUKILTEO</t>
  </si>
  <si>
    <t>39003</t>
  </si>
  <si>
    <t>NACHES VALLEY</t>
  </si>
  <si>
    <t>21014</t>
  </si>
  <si>
    <t>NAPAVINE</t>
  </si>
  <si>
    <t>25155</t>
  </si>
  <si>
    <t>NASELLE-GRAYS</t>
  </si>
  <si>
    <t>24014</t>
  </si>
  <si>
    <t>NESPELEM</t>
  </si>
  <si>
    <t>26056</t>
  </si>
  <si>
    <t>NEWPORT</t>
  </si>
  <si>
    <t>32325</t>
  </si>
  <si>
    <t>NINE MILE FALLS</t>
  </si>
  <si>
    <t>37506</t>
  </si>
  <si>
    <t>NOOKSACK VALLEY</t>
  </si>
  <si>
    <t>14064</t>
  </si>
  <si>
    <t>NORTH BEACH</t>
  </si>
  <si>
    <t>11051</t>
  </si>
  <si>
    <t>NORTH FRANKLIN</t>
  </si>
  <si>
    <t>18400</t>
  </si>
  <si>
    <t>NORTH KITSAP</t>
  </si>
  <si>
    <t>23403</t>
  </si>
  <si>
    <t>NORTH MASON</t>
  </si>
  <si>
    <t>25200</t>
  </si>
  <si>
    <t>NORTH RIVER</t>
  </si>
  <si>
    <t>34003</t>
  </si>
  <si>
    <t>NORTH THURSTON</t>
  </si>
  <si>
    <t>33211</t>
  </si>
  <si>
    <t>NORTHPORT</t>
  </si>
  <si>
    <t>17417</t>
  </si>
  <si>
    <t>NORTHSHORE</t>
  </si>
  <si>
    <t>15201</t>
  </si>
  <si>
    <t>OAK HARBOR</t>
  </si>
  <si>
    <t>38324</t>
  </si>
  <si>
    <t>OAKESDALE</t>
  </si>
  <si>
    <t>14400</t>
  </si>
  <si>
    <t>OAKVILLE</t>
  </si>
  <si>
    <t>25101</t>
  </si>
  <si>
    <t>OCEAN BEACH</t>
  </si>
  <si>
    <t>14172</t>
  </si>
  <si>
    <t>OCOSTA</t>
  </si>
  <si>
    <t>22105</t>
  </si>
  <si>
    <t>ODESSA</t>
  </si>
  <si>
    <t>24105</t>
  </si>
  <si>
    <t>OKANOGAN</t>
  </si>
  <si>
    <t>34111</t>
  </si>
  <si>
    <t>OLYMPIA</t>
  </si>
  <si>
    <t>24019</t>
  </si>
  <si>
    <t>OMAK</t>
  </si>
  <si>
    <t>21300</t>
  </si>
  <si>
    <t>ONALASKA</t>
  </si>
  <si>
    <t>33030</t>
  </si>
  <si>
    <t>ONION CREEK</t>
  </si>
  <si>
    <t>28137</t>
  </si>
  <si>
    <t>ORCAS ISLAND</t>
  </si>
  <si>
    <t>32123</t>
  </si>
  <si>
    <t>ORCHARD PRAIRIE</t>
  </si>
  <si>
    <t>10065</t>
  </si>
  <si>
    <t>ORIENT</t>
  </si>
  <si>
    <t>09013</t>
  </si>
  <si>
    <t>ORONDO</t>
  </si>
  <si>
    <t>24410</t>
  </si>
  <si>
    <t>OROVILLE</t>
  </si>
  <si>
    <t>27344</t>
  </si>
  <si>
    <t>ORTING</t>
  </si>
  <si>
    <t>01147</t>
  </si>
  <si>
    <t>OTHELLO</t>
  </si>
  <si>
    <t>09102</t>
  </si>
  <si>
    <t>PALISADES</t>
  </si>
  <si>
    <t>38301</t>
  </si>
  <si>
    <t>PALOUSE</t>
  </si>
  <si>
    <t>11001</t>
  </si>
  <si>
    <t>PASCO</t>
  </si>
  <si>
    <t>24122</t>
  </si>
  <si>
    <t>PATEROS</t>
  </si>
  <si>
    <t>03050</t>
  </si>
  <si>
    <t>PATERSON</t>
  </si>
  <si>
    <t>21301</t>
  </si>
  <si>
    <t>PE ELL</t>
  </si>
  <si>
    <t>27401</t>
  </si>
  <si>
    <t>PENINSULA</t>
  </si>
  <si>
    <t>PINNACLE PREP CHARTER</t>
  </si>
  <si>
    <t>23402</t>
  </si>
  <si>
    <t>PIONEER</t>
  </si>
  <si>
    <t>12110</t>
  </si>
  <si>
    <t>POMEROY</t>
  </si>
  <si>
    <t>05121</t>
  </si>
  <si>
    <t>PORT ANGELES</t>
  </si>
  <si>
    <t>16050</t>
  </si>
  <si>
    <t>PORT TOWNSEND</t>
  </si>
  <si>
    <t>36402</t>
  </si>
  <si>
    <t>PRESCOTT</t>
  </si>
  <si>
    <t>PRIDE PREP CHARTER</t>
  </si>
  <si>
    <t>03116</t>
  </si>
  <si>
    <t>PROSSER</t>
  </si>
  <si>
    <t>PULLMAN</t>
  </si>
  <si>
    <t>27003</t>
  </si>
  <si>
    <t>PUYALLUP</t>
  </si>
  <si>
    <t>16020</t>
  </si>
  <si>
    <t>QUEETS-CLEARWATER</t>
  </si>
  <si>
    <t>16048</t>
  </si>
  <si>
    <t>QUILCENE</t>
  </si>
  <si>
    <t>05402</t>
  </si>
  <si>
    <t>QUILLAYUTE VALLEY</t>
  </si>
  <si>
    <t>14097</t>
  </si>
  <si>
    <t>QUINAULT</t>
  </si>
  <si>
    <t>13144</t>
  </si>
  <si>
    <t>QUINCY</t>
  </si>
  <si>
    <t>34307</t>
  </si>
  <si>
    <t>RAINIER</t>
  </si>
  <si>
    <t>RAINIER PREP CHARTER</t>
  </si>
  <si>
    <t>RAINIER VALLEY CHARTER</t>
  </si>
  <si>
    <t>25116</t>
  </si>
  <si>
    <t>RAYMOND</t>
  </si>
  <si>
    <t>22009</t>
  </si>
  <si>
    <t>REARDAN-EDWALL</t>
  </si>
  <si>
    <t>17403</t>
  </si>
  <si>
    <t>RENTON</t>
  </si>
  <si>
    <t>10309</t>
  </si>
  <si>
    <t>REPUBLIC</t>
  </si>
  <si>
    <t>03400</t>
  </si>
  <si>
    <t>RICHLAND</t>
  </si>
  <si>
    <t>06122</t>
  </si>
  <si>
    <t>RIDGEFIELD</t>
  </si>
  <si>
    <t>01160</t>
  </si>
  <si>
    <t>RITZVILLE</t>
  </si>
  <si>
    <t>32416</t>
  </si>
  <si>
    <t>RIVERSIDE</t>
  </si>
  <si>
    <t>17407</t>
  </si>
  <si>
    <t>RIVERVIEW</t>
  </si>
  <si>
    <t>34401</t>
  </si>
  <si>
    <t>ROCHESTER</t>
  </si>
  <si>
    <t>20403</t>
  </si>
  <si>
    <t>ROOSEVELT</t>
  </si>
  <si>
    <t>38320</t>
  </si>
  <si>
    <t>ROSALIA</t>
  </si>
  <si>
    <t>13160</t>
  </si>
  <si>
    <t>ROYAL</t>
  </si>
  <si>
    <t>28149</t>
  </si>
  <si>
    <t>SAN JUAN ISLAND</t>
  </si>
  <si>
    <t>14104</t>
  </si>
  <si>
    <t>SATSOP</t>
  </si>
  <si>
    <t>SCHOOL FOR THE DEAF</t>
  </si>
  <si>
    <t>SCHOOL OF THE BLIND</t>
  </si>
  <si>
    <t>SEATTLE</t>
  </si>
  <si>
    <t>29101</t>
  </si>
  <si>
    <t>SEDRO-WOOLLEY</t>
  </si>
  <si>
    <t>39119</t>
  </si>
  <si>
    <t>SELAH</t>
  </si>
  <si>
    <t>26070</t>
  </si>
  <si>
    <t>SELKIRK</t>
  </si>
  <si>
    <t>05323</t>
  </si>
  <si>
    <t>SEQUIM</t>
  </si>
  <si>
    <t>28010</t>
  </si>
  <si>
    <t>SHAW ISLAND</t>
  </si>
  <si>
    <t>23309</t>
  </si>
  <si>
    <t>SHELTON</t>
  </si>
  <si>
    <t>17412</t>
  </si>
  <si>
    <t>SHORELINE</t>
  </si>
  <si>
    <t>30002</t>
  </si>
  <si>
    <t>SKAMANIA</t>
  </si>
  <si>
    <t>17404</t>
  </si>
  <si>
    <t>SKYKOMISH</t>
  </si>
  <si>
    <t>31201</t>
  </si>
  <si>
    <t>SNOHOMISH</t>
  </si>
  <si>
    <t>17410</t>
  </si>
  <si>
    <t>SNOQUALMIE VALLEY</t>
  </si>
  <si>
    <t>13156</t>
  </si>
  <si>
    <t>SOAP LAKE</t>
  </si>
  <si>
    <t>25118</t>
  </si>
  <si>
    <t>SOUTH BEND</t>
  </si>
  <si>
    <t>18402</t>
  </si>
  <si>
    <t>SOUTH KITSAP</t>
  </si>
  <si>
    <t>15206</t>
  </si>
  <si>
    <t>SOUTH WHIDBEY</t>
  </si>
  <si>
    <t>23042</t>
  </si>
  <si>
    <t>SOUTHSIDE</t>
  </si>
  <si>
    <t>SPOKANE</t>
  </si>
  <si>
    <t>SPOKANE INTERNATIONAL ACADEMY CHARTER</t>
  </si>
  <si>
    <t>22008</t>
  </si>
  <si>
    <t>SPRAGUE</t>
  </si>
  <si>
    <t>38322</t>
  </si>
  <si>
    <t>ST JOHN</t>
  </si>
  <si>
    <t>31401</t>
  </si>
  <si>
    <t>STANWOOD</t>
  </si>
  <si>
    <t>11054</t>
  </si>
  <si>
    <t>STAR</t>
  </si>
  <si>
    <t>07035</t>
  </si>
  <si>
    <t>STARBUCK</t>
  </si>
  <si>
    <t>04069</t>
  </si>
  <si>
    <t>STEHEKIN</t>
  </si>
  <si>
    <t>27001</t>
  </si>
  <si>
    <t>STEILACOOM</t>
  </si>
  <si>
    <t>38304</t>
  </si>
  <si>
    <t>STEPTOE</t>
  </si>
  <si>
    <t>30303</t>
  </si>
  <si>
    <t>STEVENSON-CARSON</t>
  </si>
  <si>
    <t>31311</t>
  </si>
  <si>
    <t>SULTAN</t>
  </si>
  <si>
    <t>SUMMIT ATLAS CHARTER</t>
  </si>
  <si>
    <t>SUMMIT OLYMPUS CHARTER</t>
  </si>
  <si>
    <t>SUMMIT SIERRA CHARTER</t>
  </si>
  <si>
    <t>33202</t>
  </si>
  <si>
    <t>SUMMIT VALLEY</t>
  </si>
  <si>
    <t>27320</t>
  </si>
  <si>
    <t>SUMNER</t>
  </si>
  <si>
    <t>39201</t>
  </si>
  <si>
    <t>SUNNYSIDE</t>
  </si>
  <si>
    <t>SUQUAMISH</t>
  </si>
  <si>
    <t>TACOMA</t>
  </si>
  <si>
    <t>14077</t>
  </si>
  <si>
    <t>TAHOLAH</t>
  </si>
  <si>
    <t>17409</t>
  </si>
  <si>
    <t>TAHOMA</t>
  </si>
  <si>
    <t>38265</t>
  </si>
  <si>
    <t>TEKOA</t>
  </si>
  <si>
    <t>34402</t>
  </si>
  <si>
    <t>TENINO</t>
  </si>
  <si>
    <t>19400</t>
  </si>
  <si>
    <t>THORP</t>
  </si>
  <si>
    <t>21237</t>
  </si>
  <si>
    <t>TOLEDO</t>
  </si>
  <si>
    <t>24404</t>
  </si>
  <si>
    <t>TONASKET</t>
  </si>
  <si>
    <t>39202</t>
  </si>
  <si>
    <t>TOPPENISH</t>
  </si>
  <si>
    <t>36300</t>
  </si>
  <si>
    <t>TOUCHET</t>
  </si>
  <si>
    <t>08130</t>
  </si>
  <si>
    <t>TOUTLE LAKE</t>
  </si>
  <si>
    <t>20400</t>
  </si>
  <si>
    <t>TROUT LAKE</t>
  </si>
  <si>
    <t>TUKWILA</t>
  </si>
  <si>
    <t>34033</t>
  </si>
  <si>
    <t>TUMWATER</t>
  </si>
  <si>
    <t>39002</t>
  </si>
  <si>
    <t>UNION GAP</t>
  </si>
  <si>
    <t>27083</t>
  </si>
  <si>
    <t>UNIVERSITY PLACE</t>
  </si>
  <si>
    <t>33070</t>
  </si>
  <si>
    <t>VALLEY</t>
  </si>
  <si>
    <t>VANCOUVER</t>
  </si>
  <si>
    <t>17402</t>
  </si>
  <si>
    <t>VASHON ISLAND</t>
  </si>
  <si>
    <t>35200</t>
  </si>
  <si>
    <t>WAHKIAKUM</t>
  </si>
  <si>
    <t>13073</t>
  </si>
  <si>
    <t>WAHLUKE</t>
  </si>
  <si>
    <t>36401</t>
  </si>
  <si>
    <t>WAITSBURG</t>
  </si>
  <si>
    <t>36140</t>
  </si>
  <si>
    <t>WALLA WALLA</t>
  </si>
  <si>
    <t>39207</t>
  </si>
  <si>
    <t>WAPATO</t>
  </si>
  <si>
    <t>13146</t>
  </si>
  <si>
    <t>WARDEN</t>
  </si>
  <si>
    <t>06112</t>
  </si>
  <si>
    <t>WASHOUGAL</t>
  </si>
  <si>
    <t>01109</t>
  </si>
  <si>
    <t>WASHTUCNA</t>
  </si>
  <si>
    <t>09209</t>
  </si>
  <si>
    <t>WATERVILLE</t>
  </si>
  <si>
    <t>33049</t>
  </si>
  <si>
    <t>WELLPINIT</t>
  </si>
  <si>
    <t>WENATCHEE</t>
  </si>
  <si>
    <t>32363</t>
  </si>
  <si>
    <t>WEST VALLEY (SPK)</t>
  </si>
  <si>
    <t>39208</t>
  </si>
  <si>
    <t>WEST VALLEY (YAK)</t>
  </si>
  <si>
    <t>WHATCOM INTERGENERATIONAL CHARTER</t>
  </si>
  <si>
    <t>21303</t>
  </si>
  <si>
    <t>WHITE PASS</t>
  </si>
  <si>
    <t>27416</t>
  </si>
  <si>
    <t>WHITE RIVER</t>
  </si>
  <si>
    <t>20405</t>
  </si>
  <si>
    <t>WHITE SALMON</t>
  </si>
  <si>
    <t>WHY NOT YOU ACADEMY CHARTER</t>
  </si>
  <si>
    <t>22200</t>
  </si>
  <si>
    <t>WILBUR</t>
  </si>
  <si>
    <t>25160</t>
  </si>
  <si>
    <t>WILLAPA VALLEY</t>
  </si>
  <si>
    <t>13167</t>
  </si>
  <si>
    <t>WILSON CREEK</t>
  </si>
  <si>
    <t>21232</t>
  </si>
  <si>
    <t>WINLOCK</t>
  </si>
  <si>
    <t>14117</t>
  </si>
  <si>
    <t>WISHKAH VALLEY</t>
  </si>
  <si>
    <t>20094</t>
  </si>
  <si>
    <t>WISHRAM</t>
  </si>
  <si>
    <t>08404</t>
  </si>
  <si>
    <t>WOODLAND</t>
  </si>
  <si>
    <t>39007</t>
  </si>
  <si>
    <t>YAKIMA</t>
  </si>
  <si>
    <t>34002</t>
  </si>
  <si>
    <t>YELM</t>
  </si>
  <si>
    <t>39205</t>
  </si>
  <si>
    <t>ZILLAH</t>
  </si>
  <si>
    <t>TOTAL LEA GRANTS</t>
  </si>
  <si>
    <t>Statewide Allocations</t>
  </si>
  <si>
    <t>Adjustment or Carryover</t>
  </si>
  <si>
    <t>Total to be allocated</t>
  </si>
  <si>
    <t>FFY16 1003(g) Grant Award &amp; 4% Set Aside:</t>
  </si>
  <si>
    <t>7% Set Aside Amount</t>
  </si>
  <si>
    <t>Percentage School Improvement Withheld</t>
  </si>
  <si>
    <t>&lt;-------(Use Hold Harmless Calc)</t>
  </si>
  <si>
    <t xml:space="preserve">       Subtotal</t>
  </si>
  <si>
    <t>Allocation under $14 B rule</t>
  </si>
  <si>
    <t>Statewide Administration (After hold Harmless)</t>
  </si>
  <si>
    <t>MOE reduction</t>
  </si>
  <si>
    <t>Net to Districts</t>
  </si>
  <si>
    <t/>
  </si>
  <si>
    <t>Column1</t>
  </si>
  <si>
    <t>1st itiration</t>
  </si>
  <si>
    <t>2nd itiration</t>
  </si>
  <si>
    <t>3rd itiration</t>
  </si>
  <si>
    <t>4th itiration</t>
  </si>
  <si>
    <t>LEANAME</t>
  </si>
  <si>
    <t xml:space="preserve">Prior Year Total Allocation After State Reservations </t>
  </si>
  <si>
    <t>Current Year Basic Before State Reservations</t>
  </si>
  <si>
    <t>Current Year Concentration Before State Reservations</t>
  </si>
  <si>
    <t>Current Year Targeted Before State Reservations</t>
  </si>
  <si>
    <t>Current Year EFIG Before State Reservations</t>
  </si>
  <si>
    <t>Current Year Total Before State Reservations</t>
  </si>
  <si>
    <t>School improvement HH Test</t>
  </si>
  <si>
    <t>State Admin</t>
  </si>
  <si>
    <t>Subtotal after admin</t>
  </si>
  <si>
    <t>Holdback for awards and recognition</t>
  </si>
  <si>
    <t>Subtotal after awards</t>
  </si>
  <si>
    <t>MOE Reduction</t>
  </si>
  <si>
    <t>NET TO DISTRICS</t>
  </si>
  <si>
    <t>Second Iteration: Hold Harmless Check</t>
  </si>
  <si>
    <t>EFIG Hold Harmless Amount</t>
  </si>
  <si>
    <t>Current Year EFIG Allocation</t>
  </si>
  <si>
    <t>Percentage of Formula Children</t>
  </si>
  <si>
    <t>Current Year Targeted Allocation</t>
  </si>
  <si>
    <t>Current Year Basic Allocation</t>
  </si>
  <si>
    <t>Basic Hold Harmless Amount</t>
  </si>
  <si>
    <t>Adj - 5-17 pop</t>
  </si>
  <si>
    <t>Adj poverty</t>
  </si>
  <si>
    <t>Adj Total formula count</t>
  </si>
  <si>
    <t>Adj poverty percentage</t>
  </si>
  <si>
    <t>BASIC eligibility</t>
  </si>
  <si>
    <t>Conc. Eligigibility</t>
  </si>
  <si>
    <t>Targeted Eligibility</t>
  </si>
  <si>
    <t>EFIG eligibility</t>
  </si>
  <si>
    <t>FRPL.TotalStudents</t>
  </si>
  <si>
    <t>SendingTotalStudents</t>
  </si>
  <si>
    <t>Sum of charter total students + Sending total students</t>
  </si>
  <si>
    <t>Share of Total Enrollment</t>
  </si>
  <si>
    <t>Sending Share of Total enrollment</t>
  </si>
  <si>
    <t>DistrictName</t>
  </si>
  <si>
    <t>SendingLEAid</t>
  </si>
  <si>
    <t>DistrictType</t>
  </si>
  <si>
    <t>poverty Multiplier</t>
  </si>
  <si>
    <t>Enrollment multiplier</t>
  </si>
  <si>
    <t>Sending</t>
  </si>
  <si>
    <t>ChartersTotalStudents</t>
  </si>
  <si>
    <t>Share of FRPL</t>
  </si>
  <si>
    <t>Sending Share of FRPL</t>
  </si>
  <si>
    <t>Total Formula Count DOE</t>
  </si>
  <si>
    <t>NEG. adj</t>
  </si>
  <si>
    <t>Adj DEL.</t>
  </si>
  <si>
    <t>Adj Foster</t>
  </si>
  <si>
    <t>Adj TANF</t>
  </si>
  <si>
    <t>BASIC Hold Harmless base (Prior year adjusted alloc)</t>
  </si>
  <si>
    <t>TARGETED Hold Harmless Base (Prior Year adjusted alloc)</t>
  </si>
  <si>
    <t>EFIG Hold Harmless base (Prior Year adjusted alloc)</t>
  </si>
  <si>
    <t>Adj Basic Allocation</t>
  </si>
  <si>
    <t>Adj Conc. Allocation</t>
  </si>
  <si>
    <t>Adj Targeted allocation</t>
  </si>
  <si>
    <t>Adj EFIG Allocation</t>
  </si>
  <si>
    <t>Adj Total Title I Allocation</t>
  </si>
  <si>
    <t>Allocation before School Improvement</t>
  </si>
  <si>
    <t>BASIC Hold Harmless Base</t>
  </si>
  <si>
    <t>Conc Hold Harmless Base</t>
  </si>
  <si>
    <t>Targeted Hold Harmless Base</t>
  </si>
  <si>
    <t>EFIG Hold Harmless Base</t>
  </si>
  <si>
    <t>Total Title I Allocation</t>
  </si>
  <si>
    <t>Initial adjusted formula count.Adj Total formula count</t>
  </si>
  <si>
    <t>Initial adjusted formula count.Adj poverty percentage</t>
  </si>
  <si>
    <t>Total Formula Count increase</t>
  </si>
  <si>
    <t>Initial adjusted allocations.BASIC Hold Harmless base (Prior year adjusted alloc</t>
  </si>
  <si>
    <t>Initial adjusted allocations.TARGETED Hold Harmless Base (Prior Year adjusted al</t>
  </si>
  <si>
    <t>Initial adjusted allocations.EFIG Hold Harmless base (Prior Year adjusted alloc)</t>
  </si>
  <si>
    <t>Initial adjusted allocations.Adj Basic Allocation</t>
  </si>
  <si>
    <t>Initial adjusted allocations.Adj Conc. Allocation</t>
  </si>
  <si>
    <t>Initial adjusted allocations.Adj Targeted allocation</t>
  </si>
  <si>
    <t>Initial adjusted allocations.Adj EFIG Allocation</t>
  </si>
  <si>
    <t>Initial adjusted allocations.Adj Total Title I Allocation</t>
  </si>
  <si>
    <t>New/Expanded Basic HH base</t>
  </si>
  <si>
    <t>New/Expanding Conc HH base</t>
  </si>
  <si>
    <t>New/Expanding Targeted HH Base</t>
  </si>
  <si>
    <t>New Expanding EFIG HH Base</t>
  </si>
  <si>
    <t>New Expanded total HH base</t>
  </si>
  <si>
    <t>Total Hold Harmless Base</t>
  </si>
  <si>
    <t>Retunring funds</t>
  </si>
  <si>
    <t>Eligibility Year</t>
  </si>
  <si>
    <t>Conc allocation</t>
  </si>
  <si>
    <t>Conc Hold Harmless Base ( 4 year lookback)</t>
  </si>
  <si>
    <t>Total Hold Harmless base</t>
  </si>
  <si>
    <t>Initial adjusted allocations.Conc Hold Harmless Base ( 4 year lookback)</t>
  </si>
  <si>
    <t>Initial adjusted allocations.Total Hold Harmless base</t>
  </si>
  <si>
    <t>Basic Hold Harmless base</t>
  </si>
  <si>
    <t>Current Year Total after School Improvment</t>
  </si>
  <si>
    <t>Set aside amount with returning funds added</t>
  </si>
  <si>
    <t>First Iteration: Hold Harmless Check</t>
  </si>
  <si>
    <t>Allocations to LEAs Above Hold harmless</t>
  </si>
  <si>
    <t>Adjusted Allocations to LEAs Above Hold harmless</t>
  </si>
  <si>
    <t>Allocations to All LEAs</t>
  </si>
  <si>
    <t>Third Iteration: Hold Harmless Check</t>
  </si>
  <si>
    <t>Fourth Iteration: Hold Harmless Check</t>
  </si>
  <si>
    <t>Fifth Iteration: Hold Harmless Check</t>
  </si>
  <si>
    <t>Conc. Hold Harmless Amount</t>
  </si>
  <si>
    <t>Prior Year's Targeted Allocation</t>
  </si>
  <si>
    <t>Targeted Hold Harmless Amount</t>
  </si>
  <si>
    <t>Prior Year's EFIG Allocation</t>
  </si>
  <si>
    <t>Current Year Conc Allocation</t>
  </si>
  <si>
    <t>Conc. Hold Harmless Base</t>
  </si>
  <si>
    <t>Prior Year Adjusted Formula counts.Adj Total formula count</t>
  </si>
  <si>
    <t>Net School Improvement taken out</t>
  </si>
  <si>
    <t>Aberdeen School District</t>
  </si>
  <si>
    <t>Whatcom Intergenerational</t>
  </si>
  <si>
    <t>Bellingham</t>
  </si>
  <si>
    <t>West Valley School District (Yakima)</t>
  </si>
  <si>
    <t>West Valley School District (Spokane)</t>
  </si>
  <si>
    <t>Columbia (Stevens) School District</t>
  </si>
  <si>
    <t>Columbia (Walla Walla) School District</t>
  </si>
  <si>
    <t>Kiona-Benton City School District</t>
  </si>
  <si>
    <t>Wenatchee</t>
  </si>
  <si>
    <t>BASIC GRANTS</t>
  </si>
  <si>
    <t>CONCENTRATION GRANTS</t>
  </si>
  <si>
    <t>TARGETED GRANTS</t>
  </si>
  <si>
    <t>EFIG GRANTS</t>
  </si>
  <si>
    <t>Catalyst Public Schools</t>
  </si>
  <si>
    <t>Why Not You (Cascade Midway)</t>
  </si>
  <si>
    <t>Impact Tacoma (Commencement Bay)</t>
  </si>
  <si>
    <t>Pinnacles Prep Wenatchee</t>
  </si>
  <si>
    <t>Walla Walla Public Schools</t>
  </si>
  <si>
    <t>DISTRICT NAME</t>
  </si>
  <si>
    <t>&lt;&lt;- Select District from drop down</t>
  </si>
  <si>
    <t>LEAId</t>
  </si>
  <si>
    <t>5-17 population</t>
  </si>
  <si>
    <t xml:space="preserve">Total Formula Count </t>
  </si>
  <si>
    <t>Poverty percentage</t>
  </si>
  <si>
    <t>Basic Before State reservations</t>
  </si>
  <si>
    <t>Conc. Before State Reservation</t>
  </si>
  <si>
    <t>Targeted Before State Reservations</t>
  </si>
  <si>
    <t>EFIG Before State Reservations</t>
  </si>
  <si>
    <t>Total before State Reservations</t>
  </si>
  <si>
    <t xml:space="preserve">School improvement </t>
  </si>
  <si>
    <t>Total After School Improvement reallocation</t>
  </si>
  <si>
    <t>Net to District</t>
  </si>
  <si>
    <t>Prior Year</t>
  </si>
  <si>
    <t>Basic Before State Reservations</t>
  </si>
  <si>
    <t>Concentration Before State Reservations</t>
  </si>
  <si>
    <t>Total Before State Reservations</t>
  </si>
  <si>
    <t>Allocation after School Improvemnt HH</t>
  </si>
  <si>
    <t>allocations subject to SI reduction</t>
  </si>
  <si>
    <t>5307790</t>
  </si>
  <si>
    <t>IMPACT RENTON CHARTER SCHOOL</t>
  </si>
  <si>
    <t>5307795</t>
  </si>
  <si>
    <t>ROOTED CHARTER SCHOOL</t>
  </si>
  <si>
    <t>Impact Renton</t>
  </si>
  <si>
    <t>Pullman School District</t>
  </si>
  <si>
    <t>Renton</t>
  </si>
  <si>
    <t>Rooted</t>
  </si>
  <si>
    <t>17919</t>
  </si>
  <si>
    <t>06901</t>
  </si>
  <si>
    <t>8160.774706</t>
  </si>
  <si>
    <t>0.88740252</t>
  </si>
  <si>
    <t>1.033115456</t>
  </si>
  <si>
    <t>0.885487952</t>
  </si>
  <si>
    <t>0.752001627</t>
  </si>
  <si>
    <t>0.434637802</t>
  </si>
  <si>
    <t>1.205638236</t>
  </si>
  <si>
    <t>1.137034243</t>
  </si>
  <si>
    <t>1.822082723</t>
  </si>
  <si>
    <t>1.115665647</t>
  </si>
  <si>
    <t>0.867293223</t>
  </si>
  <si>
    <t>1.239560964</t>
  </si>
  <si>
    <t>0.387668455</t>
  </si>
  <si>
    <t>0.964363636</t>
  </si>
  <si>
    <t>0.909570248</t>
  </si>
  <si>
    <t>0.829541274</t>
  </si>
  <si>
    <t>1.512297521</t>
  </si>
  <si>
    <t>0.902997502</t>
  </si>
  <si>
    <t>0.821899182</t>
  </si>
  <si>
    <t>4322</t>
  </si>
  <si>
    <t>11443</t>
  </si>
  <si>
    <t>2679</t>
  </si>
  <si>
    <t>5009</t>
  </si>
  <si>
    <t>11338</t>
  </si>
  <si>
    <t>18216</t>
  </si>
  <si>
    <t>6953</t>
  </si>
  <si>
    <t>14895</t>
  </si>
  <si>
    <t>15613</t>
  </si>
  <si>
    <t>51424</t>
  </si>
  <si>
    <t>2651</t>
  </si>
  <si>
    <t>3707</t>
  </si>
  <si>
    <t>17308</t>
  </si>
  <si>
    <t>30428</t>
  </si>
  <si>
    <t>11000</t>
  </si>
  <si>
    <t>22160</t>
  </si>
  <si>
    <t>4191</t>
  </si>
  <si>
    <t>7272</t>
  </si>
  <si>
    <t>2025</t>
  </si>
  <si>
    <t>167247.5161</t>
  </si>
  <si>
    <t>66918.35259</t>
  </si>
  <si>
    <t>44884.26089</t>
  </si>
  <si>
    <t>75691.1854</t>
  </si>
  <si>
    <t>8772.832809</t>
  </si>
  <si>
    <t>102009.6838</t>
  </si>
  <si>
    <t>6324.600397</t>
  </si>
  <si>
    <t>16525.56878</t>
  </si>
  <si>
    <t>38967.69922</t>
  </si>
  <si>
    <t>24482.32412</t>
  </si>
  <si>
    <t>29786.82768</t>
  </si>
  <si>
    <t>3672.348618</t>
  </si>
  <si>
    <t>32643.09883</t>
  </si>
  <si>
    <t>14281.35574</t>
  </si>
  <si>
    <t>40191.81543</t>
  </si>
  <si>
    <t>44353.74246</t>
  </si>
  <si>
    <t>51879.22729</t>
  </si>
  <si>
    <t>203598.0496</t>
  </si>
  <si>
    <t>57711.24019</t>
  </si>
  <si>
    <t>18769.78182</t>
  </si>
  <si>
    <t>17749.68499</t>
  </si>
  <si>
    <t>22442.13044</t>
  </si>
  <si>
    <t>0.95443073</t>
  </si>
  <si>
    <t>15823</t>
  </si>
  <si>
    <t>28591</t>
  </si>
  <si>
    <t>121389606</t>
  </si>
  <si>
    <t>16043864</t>
  </si>
  <si>
    <t>75246649</t>
  </si>
  <si>
    <t>102229443</t>
  </si>
  <si>
    <t>314909562</t>
  </si>
  <si>
    <t>FINAL FISCAL YEAR 2025 TITLE I ALLOCATIONS FOR SCHOOL YEAR 2025-2026</t>
  </si>
  <si>
    <t>192891.2782</t>
  </si>
  <si>
    <t>3904.594745</t>
  </si>
  <si>
    <t>13805.61856</t>
  </si>
  <si>
    <t>4211.883629</t>
  </si>
  <si>
    <t>212700.1233</t>
  </si>
  <si>
    <t>657521.8332</t>
  </si>
  <si>
    <t>56626.43546</t>
  </si>
  <si>
    <t>36268.99792</t>
  </si>
  <si>
    <t>6083.831908</t>
  </si>
  <si>
    <t>22850.16918</t>
  </si>
  <si>
    <t>5615.844839</t>
  </si>
  <si>
    <t>6334.686682</t>
  </si>
  <si>
    <t>201000.4465</t>
  </si>
  <si>
    <t>35801.01085</t>
  </si>
  <si>
    <t>123635.7368</t>
  </si>
  <si>
    <t>489982.4622</t>
  </si>
  <si>
    <t>8891.754328</t>
  </si>
  <si>
    <t>82131.73076</t>
  </si>
  <si>
    <t>11465.68321</t>
  </si>
  <si>
    <t>14507.59917</t>
  </si>
  <si>
    <t>12869.64442</t>
  </si>
  <si>
    <t>17549.51512</t>
  </si>
  <si>
    <t>21761.39875</t>
  </si>
  <si>
    <t>5147.857769</t>
  </si>
  <si>
    <t>16379.54745</t>
  </si>
  <si>
    <t>992600.5752</t>
  </si>
  <si>
    <t>330398.8713</t>
  </si>
  <si>
    <t>7721.786653</t>
  </si>
  <si>
    <t>2742.312858</t>
  </si>
  <si>
    <t>26675.26298</t>
  </si>
  <si>
    <t>192108.6922</t>
  </si>
  <si>
    <t>5849.838374</t>
  </si>
  <si>
    <t>775502.909</t>
  </si>
  <si>
    <t>16080.3585</t>
  </si>
  <si>
    <t>32993.08843</t>
  </si>
  <si>
    <t>19156.22365</t>
  </si>
  <si>
    <t>14097.16162</t>
  </si>
  <si>
    <t>34631.04317</t>
  </si>
  <si>
    <t>3977.890094</t>
  </si>
  <si>
    <t>2339.935349</t>
  </si>
  <si>
    <t>317763.2205</t>
  </si>
  <si>
    <t>14975.58624</t>
  </si>
  <si>
    <t>21059.41814</t>
  </si>
  <si>
    <t>30185.16601</t>
  </si>
  <si>
    <t>382345.4361</t>
  </si>
  <si>
    <t>65050.20271</t>
  </si>
  <si>
    <t>87045.595</t>
  </si>
  <si>
    <t>45862.73285</t>
  </si>
  <si>
    <t>91959.45923</t>
  </si>
  <si>
    <t>10529.70907</t>
  </si>
  <si>
    <t>211296.1621</t>
  </si>
  <si>
    <t>746907.3635</t>
  </si>
  <si>
    <t>52882.5389</t>
  </si>
  <si>
    <t>16145.55391</t>
  </si>
  <si>
    <t>7253.799583</t>
  </si>
  <si>
    <t>28079.22419</t>
  </si>
  <si>
    <t>22229.38582</t>
  </si>
  <si>
    <t>10997.69614</t>
  </si>
  <si>
    <t>1521391.869</t>
  </si>
  <si>
    <t>19421.4634</t>
  </si>
  <si>
    <t>177133.106</t>
  </si>
  <si>
    <t>47968.67466</t>
  </si>
  <si>
    <t>4679.870699</t>
  </si>
  <si>
    <t>118140.4318</t>
  </si>
  <si>
    <t>33227.08196</t>
  </si>
  <si>
    <t>306999.5178</t>
  </si>
  <si>
    <t>62944.2609</t>
  </si>
  <si>
    <t>157711.6426</t>
  </si>
  <si>
    <t>59434.35788</t>
  </si>
  <si>
    <t>18017.50219</t>
  </si>
  <si>
    <t>71610.79805</t>
  </si>
  <si>
    <t>248969.1212</t>
  </si>
  <si>
    <t>175261.1577</t>
  </si>
  <si>
    <t>47266.69406</t>
  </si>
  <si>
    <t>19655.45694</t>
  </si>
  <si>
    <t>22697.37289</t>
  </si>
  <si>
    <t>6551.818978</t>
  </si>
  <si>
    <t>1041505.224</t>
  </si>
  <si>
    <t>T-I State Adm  1004(b).TITLE I, PART A TOTAL LEA GRANTS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</si>
</sst>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"/>
    <numFmt numFmtId="167" formatCode="_(&quot;$&quot;* #,##0.0000_);_(&quot;$&quot;* \(#,##0.0000\);_(&quot;$&quot;* &quot;-&quot;??_);_(@_)"/>
    <numFmt numFmtId="168" formatCode="_(&quot;$&quot;* #,##0.00000_);_(&quot;$&quot;* \(#,##0.00000\);_(&quot;$&quot;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sz val="8"/>
      <color rgb="FFFF0000"/>
      <name val="Arial"/>
      <family val="2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8">
    <xf numFmtId="0" fontId="0" fillId="0" borderId="0" xfId="0"/>
    <xf numFmtId="2" fontId="4" fillId="0" borderId="0" xfId="2" applyNumberFormat="1"/>
    <xf numFmtId="0" fontId="4" fillId="0" borderId="0" xfId="2"/>
    <xf numFmtId="0" fontId="6" fillId="0" borderId="0" xfId="2" applyFont="1" applyAlignment="1">
      <alignment horizontal="center"/>
    </xf>
    <xf numFmtId="0" fontId="4" fillId="0" borderId="0" xfId="2" applyAlignment="1">
      <alignment horizontal="center"/>
    </xf>
    <xf numFmtId="49" fontId="4" fillId="0" borderId="0" xfId="2" applyNumberFormat="1" applyAlignment="1">
      <alignment horizontal="center"/>
    </xf>
    <xf numFmtId="0" fontId="4" fillId="0" borderId="0" xfId="2" applyAlignment="1">
      <alignment horizontal="left"/>
    </xf>
    <xf numFmtId="0" fontId="4" fillId="0" borderId="0" xfId="2" quotePrefix="1" applyAlignment="1">
      <alignment horizontal="left"/>
    </xf>
    <xf numFmtId="0" fontId="4" fillId="0" borderId="0" xfId="2" quotePrefix="1" applyAlignment="1">
      <alignment horizontal="center"/>
    </xf>
    <xf numFmtId="0" fontId="8" fillId="0" borderId="0" xfId="2" applyFont="1"/>
    <xf numFmtId="0" fontId="5" fillId="2" borderId="7" xfId="2" applyFont="1" applyFill="1" applyBorder="1" applyAlignment="1">
      <alignment horizontal="left"/>
    </xf>
    <xf numFmtId="0" fontId="0" fillId="3" borderId="0" xfId="0" applyFill="1"/>
    <xf numFmtId="4" fontId="0" fillId="4" borderId="0" xfId="0" applyNumberFormat="1" applyFill="1"/>
    <xf numFmtId="43" fontId="0" fillId="4" borderId="0" xfId="8" applyFont="1" applyFill="1"/>
    <xf numFmtId="2" fontId="4" fillId="0" borderId="0" xfId="2" applyNumberFormat="1" applyAlignment="1">
      <alignment horizontal="left" vertical="top"/>
    </xf>
    <xf numFmtId="49" fontId="4" fillId="0" borderId="0" xfId="2" applyNumberFormat="1" applyAlignment="1">
      <alignment horizontal="left" vertical="top"/>
    </xf>
    <xf numFmtId="0" fontId="6" fillId="0" borderId="0" xfId="2" applyFont="1" applyAlignment="1">
      <alignment horizontal="left" vertical="top"/>
    </xf>
    <xf numFmtId="0" fontId="5" fillId="6" borderId="1" xfId="0" applyFont="1" applyFill="1" applyBorder="1" applyAlignment="1">
      <alignment horizontal="left" vertical="top" wrapText="1"/>
    </xf>
    <xf numFmtId="0" fontId="5" fillId="6" borderId="0" xfId="0" applyFont="1" applyFill="1" applyAlignment="1">
      <alignment horizontal="left" vertical="top" wrapText="1"/>
    </xf>
    <xf numFmtId="0" fontId="6" fillId="0" borderId="2" xfId="2" applyFont="1" applyBorder="1" applyAlignment="1">
      <alignment horizontal="left" vertical="top" wrapText="1"/>
    </xf>
    <xf numFmtId="0" fontId="6" fillId="0" borderId="3" xfId="2" applyFont="1" applyBorder="1" applyAlignment="1">
      <alignment horizontal="left" vertical="top"/>
    </xf>
    <xf numFmtId="0" fontId="6" fillId="0" borderId="4" xfId="2" applyFont="1" applyBorder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3" fillId="7" borderId="0" xfId="0" applyFont="1" applyFill="1" applyAlignment="1">
      <alignment horizontal="left" vertical="top" wrapText="1"/>
    </xf>
    <xf numFmtId="0" fontId="0" fillId="0" borderId="0" xfId="0" applyAlignment="1">
      <alignment horizontal="left" vertical="top"/>
    </xf>
    <xf numFmtId="0" fontId="3" fillId="0" borderId="0" xfId="0" applyFont="1"/>
    <xf numFmtId="43" fontId="3" fillId="0" borderId="0" xfId="8" applyFont="1"/>
    <xf numFmtId="43" fontId="0" fillId="0" borderId="0" xfId="0" applyNumberFormat="1"/>
    <xf numFmtId="10" fontId="0" fillId="0" borderId="0" xfId="0" applyNumberFormat="1"/>
    <xf numFmtId="3" fontId="0" fillId="0" borderId="0" xfId="0" applyNumberFormat="1"/>
    <xf numFmtId="2" fontId="0" fillId="0" borderId="0" xfId="0" applyNumberFormat="1"/>
    <xf numFmtId="10" fontId="0" fillId="0" borderId="0" xfId="1" applyNumberFormat="1" applyFont="1"/>
    <xf numFmtId="0" fontId="5" fillId="0" borderId="0" xfId="0" applyFont="1" applyAlignment="1">
      <alignment horizontal="left" vertical="top" wrapText="1"/>
    </xf>
    <xf numFmtId="164" fontId="5" fillId="0" borderId="0" xfId="8" applyNumberFormat="1" applyFont="1" applyAlignment="1">
      <alignment horizontal="left" vertical="top" wrapText="1"/>
    </xf>
    <xf numFmtId="3" fontId="5" fillId="0" borderId="0" xfId="0" applyNumberFormat="1" applyFont="1" applyAlignment="1">
      <alignment horizontal="left" vertical="top" wrapText="1"/>
    </xf>
    <xf numFmtId="165" fontId="5" fillId="0" borderId="0" xfId="0" applyNumberFormat="1" applyFont="1" applyAlignment="1">
      <alignment horizontal="left" vertical="top" wrapText="1"/>
    </xf>
    <xf numFmtId="165" fontId="5" fillId="0" borderId="0" xfId="1" applyNumberFormat="1" applyFont="1" applyAlignment="1">
      <alignment horizontal="left" vertical="top" wrapText="1"/>
    </xf>
    <xf numFmtId="164" fontId="4" fillId="0" borderId="0" xfId="8" applyNumberFormat="1" applyFont="1"/>
    <xf numFmtId="164" fontId="4" fillId="0" borderId="0" xfId="8" applyNumberFormat="1" applyFont="1" applyAlignment="1">
      <alignment horizontal="center"/>
    </xf>
    <xf numFmtId="44" fontId="0" fillId="4" borderId="0" xfId="0" applyNumberFormat="1" applyFill="1"/>
    <xf numFmtId="166" fontId="3" fillId="0" borderId="0" xfId="0" applyNumberFormat="1" applyFont="1"/>
    <xf numFmtId="4" fontId="0" fillId="0" borderId="0" xfId="0" applyNumberFormat="1"/>
    <xf numFmtId="167" fontId="0" fillId="4" borderId="0" xfId="0" applyNumberFormat="1" applyFill="1"/>
    <xf numFmtId="44" fontId="0" fillId="0" borderId="0" xfId="0" applyNumberFormat="1"/>
    <xf numFmtId="166" fontId="0" fillId="0" borderId="0" xfId="0" applyNumberFormat="1"/>
    <xf numFmtId="44" fontId="0" fillId="0" borderId="0" xfId="0" applyNumberFormat="1" applyAlignment="1">
      <alignment horizontal="left" vertical="top"/>
    </xf>
    <xf numFmtId="164" fontId="0" fillId="0" borderId="0" xfId="0" applyNumberFormat="1"/>
    <xf numFmtId="0" fontId="0" fillId="0" borderId="8" xfId="0" applyBorder="1"/>
    <xf numFmtId="1" fontId="0" fillId="0" borderId="0" xfId="0" applyNumberFormat="1"/>
    <xf numFmtId="43" fontId="3" fillId="0" borderId="0" xfId="0" applyNumberFormat="1" applyFont="1" applyAlignment="1">
      <alignment horizontal="left"/>
    </xf>
    <xf numFmtId="43" fontId="0" fillId="0" borderId="0" xfId="1" applyNumberFormat="1" applyFont="1"/>
    <xf numFmtId="0" fontId="0" fillId="2" borderId="0" xfId="0" applyFill="1"/>
    <xf numFmtId="0" fontId="5" fillId="0" borderId="5" xfId="2" applyFont="1" applyBorder="1"/>
    <xf numFmtId="0" fontId="5" fillId="0" borderId="6" xfId="2" applyFont="1" applyBorder="1" applyAlignment="1">
      <alignment horizontal="left"/>
    </xf>
    <xf numFmtId="0" fontId="5" fillId="0" borderId="6" xfId="2" applyFont="1" applyBorder="1"/>
    <xf numFmtId="0" fontId="4" fillId="0" borderId="6" xfId="2" applyBorder="1"/>
    <xf numFmtId="0" fontId="9" fillId="0" borderId="6" xfId="2" applyFont="1" applyBorder="1"/>
    <xf numFmtId="0" fontId="4" fillId="0" borderId="6" xfId="2" quotePrefix="1" applyBorder="1" applyAlignment="1">
      <alignment horizontal="left"/>
    </xf>
    <xf numFmtId="0" fontId="7" fillId="0" borderId="6" xfId="2" applyFont="1" applyBorder="1" applyAlignment="1">
      <alignment horizontal="left"/>
    </xf>
    <xf numFmtId="0" fontId="5" fillId="0" borderId="0" xfId="2" applyFont="1"/>
    <xf numFmtId="0" fontId="5" fillId="0" borderId="0" xfId="2" applyFont="1" applyAlignment="1">
      <alignment horizontal="left"/>
    </xf>
    <xf numFmtId="43" fontId="0" fillId="0" borderId="0" xfId="8" applyFont="1" applyFill="1" applyBorder="1"/>
    <xf numFmtId="0" fontId="9" fillId="0" borderId="0" xfId="2" applyFont="1"/>
    <xf numFmtId="0" fontId="7" fillId="0" borderId="0" xfId="2" applyFont="1" applyAlignment="1">
      <alignment horizontal="left"/>
    </xf>
    <xf numFmtId="168" fontId="0" fillId="0" borderId="9" xfId="0" applyNumberFormat="1" applyBorder="1" applyAlignment="1">
      <alignment horizontal="right" vertical="top"/>
    </xf>
    <xf numFmtId="44" fontId="0" fillId="0" borderId="10" xfId="0" applyNumberFormat="1" applyBorder="1" applyAlignment="1">
      <alignment horizontal="right" vertical="top"/>
    </xf>
    <xf numFmtId="44" fontId="0" fillId="0" borderId="10" xfId="0" quotePrefix="1" applyNumberFormat="1" applyBorder="1" applyAlignment="1">
      <alignment horizontal="right" vertical="top"/>
    </xf>
    <xf numFmtId="167" fontId="0" fillId="0" borderId="10" xfId="1" applyNumberFormat="1" applyFont="1" applyFill="1" applyBorder="1" applyAlignment="1">
      <alignment horizontal="right" vertical="top"/>
    </xf>
    <xf numFmtId="44" fontId="0" fillId="0" borderId="10" xfId="1" applyNumberFormat="1" applyFont="1" applyFill="1" applyBorder="1" applyAlignment="1">
      <alignment horizontal="right" vertical="top"/>
    </xf>
    <xf numFmtId="44" fontId="3" fillId="2" borderId="11" xfId="0" applyNumberFormat="1" applyFont="1" applyFill="1" applyBorder="1" applyAlignment="1">
      <alignment horizontal="right" vertical="top"/>
    </xf>
    <xf numFmtId="0" fontId="10" fillId="0" borderId="0" xfId="0" applyFont="1"/>
    <xf numFmtId="0" fontId="0" fillId="0" borderId="0" xfId="8" applyNumberFormat="1" applyFont="1" applyAlignment="1">
      <alignment horizontal="right"/>
    </xf>
    <xf numFmtId="44" fontId="0" fillId="0" borderId="0" xfId="9" applyFont="1"/>
    <xf numFmtId="0" fontId="12" fillId="0" borderId="12" xfId="0" applyFont="1" applyBorder="1"/>
    <xf numFmtId="44" fontId="12" fillId="0" borderId="14" xfId="0" applyNumberFormat="1" applyFont="1" applyBorder="1"/>
    <xf numFmtId="0" fontId="3" fillId="5" borderId="0" xfId="0" applyFont="1" applyFill="1" applyAlignment="1">
      <alignment horizontal="center" vertical="top" wrapText="1"/>
    </xf>
    <xf numFmtId="1" fontId="0" fillId="0" borderId="0" xfId="0" applyNumberFormat="1" applyAlignment="1">
      <alignment horizontal="right"/>
    </xf>
    <xf numFmtId="44" fontId="4" fillId="0" borderId="0" xfId="2" applyNumberFormat="1"/>
    <xf numFmtId="164" fontId="5" fillId="0" borderId="0" xfId="8" applyNumberFormat="1" applyFont="1" applyAlignment="1">
      <alignment vertical="top" wrapText="1"/>
    </xf>
    <xf numFmtId="0" fontId="0" fillId="9" borderId="0" xfId="0" applyFill="1"/>
    <xf numFmtId="164" fontId="4" fillId="9" borderId="0" xfId="8" applyNumberFormat="1" applyFont="1" applyFill="1" applyAlignment="1">
      <alignment horizontal="center"/>
    </xf>
    <xf numFmtId="0" fontId="3" fillId="9" borderId="0" xfId="0" applyFont="1" applyFill="1"/>
    <xf numFmtId="43" fontId="5" fillId="0" borderId="0" xfId="8" applyFont="1" applyAlignment="1">
      <alignment vertical="top" wrapText="1"/>
    </xf>
    <xf numFmtId="0" fontId="11" fillId="8" borderId="12" xfId="0" applyFont="1" applyFill="1" applyBorder="1" applyAlignment="1">
      <alignment horizontal="center"/>
    </xf>
    <xf numFmtId="0" fontId="11" fillId="8" borderId="13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</cellXfs>
  <cellStyles count="10">
    <cellStyle name="Comma" xfId="8" builtinId="3"/>
    <cellStyle name="Comma 2" xfId="3" xr:uid="{58667097-F9FC-467E-A96D-246981B5FC30}"/>
    <cellStyle name="Comma 3" xfId="6" xr:uid="{DF7BBE39-D694-4DB0-9074-AB80CF4D9198}"/>
    <cellStyle name="Currency 2" xfId="5" xr:uid="{74D298F3-93FB-4E59-9406-E8A6E2C548E2}"/>
    <cellStyle name="Currency 3" xfId="9" xr:uid="{0F77E0BA-6282-44D4-B838-2FF072193B39}"/>
    <cellStyle name="Normal" xfId="0" builtinId="0"/>
    <cellStyle name="Normal 2" xfId="2" xr:uid="{C7484222-43CD-4219-884F-C54E354A094A}"/>
    <cellStyle name="Normal 2 3" xfId="7" xr:uid="{6F744759-43BF-474B-8995-B842CA4C44C9}"/>
    <cellStyle name="Percent" xfId="1" builtinId="5"/>
    <cellStyle name="Percent 2" xfId="4" xr:uid="{6C9C1323-1BA1-4700-83F1-FCAE340F09FB}"/>
  </cellStyles>
  <dxfs count="8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4" formatCode="0.00%"/>
    </dxf>
    <dxf>
      <numFmt numFmtId="14" formatCode="0.00%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26" Type="http://schemas.openxmlformats.org/officeDocument/2006/relationships/customXml" Target="../customXml/item4.xml"/><Relationship Id="rId39" Type="http://schemas.openxmlformats.org/officeDocument/2006/relationships/customXml" Target="../customXml/item17.xml"/><Relationship Id="rId21" Type="http://schemas.openxmlformats.org/officeDocument/2006/relationships/powerPivotData" Target="model/item.data"/><Relationship Id="rId34" Type="http://schemas.openxmlformats.org/officeDocument/2006/relationships/customXml" Target="../customXml/item1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5" Type="http://schemas.openxmlformats.org/officeDocument/2006/relationships/customXml" Target="../customXml/item3.xml"/><Relationship Id="rId33" Type="http://schemas.openxmlformats.org/officeDocument/2006/relationships/customXml" Target="../customXml/item11.xml"/><Relationship Id="rId38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sheetMetadata" Target="metadata.xml"/><Relationship Id="rId29" Type="http://schemas.openxmlformats.org/officeDocument/2006/relationships/customXml" Target="../customXml/item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32" Type="http://schemas.openxmlformats.org/officeDocument/2006/relationships/customXml" Target="../customXml/item10.xml"/><Relationship Id="rId37" Type="http://schemas.openxmlformats.org/officeDocument/2006/relationships/customXml" Target="../customXml/item15.xml"/><Relationship Id="rId40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28" Type="http://schemas.openxmlformats.org/officeDocument/2006/relationships/customXml" Target="../customXml/item6.xml"/><Relationship Id="rId36" Type="http://schemas.openxmlformats.org/officeDocument/2006/relationships/customXml" Target="../customXml/item1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31" Type="http://schemas.openxmlformats.org/officeDocument/2006/relationships/customXml" Target="../customXml/item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Relationship Id="rId30" Type="http://schemas.openxmlformats.org/officeDocument/2006/relationships/customXml" Target="../customXml/item8.xml"/><Relationship Id="rId35" Type="http://schemas.openxmlformats.org/officeDocument/2006/relationships/customXml" Target="../customXml/item1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3" xr16:uid="{77E29913-A648-42BE-A77B-0E8F85DF31DF}" autoFormatId="16" applyNumberFormats="0" applyBorderFormats="0" applyFontFormats="0" applyPatternFormats="0" applyAlignmentFormats="0" applyWidthHeightFormats="0">
  <queryTableRefresh nextId="36">
    <queryTableFields count="7">
      <queryTableField id="10" name="Column1" tableColumnId="1"/>
      <queryTableField id="21" name="BASIC GRANTS" tableColumnId="2"/>
      <queryTableField id="22" name="CONCENTRATION GRANTS" tableColumnId="3"/>
      <queryTableField id="23" name="TARGETED GRANTS" tableColumnId="4"/>
      <queryTableField id="24" name="EFIG GRANTS" tableColumnId="5"/>
      <queryTableField id="31" name="TOTAL LEA GRANTS" tableColumnId="8"/>
      <queryTableField id="35" name="T-I State Adm  1004(b).TITLE I, PART A TOTAL LEA GRANTS" tableColumnId="6"/>
    </queryTableFields>
  </queryTableRefresh>
  <extLst>
    <ext xmlns:x15="http://schemas.microsoft.com/office/spreadsheetml/2010/11/main" uri="{883FBD77-0823-4a55-B5E3-86C4891E6966}">
      <x15:queryTable sourceDataName="Query - Assumptions"/>
    </ext>
  </extLst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backgroundRefresh="0" connectionId="10" xr16:uid="{5CB1711B-989C-481E-AF6B-B76D25F53936}" autoFormatId="16" applyNumberFormats="0" applyBorderFormats="0" applyFontFormats="0" applyPatternFormats="0" applyAlignmentFormats="0" applyWidthHeightFormats="0">
  <queryTableRefresh nextId="15">
    <queryTableFields count="5">
      <queryTableField id="1" name="LEAID" tableColumnId="1"/>
      <queryTableField id="2" name="LEANAME" tableColumnId="2"/>
      <queryTableField id="3" name="Conc. Eligigibility" tableColumnId="3"/>
      <queryTableField id="4" name="Eligibility Year" tableColumnId="4"/>
      <queryTableField id="6" name="Conc allocation" tableColumnId="6"/>
    </queryTableFields>
  </queryTableRefresh>
  <extLst>
    <ext xmlns:x15="http://schemas.microsoft.com/office/spreadsheetml/2010/11/main" uri="{883FBD77-0823-4a55-B5E3-86C4891E6966}">
      <x15:queryTable sourceDataName="Query - Conc eligibility year"/>
    </ext>
  </extLst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backgroundRefresh="0" connectionId="9" xr16:uid="{DACDF6D1-3187-4684-9C1B-F2EF9D1DF51C}" autoFormatId="16" applyNumberFormats="0" applyBorderFormats="0" applyFontFormats="0" applyPatternFormats="0" applyAlignmentFormats="0" applyWidthHeightFormats="0">
  <queryTableRefresh nextId="6">
    <queryTableFields count="1">
      <queryTableField id="5" name="Column1" tableColumnId="2"/>
    </queryTableFields>
  </queryTableRefresh>
  <extLst>
    <ext xmlns:x15="http://schemas.microsoft.com/office/spreadsheetml/2010/11/main" uri="{883FBD77-0823-4a55-B5E3-86C4891E6966}">
      <x15:queryTable sourceDataName="Query - Title"/>
    </ext>
  </extLst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8" xr16:uid="{C26CC77E-7AAF-4FF5-83EA-7F9D6E358B11}" autoFormatId="16" applyNumberFormats="0" applyBorderFormats="0" applyFontFormats="0" applyPatternFormats="0" applyAlignmentFormats="0" applyWidthHeightFormats="0">
  <queryTableRefresh nextId="23">
    <queryTableFields count="12">
      <queryTableField id="1" name="LEAID" tableColumnId="1"/>
      <queryTableField id="2" name="LEANAME" tableColumnId="2"/>
      <queryTableField id="3" name="BASIC Hold Harmless Base" tableColumnId="3"/>
      <queryTableField id="4" name="Conc Hold Harmless Base" tableColumnId="4"/>
      <queryTableField id="5" name="Targeted Hold Harmless Base" tableColumnId="5"/>
      <queryTableField id="6" name="EFIG Hold Harmless Base" tableColumnId="6"/>
      <queryTableField id="13" name="Total Hold Harmless Base" tableColumnId="12"/>
      <queryTableField id="15" name="Basic Allocation" tableColumnId="7"/>
      <queryTableField id="8" name="Conc. Allocation" tableColumnId="8"/>
      <queryTableField id="9" name="Targeted Allocation" tableColumnId="9"/>
      <queryTableField id="10" name="EFIG Allocation" tableColumnId="10"/>
      <queryTableField id="11" name="Total Title I Allocation" tableColumnId="11"/>
    </queryTableFields>
  </queryTableRefresh>
  <extLst>
    <ext xmlns:x15="http://schemas.microsoft.com/office/spreadsheetml/2010/11/main" uri="{883FBD77-0823-4a55-B5E3-86C4891E6966}">
      <x15:queryTable sourceDataName="Query - Model allocations"/>
    </ext>
  </extLst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7" xr16:uid="{F562F35B-A02E-4AA2-A36F-7D5DEFCDDA15}" autoFormatId="16" applyNumberFormats="0" applyBorderFormats="0" applyFontFormats="0" applyPatternFormats="0" applyAlignmentFormats="0" applyWidthHeightFormats="0">
  <queryTableRefresh nextId="22">
    <queryTableFields count="12">
      <queryTableField id="1" name="LEAID" tableColumnId="1"/>
      <queryTableField id="2" name="LEANAME" tableColumnId="2"/>
      <queryTableField id="3" name="BASIC Hold Harmless base (Prior year adjusted alloc)" tableColumnId="3"/>
      <queryTableField id="13" name="Conc Hold Harmless Base ( 4 year lookback)" tableColumnId="4"/>
      <queryTableField id="5" name="TARGETED Hold Harmless Base (Prior Year adjusted alloc)" tableColumnId="5"/>
      <queryTableField id="6" name="EFIG Hold Harmless base (Prior Year adjusted alloc)" tableColumnId="6"/>
      <queryTableField id="7" name="Total Hold harmless base" tableColumnId="7"/>
      <queryTableField id="8" name="Adj Basic Allocation" tableColumnId="8"/>
      <queryTableField id="9" name="Adj Conc. Allocation" tableColumnId="9"/>
      <queryTableField id="10" name="Adj Targeted allocation" tableColumnId="10"/>
      <queryTableField id="11" name="Adj EFIG Allocation" tableColumnId="11"/>
      <queryTableField id="12" name="Adj Total Title I Allocation" tableColumnId="12"/>
    </queryTableFields>
  </queryTableRefresh>
  <extLst>
    <ext xmlns:x15="http://schemas.microsoft.com/office/spreadsheetml/2010/11/main" uri="{883FBD77-0823-4a55-B5E3-86C4891E6966}">
      <x15:queryTable sourceDataName="Query - Initial adjusted allocations"/>
    </ext>
  </extLst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5" xr16:uid="{AA3A86F7-173F-472C-A015-A89063E9AA53}" autoFormatId="16" applyNumberFormats="0" applyBorderFormats="0" applyFontFormats="0" applyPatternFormats="0" applyAlignmentFormats="0" applyWidthHeightFormats="0">
  <queryTableRefresh nextId="65">
    <queryTableFields count="16">
      <queryTableField id="1" name="LEAid" tableColumnId="1"/>
      <queryTableField id="30" name="LEANAME" tableColumnId="2"/>
      <queryTableField id="36" name="SendingLEAid" tableColumnId="5"/>
      <queryTableField id="41" name="NEG. adj" tableColumnId="3"/>
      <queryTableField id="42" name="Adj DEL." tableColumnId="4"/>
      <queryTableField id="43" name="Adj Foster" tableColumnId="7"/>
      <queryTableField id="44" name="Adj TANF" tableColumnId="8"/>
      <queryTableField id="21" name="Adj - 5-17 pop" tableColumnId="21"/>
      <queryTableField id="22" name="Adj poverty" tableColumnId="22"/>
      <queryTableField id="23" name="Adj Total formula count" tableColumnId="23"/>
      <queryTableField id="37" name="Total Formula Count DOE" tableColumnId="6"/>
      <queryTableField id="24" name="Adj poverty percentage" tableColumnId="24"/>
      <queryTableField id="25" name="BASIC eligibility" tableColumnId="25"/>
      <queryTableField id="26" name="Conc. Eligigibility" tableColumnId="26"/>
      <queryTableField id="27" name="Targeted Eligibility" tableColumnId="27"/>
      <queryTableField id="28" name="EFIG eligibility" tableColumnId="28"/>
    </queryTableFields>
  </queryTableRefresh>
  <extLst>
    <ext xmlns:x15="http://schemas.microsoft.com/office/spreadsheetml/2010/11/main" uri="{883FBD77-0823-4a55-B5E3-86C4891E6966}">
      <x15:queryTable sourceDataName="Query - Initial adjusted formula count"/>
    </ext>
  </extLst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4" xr16:uid="{F3E6E355-E8AF-4050-983B-95B550ED6E3B}" autoFormatId="16" applyNumberFormats="0" applyBorderFormats="0" applyFontFormats="0" applyPatternFormats="0" applyAlignmentFormats="0" applyWidthHeightFormats="0">
  <queryTableRefresh nextId="56">
    <queryTableFields count="25">
      <queryTableField id="1" name="CCDDD" tableColumnId="1"/>
      <queryTableField id="2" name="DistrictName" tableColumnId="2"/>
      <queryTableField id="3" name="SendingLEAid" tableColumnId="3"/>
      <queryTableField id="4" name="LEAid" tableColumnId="4"/>
      <queryTableField id="6" name="IsNew" tableColumnId="6"/>
      <queryTableField id="5" name="IsExpanded" tableColumnId="5"/>
      <queryTableField id="7" name="Initial adjusted formula count.Adj Total formula count" tableColumnId="7"/>
      <queryTableField id="8" name="Initial adjusted formula count.Adj poverty percentage" tableColumnId="8"/>
      <queryTableField id="39" name="Prior Year Adjusted Formula counts.Adj Total formula count" tableColumnId="9"/>
      <queryTableField id="10" name="Total Formula Count increase" tableColumnId="10"/>
      <queryTableField id="11" name="Initial adjusted allocations.BASIC Hold Harmless base (Prior year adjusted alloc" tableColumnId="11"/>
      <queryTableField id="13" name="Initial adjusted allocations.TARGETED Hold Harmless Base (Prior Year adjusted al" tableColumnId="13"/>
      <queryTableField id="37" name="Initial adjusted allocations.Conc Hold Harmless Base ( 4 year lookback)" tableColumnId="12"/>
      <queryTableField id="14" name="Initial adjusted allocations.EFIG Hold Harmless base (Prior Year adjusted alloc)" tableColumnId="14"/>
      <queryTableField id="15" name="Initial adjusted allocations.Total Hold harmless base" tableColumnId="15"/>
      <queryTableField id="16" name="Initial adjusted allocations.Adj Basic Allocation" tableColumnId="16"/>
      <queryTableField id="17" name="Initial adjusted allocations.Adj Conc. Allocation" tableColumnId="17"/>
      <queryTableField id="18" name="Initial adjusted allocations.Adj Targeted allocation" tableColumnId="18"/>
      <queryTableField id="19" name="Initial adjusted allocations.Adj EFIG Allocation" tableColumnId="19"/>
      <queryTableField id="20" name="Initial adjusted allocations.Adj Total Title I Allocation" tableColumnId="20"/>
      <queryTableField id="21" name="New/Expanded Basic HH base" tableColumnId="21"/>
      <queryTableField id="22" name="New/Expanding Conc HH base" tableColumnId="22"/>
      <queryTableField id="23" name="New/Expanding Targeted HH Base" tableColumnId="23"/>
      <queryTableField id="24" name="New Expanding EFIG HH Base" tableColumnId="24"/>
      <queryTableField id="25" name="New Expanded total HH base" tableColumnId="25"/>
    </queryTableFields>
  </queryTableRefresh>
  <extLst>
    <ext xmlns:x15="http://schemas.microsoft.com/office/spreadsheetml/2010/11/main" uri="{883FBD77-0823-4a55-B5E3-86C4891E6966}">
      <x15:queryTable sourceDataName="Query - New or Expanded HH check"/>
    </ext>
  </extLst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6" xr16:uid="{09C07932-8235-4A40-B9C4-4EA9B21234FB}" autoFormatId="16" applyNumberFormats="0" applyBorderFormats="0" applyFontFormats="0" applyPatternFormats="0" applyAlignmentFormats="0" applyWidthHeightFormats="0">
  <queryTableRefresh nextId="25">
    <queryTableFields count="9">
      <queryTableField id="1" name="CCDDD" tableColumnId="1"/>
      <queryTableField id="2" name="DistrictName" tableColumnId="2"/>
      <queryTableField id="3" name="SendingLEAid" tableColumnId="3"/>
      <queryTableField id="4" name="DistrictType" tableColumnId="4"/>
      <queryTableField id="5" name="LEAid" tableColumnId="5"/>
      <queryTableField id="7" name="IsNew" tableColumnId="7"/>
      <queryTableField id="6" name="IsExpanded" tableColumnId="6"/>
      <queryTableField id="8" name="poverty Multiplier" tableColumnId="8"/>
      <queryTableField id="9" name="Enrollment multiplier" tableColumnId="9"/>
    </queryTableFields>
  </queryTableRefresh>
  <extLst>
    <ext xmlns:x15="http://schemas.microsoft.com/office/spreadsheetml/2010/11/main" uri="{883FBD77-0823-4a55-B5E3-86C4891E6966}">
      <x15:queryTable sourceDataName="Query - Multipliers"/>
    </ext>
  </extLst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2F5B8B09-CED2-4B28-B5CC-1DB4F66706A7}" autoFormatId="16" applyNumberFormats="0" applyBorderFormats="0" applyFontFormats="0" applyPatternFormats="0" applyAlignmentFormats="0" applyWidthHeightFormats="0">
  <queryTableRefresh nextId="55">
    <queryTableFields count="19">
      <queryTableField id="1" name="CCDDD" tableColumnId="1"/>
      <queryTableField id="2" name="Charter/Tribal" tableColumnId="2"/>
      <queryTableField id="3" name="Sending District" tableColumnId="3"/>
      <queryTableField id="4" name="Sending District CCDDD" tableColumnId="4"/>
      <queryTableField id="5" name="LEAID" tableColumnId="5"/>
      <queryTableField id="6" name="IsNew" tableColumnId="6"/>
      <queryTableField id="17" name="IsExpanded" tableColumnId="7"/>
      <queryTableField id="24" name="FRPL.TotalStudents" tableColumnId="9"/>
      <queryTableField id="8" name="TotalStudentsInPoverty" tableColumnId="8"/>
      <queryTableField id="25" name="SendingTotalStudents" tableColumnId="10"/>
      <queryTableField id="11" name="SendingTotalStudentsInPoverty" tableColumnId="11"/>
      <queryTableField id="16" name="SendingLEAId" tableColumnId="17"/>
      <queryTableField id="33" name="ChartersTotalStudents" tableColumnId="20"/>
      <queryTableField id="21" name="Sum of Charters RFPL+Sending RFPL" tableColumnId="12"/>
      <queryTableField id="34" name="Share of FRPL" tableColumnId="21"/>
      <queryTableField id="35" name="Sending Share of FRPL" tableColumnId="22"/>
      <queryTableField id="27" name="Sum of charter total students + Sending total students" tableColumnId="15"/>
      <queryTableField id="28" name="Share of Total Enrollment" tableColumnId="16"/>
      <queryTableField id="29" name="Sending Share of Total enrollment" tableColumnId="19"/>
    </queryTableFields>
  </queryTableRefresh>
  <extLst>
    <ext xmlns:x15="http://schemas.microsoft.com/office/spreadsheetml/2010/11/main" uri="{883FBD77-0823-4a55-B5E3-86C4891E6966}">
      <x15:queryTable sourceDataName="Query - Split Calc"/>
    </ext>
  </extLst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2" xr16:uid="{714762AA-6969-417F-AE38-B3B316E8E3A3}" autoFormatId="16" applyNumberFormats="0" applyBorderFormats="0" applyFontFormats="0" applyPatternFormats="0" applyAlignmentFormats="0" applyWidthHeightFormats="0">
  <queryTableRefresh nextId="55">
    <queryTableFields count="15">
      <queryTableField id="1" name="LEAID" tableColumnId="1"/>
      <queryTableField id="12" name="LEANAME" tableColumnId="3"/>
      <queryTableField id="39" name="Basic Before State Reservations" tableColumnId="15"/>
      <queryTableField id="40" name="Concentration Before State Reservations" tableColumnId="16"/>
      <queryTableField id="41" name="Targeted Before State Reservations" tableColumnId="17"/>
      <queryTableField id="42" name="EFIG Before State Reservations" tableColumnId="18"/>
      <queryTableField id="43" name="Total Before State Reservations" tableColumnId="19"/>
      <queryTableField id="51" name="Allocation after School Improvemnt HH" tableColumnId="21"/>
      <queryTableField id="52" name="Net School Improvement taken out" tableColumnId="22"/>
      <queryTableField id="20" name="State Admin" tableColumnId="9"/>
      <queryTableField id="22" name="MOE Reduction" tableColumnId="11"/>
      <queryTableField id="13" name="NET TO DISTRICS" tableColumnId="4"/>
      <queryTableField id="36" name="Adj - 5-17 pop" tableColumnId="10"/>
      <queryTableField id="37" name="Adj Total formula count" tableColumnId="13"/>
      <queryTableField id="38" name="Adj poverty percentage" tableColumnId="14"/>
    </queryTableFields>
  </queryTableRefresh>
  <extLst>
    <ext xmlns:x15="http://schemas.microsoft.com/office/spreadsheetml/2010/11/main" uri="{883FBD77-0823-4a55-B5E3-86C4891E6966}">
      <x15:queryTable sourceDataName="Query - Prior Year Net to district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960C2BC-5429-410B-9BF6-DDB23B30E161}" name="Assumptions" displayName="Assumptions" ref="C1:I2" tableType="queryTable" totalsRowShown="0">
  <autoFilter ref="C1:I2" xr:uid="{5960C2BC-5429-410B-9BF6-DDB23B30E161}"/>
  <tableColumns count="7">
    <tableColumn id="1" xr3:uid="{4C43D153-7362-442D-965F-93F57B5EB338}" uniqueName="1" name="Column1" queryTableFieldId="10"/>
    <tableColumn id="2" xr3:uid="{176F702E-9B23-49D9-B01D-3410DCD1CBAE}" uniqueName="2" name="BASIC GRANTS" queryTableFieldId="21" dataDxfId="79"/>
    <tableColumn id="3" xr3:uid="{D156B8BB-69CF-401E-93B1-C0306FFA7125}" uniqueName="3" name="CONCENTRATION GRANTS" queryTableFieldId="22" dataDxfId="78"/>
    <tableColumn id="4" xr3:uid="{7A27A1B6-041D-4E7D-9A81-9AD80C7A0880}" uniqueName="4" name="TARGETED GRANTS" queryTableFieldId="23" dataDxfId="77"/>
    <tableColumn id="5" xr3:uid="{9624981D-3659-47C1-9C4D-E629B93ADCED}" uniqueName="5" name="EFIG GRANTS" queryTableFieldId="24" dataDxfId="76"/>
    <tableColumn id="8" xr3:uid="{8567D87E-F19A-4B8D-A516-116A36E73B8C}" uniqueName="8" name="TOTAL LEA GRANTS" queryTableFieldId="31" dataDxfId="75"/>
    <tableColumn id="6" xr3:uid="{989BD82C-03A3-48AB-915D-FC218B3A9A7B}" uniqueName="6" name="T-I State Adm  1004(b).TITLE I, PART A TOTAL LEA GRANTS" queryTableFieldId="35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B337D1D-C8DF-4CAF-87FD-F8C9B228595A}" name="Table_Conc_eligibility_year" displayName="Table_Conc_eligibility_year" ref="A1:E317" tableType="queryTable" totalsRowShown="0">
  <autoFilter ref="A1:E317" xr:uid="{2B337D1D-C8DF-4CAF-87FD-F8C9B228595A}"/>
  <sortState xmlns:xlrd2="http://schemas.microsoft.com/office/spreadsheetml/2017/richdata2" ref="A2:E317">
    <sortCondition ref="B1:B317"/>
  </sortState>
  <tableColumns count="5">
    <tableColumn id="1" xr3:uid="{6CF86675-12D2-4E94-9CC5-AB88A974E08A}" uniqueName="1" name="LEAID" queryTableFieldId="1"/>
    <tableColumn id="2" xr3:uid="{417E763F-84DC-4723-B21F-94132676A0BB}" uniqueName="2" name="LEANAME" queryTableFieldId="2"/>
    <tableColumn id="3" xr3:uid="{70146315-0094-43C2-80DB-34E73068048A}" uniqueName="3" name="Conc. Eligigibility" queryTableFieldId="3"/>
    <tableColumn id="4" xr3:uid="{8A58C6BF-D0A5-43F3-859C-0755FA06DCAE}" uniqueName="4" name="Eligibility Year" queryTableFieldId="4"/>
    <tableColumn id="6" xr3:uid="{2EA2D433-255C-447D-8B64-28387F2FFF7D}" uniqueName="6" name="Conc allocation" queryTableFieldId="6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C2E26F9-E31D-4B7A-96F9-9F6076E14753}" name="Title" displayName="Title" ref="B1:B2" tableType="queryTable" totalsRowShown="0">
  <autoFilter ref="B1:B2" xr:uid="{6C2E26F9-E31D-4B7A-96F9-9F6076E14753}"/>
  <tableColumns count="1">
    <tableColumn id="2" xr3:uid="{5A455F30-8D92-46E0-B12D-AB27650392EA}" uniqueName="2" name="Column1" queryTableFieldId="5" dataDxfId="74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FD285AD-9F01-4D8A-BCD2-8854BAE871D8}" name="Model_allocations" displayName="Model_allocations" ref="A1:L316" tableType="queryTable" totalsRowShown="0">
  <autoFilter ref="A1:L316" xr:uid="{CFD285AD-9F01-4D8A-BCD2-8854BAE871D8}"/>
  <sortState xmlns:xlrd2="http://schemas.microsoft.com/office/spreadsheetml/2017/richdata2" ref="A2:L316">
    <sortCondition ref="B1:B316"/>
  </sortState>
  <tableColumns count="12">
    <tableColumn id="1" xr3:uid="{611B6677-F2BD-4D9B-89FD-C3C60B4033F5}" uniqueName="1" name="LEAID" queryTableFieldId="1" dataDxfId="73"/>
    <tableColumn id="2" xr3:uid="{6788495D-F0A7-49F8-8054-A54649BD3378}" uniqueName="2" name="LEANAME" queryTableFieldId="2" dataDxfId="72"/>
    <tableColumn id="3" xr3:uid="{7505CC4A-EF50-4982-9C21-FFEA45C075A0}" uniqueName="3" name="BASIC Hold Harmless Base" queryTableFieldId="3" dataDxfId="71"/>
    <tableColumn id="4" xr3:uid="{FD266F2C-12C2-46CA-B4DA-0044BF30CCE8}" uniqueName="4" name="Conc Hold Harmless Base" queryTableFieldId="4" dataDxfId="70"/>
    <tableColumn id="5" xr3:uid="{1A7C4DAA-23A9-48C0-AC40-1DB58FCA39B1}" uniqueName="5" name="Targeted Hold Harmless Base" queryTableFieldId="5" dataDxfId="69"/>
    <tableColumn id="6" xr3:uid="{209E7CB3-66F1-4B6D-A71D-700AA1F3164D}" uniqueName="6" name="EFIG Hold Harmless Base" queryTableFieldId="6" dataDxfId="68"/>
    <tableColumn id="12" xr3:uid="{662121D9-6418-4ADE-9FE1-B711736E963C}" uniqueName="12" name="Total Hold Harmless Base" queryTableFieldId="13" dataDxfId="67"/>
    <tableColumn id="7" xr3:uid="{71B5EE69-600C-4933-9901-610FB7C85727}" uniqueName="7" name="Basic Allocation" queryTableFieldId="15"/>
    <tableColumn id="8" xr3:uid="{3319A4ED-43F5-4158-8136-F59BD1DEBA2E}" uniqueName="8" name="Conc. Allocation" queryTableFieldId="8" dataDxfId="66"/>
    <tableColumn id="9" xr3:uid="{F91E0153-FD90-4DFE-9321-BFAB19AB6AF0}" uniqueName="9" name="Targeted Allocation" queryTableFieldId="9" dataDxfId="65"/>
    <tableColumn id="10" xr3:uid="{DEAFA6E0-AC9F-4ED9-BFE5-21F80B208ECD}" uniqueName="10" name="EFIG Allocation" queryTableFieldId="10" dataDxfId="64"/>
    <tableColumn id="11" xr3:uid="{4ED7FCD7-2EBF-4103-9C8D-702DB30D89D1}" uniqueName="11" name="Total Title I Allocation" queryTableFieldId="11" dataDxfId="63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F32EF4C-1258-4E2D-B0B9-BE4D2282A993}" name="Initial_adjusted_allocations" displayName="Initial_adjusted_allocations" ref="A1:L316" tableType="queryTable" totalsRowShown="0">
  <autoFilter ref="A1:L316" xr:uid="{6F32EF4C-1258-4E2D-B0B9-BE4D2282A993}"/>
  <sortState xmlns:xlrd2="http://schemas.microsoft.com/office/spreadsheetml/2017/richdata2" ref="A2:L316">
    <sortCondition ref="B1:B316"/>
  </sortState>
  <tableColumns count="12">
    <tableColumn id="1" xr3:uid="{BB592B86-CBB1-4B7C-9D64-5D339665B4A8}" uniqueName="1" name="LEAID" queryTableFieldId="1" dataDxfId="62"/>
    <tableColumn id="2" xr3:uid="{AF4A4BC3-D921-4DCF-9937-78D414B81BE2}" uniqueName="2" name="LEANAME" queryTableFieldId="2" dataDxfId="61"/>
    <tableColumn id="3" xr3:uid="{11229CAA-8F87-4ABD-B2CB-66865C362217}" uniqueName="3" name="BASIC Hold Harmless base (Prior year adjusted alloc)" queryTableFieldId="3" dataDxfId="60"/>
    <tableColumn id="4" xr3:uid="{877EAC2C-B599-4614-9F9E-6FC007BB07C4}" uniqueName="4" name="Conc Hold Harmless Base ( 4 year lookback)" queryTableFieldId="13" dataDxfId="59"/>
    <tableColumn id="5" xr3:uid="{3927C376-8129-4830-A597-A29B7BDB1B1B}" uniqueName="5" name="TARGETED Hold Harmless Base (Prior Year adjusted alloc)" queryTableFieldId="5" dataDxfId="58"/>
    <tableColumn id="6" xr3:uid="{B6E7B67B-B6D2-4A9D-AADA-A3FDAEDC8F2B}" uniqueName="6" name="EFIG Hold Harmless base (Prior Year adjusted alloc)" queryTableFieldId="6" dataDxfId="57"/>
    <tableColumn id="7" xr3:uid="{248C4D64-741B-4814-97AF-7C42F159548B}" uniqueName="7" name="Total Hold Harmless base" queryTableFieldId="7" dataDxfId="56"/>
    <tableColumn id="8" xr3:uid="{2283AABA-6403-4214-8A67-3EECAF8E5318}" uniqueName="8" name="Adj Basic Allocation" queryTableFieldId="8" dataDxfId="55"/>
    <tableColumn id="9" xr3:uid="{F211104A-967A-4973-A33D-410EF5757E45}" uniqueName="9" name="Adj Conc. Allocation" queryTableFieldId="9" dataDxfId="54"/>
    <tableColumn id="10" xr3:uid="{76DF5FA6-3C22-49A9-89CA-C19B88D75E68}" uniqueName="10" name="Adj Targeted allocation" queryTableFieldId="10" dataDxfId="53"/>
    <tableColumn id="11" xr3:uid="{E116C028-FADA-46D1-A46A-C491918364E2}" uniqueName="11" name="Adj EFIG Allocation" queryTableFieldId="11" dataDxfId="52"/>
    <tableColumn id="12" xr3:uid="{340F5974-2F89-4558-B5A2-F258176198FC}" uniqueName="12" name="Adj Total Title I Allocation" queryTableFieldId="12" dataDxfId="51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5B8CB27-6799-4997-8EA6-06DF76B21895}" name="Initial_adjusted_formula_count" displayName="Initial_adjusted_formula_count" ref="A1:P316" tableType="queryTable" totalsRowShown="0">
  <autoFilter ref="A1:P316" xr:uid="{85B8CB27-6799-4997-8EA6-06DF76B21895}"/>
  <sortState xmlns:xlrd2="http://schemas.microsoft.com/office/spreadsheetml/2017/richdata2" ref="A2:P316">
    <sortCondition ref="B1:B316"/>
  </sortState>
  <tableColumns count="16">
    <tableColumn id="1" xr3:uid="{D4450982-D1E4-47D0-B829-97602D6DD2D7}" uniqueName="1" name="LEAID" queryTableFieldId="1" dataDxfId="50"/>
    <tableColumn id="2" xr3:uid="{A08BBAC3-99DF-47AA-9666-D57A7C658A9B}" uniqueName="2" name="LEANAME" queryTableFieldId="30"/>
    <tableColumn id="5" xr3:uid="{C3276C96-6825-4339-A7ED-0E3FC010F422}" uniqueName="5" name="SendingLEAid" queryTableFieldId="36" dataDxfId="49"/>
    <tableColumn id="3" xr3:uid="{C187E937-45FF-4B15-A3D5-099CF49E5EA2}" uniqueName="3" name="NEG. adj" queryTableFieldId="41" dataDxfId="48"/>
    <tableColumn id="4" xr3:uid="{38996AC4-6D97-4D6D-9C61-06C5D36C8838}" uniqueName="4" name="Adj DEL." queryTableFieldId="42" dataDxfId="47"/>
    <tableColumn id="7" xr3:uid="{4B33D5B5-F8BE-4B15-9324-7D10EB241113}" uniqueName="7" name="Adj Foster" queryTableFieldId="43" dataDxfId="46"/>
    <tableColumn id="8" xr3:uid="{C9B7EDC5-ED7B-4DF8-846D-249EE4653327}" uniqueName="8" name="Adj TANF" queryTableFieldId="44" dataDxfId="45"/>
    <tableColumn id="21" xr3:uid="{811D0937-E776-4C41-8989-1A7D496C7CBB}" uniqueName="21" name="Adj - 5-17 pop" queryTableFieldId="21" dataDxfId="44"/>
    <tableColumn id="22" xr3:uid="{15D21245-8488-405A-9D4C-079EA84B1718}" uniqueName="22" name="Adj poverty" queryTableFieldId="22" dataDxfId="43"/>
    <tableColumn id="23" xr3:uid="{65940B37-A5FA-45C2-9969-DFA8622DB07E}" uniqueName="23" name="Adj Total formula count" queryTableFieldId="23" dataDxfId="42"/>
    <tableColumn id="6" xr3:uid="{14835AAA-20BA-457D-8CAE-AF7D912FFBBC}" uniqueName="6" name="Total Formula Count DOE" queryTableFieldId="37" dataDxfId="41"/>
    <tableColumn id="24" xr3:uid="{2130EE01-004F-4566-A60A-D3B8CE1A3362}" uniqueName="24" name="Adj poverty percentage" queryTableFieldId="24"/>
    <tableColumn id="25" xr3:uid="{3F74F5D5-2990-4002-92CF-4625DA740D40}" uniqueName="25" name="BASIC eligibility" queryTableFieldId="25"/>
    <tableColumn id="26" xr3:uid="{2A6BAE65-83C9-40C1-809D-5BB78521E846}" uniqueName="26" name="Conc. Eligigibility" queryTableFieldId="26"/>
    <tableColumn id="27" xr3:uid="{6D7FC1DA-5A46-46F1-92F5-1B19A1197F98}" uniqueName="27" name="Targeted Eligibility" queryTableFieldId="27"/>
    <tableColumn id="28" xr3:uid="{886B5EA4-C474-40F7-8FE4-726B686EC411}" uniqueName="28" name="EFIG eligibility" queryTableFieldId="28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F6E1E93-B710-4806-80CA-97D04C2CA9C5}" name="New_or_Expanded_HH_check" displayName="New_or_Expanded_HH_check" ref="A1:Y20" tableType="queryTable" totalsRowShown="0">
  <autoFilter ref="A1:Y20" xr:uid="{BF6E1E93-B710-4806-80CA-97D04C2CA9C5}"/>
  <tableColumns count="25">
    <tableColumn id="1" xr3:uid="{05678A1B-8182-4A93-A935-7FFC88362CE1}" uniqueName="1" name="CCDDD" queryTableFieldId="1" dataDxfId="40"/>
    <tableColumn id="2" xr3:uid="{9129C4CB-F5B3-46A1-857F-364562E11239}" uniqueName="2" name="DistrictName" queryTableFieldId="2" dataDxfId="39"/>
    <tableColumn id="3" xr3:uid="{8BF1D670-3D30-4FCC-AA04-6FFB836BFE38}" uniqueName="3" name="SendingLEAid" queryTableFieldId="3" dataDxfId="38"/>
    <tableColumn id="4" xr3:uid="{42229B68-7610-4EAE-AC8A-4B35A7D29E4C}" uniqueName="4" name="LEAid" queryTableFieldId="4" dataDxfId="37"/>
    <tableColumn id="6" xr3:uid="{E53BD975-D551-456F-88F9-337E0969ABEB}" uniqueName="6" name="IsNew" queryTableFieldId="6" dataDxfId="36"/>
    <tableColumn id="5" xr3:uid="{53914E26-3AFF-49CD-AF44-AF067D18C5F1}" uniqueName="5" name="IsExpanded" queryTableFieldId="5"/>
    <tableColumn id="7" xr3:uid="{EB6AA613-17CE-433E-97F5-8B51332CFE71}" uniqueName="7" name="Initial adjusted formula count.Adj Total formula count" queryTableFieldId="7" dataDxfId="35"/>
    <tableColumn id="8" xr3:uid="{3115BD99-CD6F-4DE4-AC86-C52B0A17D5C6}" uniqueName="8" name="Initial adjusted formula count.Adj poverty percentage" queryTableFieldId="8"/>
    <tableColumn id="9" xr3:uid="{60E71B6A-2AFB-4487-9007-ECE305622211}" uniqueName="9" name="Prior Year Adjusted Formula counts.Adj Total formula count" queryTableFieldId="39"/>
    <tableColumn id="10" xr3:uid="{46F9479A-A837-4BCA-84F6-0364141169D0}" uniqueName="10" name="Total Formula Count increase" queryTableFieldId="10"/>
    <tableColumn id="11" xr3:uid="{D355C088-70CA-40E8-9EC5-7D5CA4691E4D}" uniqueName="11" name="Initial adjusted allocations.BASIC Hold Harmless base (Prior year adjusted alloc" queryTableFieldId="11"/>
    <tableColumn id="13" xr3:uid="{FF2D5A8E-5A5D-49E1-B5AE-B1A48B8B26F1}" uniqueName="13" name="Initial adjusted allocations.TARGETED Hold Harmless Base (Prior Year adjusted al" queryTableFieldId="13"/>
    <tableColumn id="12" xr3:uid="{31CCE0EA-10F3-42B4-B4E7-8F194A9E9252}" uniqueName="12" name="Initial adjusted allocations.Conc Hold Harmless Base ( 4 year lookback)" queryTableFieldId="37"/>
    <tableColumn id="14" xr3:uid="{9F1EFE74-42D5-49CA-86ED-FE074890E432}" uniqueName="14" name="Initial adjusted allocations.EFIG Hold Harmless base (Prior Year adjusted alloc)" queryTableFieldId="14"/>
    <tableColumn id="15" xr3:uid="{E3CCB486-4678-45DC-A6CA-1CD9FA45AFFF}" uniqueName="15" name="Initial adjusted allocations.Total Hold Harmless base" queryTableFieldId="15" dataDxfId="34"/>
    <tableColumn id="16" xr3:uid="{253BF4D9-5866-4C9B-8D54-E3FD927D13D5}" uniqueName="16" name="Initial adjusted allocations.Adj Basic Allocation" queryTableFieldId="16"/>
    <tableColumn id="17" xr3:uid="{17E528B7-08C5-43E3-8B96-DA0C845D634D}" uniqueName="17" name="Initial adjusted allocations.Adj Conc. Allocation" queryTableFieldId="17"/>
    <tableColumn id="18" xr3:uid="{B5942ED9-C596-4334-8257-8332DAAB9E12}" uniqueName="18" name="Initial adjusted allocations.Adj Targeted allocation" queryTableFieldId="18"/>
    <tableColumn id="19" xr3:uid="{B4F8C7B7-2909-4E7C-8902-1079B1C03B25}" uniqueName="19" name="Initial adjusted allocations.Adj EFIG Allocation" queryTableFieldId="19"/>
    <tableColumn id="20" xr3:uid="{20BCA529-F64F-4DA9-9196-0E1FB7FA7865}" uniqueName="20" name="Initial adjusted allocations.Adj Total Title I Allocation" queryTableFieldId="20"/>
    <tableColumn id="21" xr3:uid="{8A82F529-A755-4079-A67C-10B541FB2947}" uniqueName="21" name="New/Expanded Basic HH base" queryTableFieldId="21" dataDxfId="33"/>
    <tableColumn id="22" xr3:uid="{88FAA249-272C-4B55-8BA8-9E9C3E81FFE8}" uniqueName="22" name="New/Expanding Conc HH base" queryTableFieldId="22" dataDxfId="32"/>
    <tableColumn id="23" xr3:uid="{1117A25E-487A-4931-A0AB-7D76CF57B9CB}" uniqueName="23" name="New/Expanding Targeted HH Base" queryTableFieldId="23" dataDxfId="31"/>
    <tableColumn id="24" xr3:uid="{C99510BF-DAA2-4F85-9F7E-83D3284E240B}" uniqueName="24" name="New Expanding EFIG HH Base" queryTableFieldId="24" dataDxfId="30"/>
    <tableColumn id="25" xr3:uid="{F2921C0B-6A9E-48A9-81E7-AECB85D4BE69}" uniqueName="25" name="New Expanded total HH base" queryTableFieldId="25" dataDxfId="29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84827DA-6F09-4A06-92A3-4B5F97C50D43}" name="Multipliers" displayName="Multipliers" ref="A1:I30" tableType="queryTable" totalsRowShown="0">
  <autoFilter ref="A1:I30" xr:uid="{484827DA-6F09-4A06-92A3-4B5F97C50D43}">
    <filterColumn colId="3">
      <filters>
        <filter val="Charter/Tribal"/>
      </filters>
    </filterColumn>
  </autoFilter>
  <sortState xmlns:xlrd2="http://schemas.microsoft.com/office/spreadsheetml/2017/richdata2" ref="A2:I30">
    <sortCondition ref="C1:C30"/>
  </sortState>
  <tableColumns count="9">
    <tableColumn id="1" xr3:uid="{84928E93-7480-4F08-91A6-5E0CD8893E38}" uniqueName="1" name="CCDDD" queryTableFieldId="1" dataDxfId="28"/>
    <tableColumn id="2" xr3:uid="{AC59F4DA-A1E7-4F4D-8B6B-BA5DB41B703E}" uniqueName="2" name="DistrictName" queryTableFieldId="2" dataDxfId="27"/>
    <tableColumn id="3" xr3:uid="{1C4A60BD-575B-4FE4-BA11-4CEEC045530D}" uniqueName="3" name="SendingLEAid" queryTableFieldId="3" dataDxfId="26"/>
    <tableColumn id="4" xr3:uid="{A5E8685C-666D-47D7-AB04-53248EBB2F17}" uniqueName="4" name="DistrictType" queryTableFieldId="4"/>
    <tableColumn id="5" xr3:uid="{AE31F690-E25C-4A52-82D0-B4F77192A8A1}" uniqueName="5" name="LEAid" queryTableFieldId="5" dataDxfId="25"/>
    <tableColumn id="7" xr3:uid="{FBC64837-6A24-40FC-B610-73D4EA702102}" uniqueName="7" name="IsNew" queryTableFieldId="7" dataDxfId="24"/>
    <tableColumn id="6" xr3:uid="{FE3213F8-C272-4CCB-BEF4-ED26B0444655}" uniqueName="6" name="IsExpanded" queryTableFieldId="6"/>
    <tableColumn id="8" xr3:uid="{35439A1B-AA2B-465B-BA50-AB0D3848EBB3}" uniqueName="8" name="poverty Multiplier" queryTableFieldId="8" dataDxfId="23" dataCellStyle="Percent"/>
    <tableColumn id="9" xr3:uid="{A2652D78-643D-4DD7-AC11-951305F2A8F8}" uniqueName="9" name="Enrollment multiplier" queryTableFieldId="9" dataDxfId="22" dataCellStyle="Percent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78EB4D-0B02-4958-A2CD-9C0465C6D110}" name="Split_Calc" displayName="Split_Calc" ref="A1:S20" tableType="queryTable" totalsRowShown="0">
  <autoFilter ref="A1:S20" xr:uid="{1F78EB4D-0B02-4958-A2CD-9C0465C6D110}"/>
  <tableColumns count="19">
    <tableColumn id="1" xr3:uid="{B5F7AECA-D304-4AA0-9256-EAF1EAAF3FB8}" uniqueName="1" name="CCDDD" queryTableFieldId="1" dataDxfId="21"/>
    <tableColumn id="2" xr3:uid="{F0F095AC-9FA8-4E0D-BA30-3344380C1A81}" uniqueName="2" name="Charter/Tribal" queryTableFieldId="2" dataDxfId="20"/>
    <tableColumn id="3" xr3:uid="{906E6615-D133-405E-BD4E-3F984256E693}" uniqueName="3" name="Sending District" queryTableFieldId="3" dataDxfId="19"/>
    <tableColumn id="4" xr3:uid="{6325567C-4292-4020-BCF1-FC929A17822A}" uniqueName="4" name="Sending District CCDDD" queryTableFieldId="4" dataDxfId="18"/>
    <tableColumn id="5" xr3:uid="{D50ED8F1-8953-43F7-9674-641552F905C3}" uniqueName="5" name="LEAID" queryTableFieldId="5" dataDxfId="17"/>
    <tableColumn id="6" xr3:uid="{EBC749D4-F587-4AC8-B50B-A19B79F97D81}" uniqueName="6" name="IsNew" queryTableFieldId="6" dataDxfId="16"/>
    <tableColumn id="7" xr3:uid="{3E36513F-9F0A-4B23-856E-2253CF24C489}" uniqueName="7" name="IsExpanded" queryTableFieldId="17"/>
    <tableColumn id="9" xr3:uid="{C6CFCFC5-6F6F-4E12-AAFA-1B59C2D2A5A2}" uniqueName="9" name="FRPL.TotalStudents" queryTableFieldId="24" dataDxfId="15"/>
    <tableColumn id="8" xr3:uid="{C6AEB83E-26F3-4A05-A748-DAF1F81B7EA3}" uniqueName="8" name="TotalStudentsInPoverty" queryTableFieldId="8"/>
    <tableColumn id="10" xr3:uid="{38589DCF-2BF0-465E-BA38-60719BF8C7F4}" uniqueName="10" name="SendingTotalStudents" queryTableFieldId="25" dataDxfId="14"/>
    <tableColumn id="11" xr3:uid="{2CD90EC8-1F91-4BAA-B3E5-9026141E4B1A}" uniqueName="11" name="SendingTotalStudentsInPoverty" queryTableFieldId="11"/>
    <tableColumn id="17" xr3:uid="{B646AC6A-1FBA-4D71-89E6-163042FDA3BF}" uniqueName="17" name="SendingLEAId" queryTableFieldId="16" dataDxfId="13"/>
    <tableColumn id="20" xr3:uid="{CEA2D6AD-8CCD-4A5E-97C6-3407F224D29D}" uniqueName="20" name="ChartersTotalStudents" queryTableFieldId="33"/>
    <tableColumn id="12" xr3:uid="{CCD2667B-D8AF-4FF0-A498-14B073BDFBA5}" uniqueName="12" name="Sum of Charters RFPL+Sending RFPL" queryTableFieldId="21"/>
    <tableColumn id="21" xr3:uid="{89EF60DC-7943-452D-8BCB-AFD3DD8D81A9}" uniqueName="21" name="Share of FRPL" queryTableFieldId="34"/>
    <tableColumn id="22" xr3:uid="{21596939-9B54-4755-AE20-2F8C5FA95FE1}" uniqueName="22" name="Sending Share of FRPL" queryTableFieldId="35"/>
    <tableColumn id="15" xr3:uid="{6D59F98D-E68E-4199-811D-FB83FFF7E405}" uniqueName="15" name="Sum of charter total students + Sending total students" queryTableFieldId="27" dataDxfId="12"/>
    <tableColumn id="16" xr3:uid="{777BCDC3-7ECB-48FB-A60F-78FCCD5ABA36}" uniqueName="16" name="Share of Total Enrollment" queryTableFieldId="28" dataDxfId="11"/>
    <tableColumn id="19" xr3:uid="{A2435003-4B7A-48D3-8533-2EF415147154}" uniqueName="19" name="Sending Share of Total enrollment" queryTableFieldId="29" dataDxfId="10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2274DD2-59B1-4CB3-9B41-A78345DA1C37}" name="Table_Prior_Year_Net_to_district" displayName="Table_Prior_Year_Net_to_district" ref="A1:O317" tableType="queryTable" totalsRowShown="0">
  <autoFilter ref="A1:O317" xr:uid="{82274DD2-59B1-4CB3-9B41-A78345DA1C37}"/>
  <tableColumns count="15">
    <tableColumn id="1" xr3:uid="{DCE06B1D-A5CE-48E6-9A85-26D61791F6A6}" uniqueName="1" name="LEAID" queryTableFieldId="1" dataDxfId="9"/>
    <tableColumn id="3" xr3:uid="{AB650683-BA3F-4873-AEF1-1DE352F24398}" uniqueName="3" name="LEANAME" queryTableFieldId="12" dataDxfId="8"/>
    <tableColumn id="15" xr3:uid="{97FFD9D6-49DD-4C8B-B34C-A2A995490BFE}" uniqueName="15" name="Basic Before State Reservations" queryTableFieldId="39"/>
    <tableColumn id="16" xr3:uid="{74EDC3A3-869E-449F-BC14-0C31B86C9408}" uniqueName="16" name="Concentration Before State Reservations" queryTableFieldId="40"/>
    <tableColumn id="17" xr3:uid="{F2E55405-4A04-4E2F-A81A-CDE376107E4F}" uniqueName="17" name="Targeted Before State Reservations" queryTableFieldId="41"/>
    <tableColumn id="18" xr3:uid="{78EA2C5B-F0CB-4FCC-86F7-728A88CC4D29}" uniqueName="18" name="EFIG Before State Reservations" queryTableFieldId="42"/>
    <tableColumn id="19" xr3:uid="{BA73CEB0-384A-479F-B4B1-0FA38E0FFECE}" uniqueName="19" name="Total Before State Reservations" queryTableFieldId="43"/>
    <tableColumn id="21" xr3:uid="{21E2C724-79EB-4C98-BE90-BF542E3A0512}" uniqueName="21" name="Allocation after School Improvemnt HH" queryTableFieldId="51"/>
    <tableColumn id="22" xr3:uid="{7FB5F679-E1C9-4D69-869F-E1420A5DBD46}" uniqueName="22" name="Net School Improvement taken out" queryTableFieldId="52"/>
    <tableColumn id="9" xr3:uid="{649F93AB-DB96-4519-985C-69EA02C21565}" uniqueName="9" name="State Admin" queryTableFieldId="20"/>
    <tableColumn id="11" xr3:uid="{8164232E-1C9C-411A-978D-49FA871FD551}" uniqueName="11" name="MOE Reduction" queryTableFieldId="22"/>
    <tableColumn id="4" xr3:uid="{5CBB891A-EF0F-47E0-90E9-8351AF936710}" uniqueName="4" name="NET TO DISTRICS" queryTableFieldId="13"/>
    <tableColumn id="10" xr3:uid="{B7C702E7-6B34-4E57-A669-3845D4AB1B1E}" uniqueName="10" name="Adj - 5-17 pop" queryTableFieldId="36"/>
    <tableColumn id="13" xr3:uid="{AF30A016-7E3F-48A3-A5DA-92815AD2810E}" uniqueName="13" name="Adj Total formula count" queryTableFieldId="37"/>
    <tableColumn id="14" xr3:uid="{2216A8A1-F4E2-4E1A-AFA2-945E879018C7}" uniqueName="14" name="Adj poverty percentage" queryTableFieldId="38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E9700-6A66-4A00-8318-0C5AB1792D97}">
  <dimension ref="B1:E24"/>
  <sheetViews>
    <sheetView tabSelected="1" workbookViewId="0">
      <selection activeCell="C2" sqref="C2:D2"/>
    </sheetView>
  </sheetViews>
  <sheetFormatPr defaultRowHeight="15" x14ac:dyDescent="0.25"/>
  <cols>
    <col min="1" max="1" width="7.7109375" customWidth="1"/>
    <col min="2" max="2" width="44.5703125" customWidth="1"/>
    <col min="3" max="3" width="43.5703125" customWidth="1"/>
    <col min="4" max="4" width="44.28515625" customWidth="1"/>
    <col min="5" max="5" width="35.85546875" customWidth="1"/>
  </cols>
  <sheetData>
    <row r="1" spans="2:5" ht="15.75" thickBot="1" x14ac:dyDescent="0.3"/>
    <row r="2" spans="2:5" ht="27" thickBot="1" x14ac:dyDescent="0.45">
      <c r="B2" s="70" t="s">
        <v>1400</v>
      </c>
      <c r="C2" s="83" t="s">
        <v>662</v>
      </c>
      <c r="D2" s="84"/>
      <c r="E2" t="s">
        <v>1401</v>
      </c>
    </row>
    <row r="3" spans="2:5" ht="23.25" x14ac:dyDescent="0.35">
      <c r="B3" s="70" t="s">
        <v>0</v>
      </c>
      <c r="C3" s="85" t="str">
        <f>VLOOKUP(District!$C$2,'State Reservations'!$B$4:$C$318,2,FALSE)</f>
        <v>14005</v>
      </c>
      <c r="D3" s="85"/>
    </row>
    <row r="4" spans="2:5" x14ac:dyDescent="0.25">
      <c r="B4" t="s">
        <v>1402</v>
      </c>
      <c r="C4" s="86" t="str">
        <f>VLOOKUP($C$2,'State Reservations'!$B$4:$AG$319,32,FALSE)</f>
        <v>5300030</v>
      </c>
      <c r="D4" s="86"/>
    </row>
    <row r="6" spans="2:5" ht="30" x14ac:dyDescent="0.25">
      <c r="C6" s="75" t="str" cm="1">
        <f t="array" ref="C6">Title[Column1]</f>
        <v>FINAL FISCAL YEAR 2025 TITLE I ALLOCATIONS FOR SCHOOL YEAR 2025-2026</v>
      </c>
      <c r="D6" s="75" t="s">
        <v>1414</v>
      </c>
    </row>
    <row r="7" spans="2:5" ht="15.75" x14ac:dyDescent="0.25">
      <c r="B7" s="70" t="s">
        <v>1403</v>
      </c>
      <c r="C7" s="71">
        <f>VLOOKUP($C$4,'Initial adjusted formula count'!$A$1:$J$317,8,FALSE)</f>
        <v>3496</v>
      </c>
      <c r="D7">
        <f>VLOOKUP($C$4,Table_Prior_Year_Net_to_district[#All],13,FALSE)</f>
        <v>3502</v>
      </c>
    </row>
    <row r="8" spans="2:5" ht="15.75" x14ac:dyDescent="0.25">
      <c r="B8" s="70" t="s">
        <v>1404</v>
      </c>
      <c r="C8" s="76">
        <f>VLOOKUP($C$4,'Initial adjusted formula count'!$A$1:$J$317,10,FALSE)</f>
        <v>704</v>
      </c>
      <c r="D8">
        <f>VLOOKUP($C$4,Table_Prior_Year_Net_to_district[#All],14,FALSE)</f>
        <v>820</v>
      </c>
    </row>
    <row r="9" spans="2:5" ht="15.75" x14ac:dyDescent="0.25">
      <c r="B9" s="70" t="s">
        <v>1405</v>
      </c>
      <c r="C9" s="31">
        <f>C8/C7</f>
        <v>0.20137299771167047</v>
      </c>
      <c r="D9" s="28">
        <f>VLOOKUP($C$4,Table_Prior_Year_Net_to_district[#All],15,FALSE)</f>
        <v>0.23415191319246101</v>
      </c>
    </row>
    <row r="10" spans="2:5" ht="15.75" x14ac:dyDescent="0.25">
      <c r="B10" s="70"/>
    </row>
    <row r="11" spans="2:5" ht="15.75" x14ac:dyDescent="0.25">
      <c r="B11" s="70" t="s">
        <v>1406</v>
      </c>
      <c r="C11" s="72">
        <f>VLOOKUP($C$3,'State Reservations'!$C$4:$AE$318,3,FALSE)</f>
        <v>634938.69375755591</v>
      </c>
      <c r="D11" s="72">
        <f>VLOOKUP($C$4,Table_Prior_Year_Net_to_district[#All],3,FALSE)</f>
        <v>705331.89897885255</v>
      </c>
    </row>
    <row r="12" spans="2:5" ht="15.75" x14ac:dyDescent="0.25">
      <c r="B12" s="70" t="s">
        <v>1407</v>
      </c>
      <c r="C12" s="72">
        <f>VLOOKUP($C$3,'State Reservations'!$C$4:$AE$318,4,FALSE)</f>
        <v>167295.88148094981</v>
      </c>
      <c r="D12" s="72">
        <f>VLOOKUP($C$4,Table_Prior_Year_Net_to_district[#All],4,FALSE)</f>
        <v>185512.81893637322</v>
      </c>
    </row>
    <row r="13" spans="2:5" ht="15.75" x14ac:dyDescent="0.25">
      <c r="B13" s="70" t="s">
        <v>1408</v>
      </c>
      <c r="C13" s="72">
        <f>VLOOKUP($C$3,'State Reservations'!$C$4:$AE$318,5,FALSE)</f>
        <v>392655.00860822888</v>
      </c>
      <c r="D13" s="72">
        <f>VLOOKUP($C$4,Table_Prior_Year_Net_to_district[#All],5,FALSE)</f>
        <v>436145.1946950042</v>
      </c>
    </row>
    <row r="14" spans="2:5" ht="15.75" x14ac:dyDescent="0.25">
      <c r="B14" s="70" t="s">
        <v>1409</v>
      </c>
      <c r="C14" s="72">
        <f>VLOOKUP($C$3,'State Reservations'!$C$4:$AE$318,6,FALSE)</f>
        <v>539711.39546573057</v>
      </c>
      <c r="D14" s="72">
        <f>VLOOKUP($C$4,Table_Prior_Year_Net_to_district[#All],6,FALSE)</f>
        <v>599494.1473809341</v>
      </c>
    </row>
    <row r="15" spans="2:5" ht="15.75" x14ac:dyDescent="0.25">
      <c r="B15" s="70"/>
      <c r="C15" s="72"/>
      <c r="D15" s="72"/>
    </row>
    <row r="16" spans="2:5" ht="15.75" x14ac:dyDescent="0.25">
      <c r="B16" s="70" t="s">
        <v>1410</v>
      </c>
      <c r="C16" s="72">
        <f>VLOOKUP($C$3,'State Reservations'!$C$4:$AE$318,7,FALSE)</f>
        <v>1734600.9793124651</v>
      </c>
      <c r="D16" s="72">
        <f>VLOOKUP($C$4,Table_Prior_Year_Net_to_district[#All],7,FALSE)</f>
        <v>1926484.0599911641</v>
      </c>
    </row>
    <row r="17" spans="2:4" ht="15.75" x14ac:dyDescent="0.25">
      <c r="B17" s="70"/>
      <c r="D17" s="72"/>
    </row>
    <row r="18" spans="2:4" ht="15.75" x14ac:dyDescent="0.25">
      <c r="B18" s="70" t="s">
        <v>1411</v>
      </c>
      <c r="C18" s="43">
        <f>$C$16-$C$19</f>
        <v>72010.957268084167</v>
      </c>
      <c r="D18" s="72">
        <f>VLOOKUP($C$4,Table_Prior_Year_Net_to_district[#All],9,FALSE)</f>
        <v>250965.03466172912</v>
      </c>
    </row>
    <row r="19" spans="2:4" ht="15.75" x14ac:dyDescent="0.25">
      <c r="B19" s="70" t="s">
        <v>1412</v>
      </c>
      <c r="C19" s="43">
        <f>VLOOKUP($C$3,'State Reservations'!$C$4:$AE$318,21,FALSE)</f>
        <v>1662590.0220443809</v>
      </c>
      <c r="D19" s="72">
        <f>VLOOKUP($C$4,Table_Prior_Year_Net_to_district[#All],8,FALSE)</f>
        <v>1675519.025329435</v>
      </c>
    </row>
    <row r="20" spans="2:4" ht="15.75" x14ac:dyDescent="0.25">
      <c r="B20" s="70"/>
      <c r="C20" s="43"/>
      <c r="D20" s="72"/>
    </row>
    <row r="21" spans="2:4" ht="15.75" x14ac:dyDescent="0.25">
      <c r="B21" s="70" t="s">
        <v>1286</v>
      </c>
      <c r="C21" s="72">
        <f>VLOOKUP($C$3,'State Reservations'!$C$4:$AE$318,23,FALSE)</f>
        <v>12734.146709012351</v>
      </c>
      <c r="D21" s="72">
        <f>VLOOKUP($C$4,Table_Prior_Year_Net_to_district[#All],10,FALSE)</f>
        <v>12929.003285054105</v>
      </c>
    </row>
    <row r="22" spans="2:4" ht="15.75" x14ac:dyDescent="0.25">
      <c r="B22" s="70" t="s">
        <v>1270</v>
      </c>
      <c r="C22" s="72">
        <f>VLOOKUP($C$3,'State Reservations'!$C$4:$AE$318,28,FALSE)</f>
        <v>0</v>
      </c>
      <c r="D22" s="72">
        <f>VLOOKUP($C$4,Table_Prior_Year_Net_to_district[#All],11,FALSE)</f>
        <v>0</v>
      </c>
    </row>
    <row r="23" spans="2:4" ht="15.75" thickBot="1" x14ac:dyDescent="0.3">
      <c r="D23" s="72"/>
    </row>
    <row r="24" spans="2:4" ht="24" thickBot="1" x14ac:dyDescent="0.4">
      <c r="B24" s="73" t="s">
        <v>1413</v>
      </c>
      <c r="C24" s="74">
        <f>C16-C18-C21-C22</f>
        <v>1649855.8753353686</v>
      </c>
      <c r="D24" s="74">
        <f>VLOOKUP($C$4,Table_Prior_Year_Net_to_district[#All],12,FALSE)</f>
        <v>1662590.0220443809</v>
      </c>
    </row>
  </sheetData>
  <mergeCells count="3">
    <mergeCell ref="C2:D2"/>
    <mergeCell ref="C3:D3"/>
    <mergeCell ref="C4:D4"/>
  </mergeCells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1DFAF89-1491-4DB0-9732-1C383FE3B107}">
          <x14:formula1>
            <xm:f>'State Reservations'!$B$4:$B$318</xm:f>
          </x14:formula1>
          <xm:sqref>C2:D2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EFF0D-1EFE-4C9C-9C20-84011A9B7705}">
  <sheetPr>
    <tabColor theme="4" tint="0.79998168889431442"/>
  </sheetPr>
  <dimension ref="A1:P316"/>
  <sheetViews>
    <sheetView workbookViewId="0">
      <selection activeCell="M13" sqref="M13:M296"/>
    </sheetView>
  </sheetViews>
  <sheetFormatPr defaultRowHeight="15" x14ac:dyDescent="0.25"/>
  <cols>
    <col min="1" max="1" width="8.28515625" bestFit="1" customWidth="1"/>
    <col min="2" max="2" width="47.5703125" bestFit="1" customWidth="1"/>
    <col min="3" max="3" width="15.42578125" bestFit="1" customWidth="1"/>
    <col min="4" max="4" width="10.85546875" bestFit="1" customWidth="1"/>
    <col min="5" max="5" width="10.42578125" bestFit="1" customWidth="1"/>
    <col min="6" max="6" width="12.28515625" bestFit="1" customWidth="1"/>
    <col min="7" max="7" width="11.42578125" bestFit="1" customWidth="1"/>
    <col min="8" max="8" width="15.5703125" bestFit="1" customWidth="1"/>
    <col min="9" max="9" width="13.5703125" bestFit="1" customWidth="1"/>
    <col min="10" max="10" width="24.42578125" bestFit="1" customWidth="1"/>
    <col min="11" max="11" width="25.7109375" bestFit="1" customWidth="1"/>
    <col min="12" max="12" width="24.42578125" bestFit="1" customWidth="1"/>
    <col min="13" max="13" width="17.42578125" bestFit="1" customWidth="1"/>
    <col min="14" max="14" width="18.5703125" bestFit="1" customWidth="1"/>
    <col min="15" max="15" width="20.140625" bestFit="1" customWidth="1"/>
    <col min="16" max="16" width="16.28515625" bestFit="1" customWidth="1"/>
    <col min="17" max="17" width="20.140625" bestFit="1" customWidth="1"/>
    <col min="18" max="18" width="16.28515625" customWidth="1"/>
    <col min="19" max="19" width="20.140625" bestFit="1" customWidth="1"/>
    <col min="20" max="20" width="16.28515625" bestFit="1" customWidth="1"/>
    <col min="21" max="21" width="20.85546875" bestFit="1" customWidth="1"/>
    <col min="22" max="22" width="17.42578125" bestFit="1" customWidth="1"/>
    <col min="23" max="23" width="18" bestFit="1" customWidth="1"/>
    <col min="24" max="24" width="28.28515625" bestFit="1" customWidth="1"/>
    <col min="25" max="25" width="20.5703125" bestFit="1" customWidth="1"/>
    <col min="26" max="26" width="15.140625" bestFit="1" customWidth="1"/>
    <col min="27" max="27" width="47.5703125" bestFit="1" customWidth="1"/>
    <col min="28" max="28" width="16.85546875" bestFit="1" customWidth="1"/>
    <col min="29" max="29" width="21.140625" bestFit="1" customWidth="1"/>
    <col min="30" max="30" width="38" bestFit="1" customWidth="1"/>
    <col min="31" max="31" width="24.28515625" bestFit="1" customWidth="1"/>
    <col min="32" max="32" width="15.5703125" bestFit="1" customWidth="1"/>
    <col min="33" max="33" width="13.5703125" bestFit="1" customWidth="1"/>
    <col min="34" max="35" width="24.42578125" bestFit="1" customWidth="1"/>
    <col min="36" max="36" width="17.42578125" bestFit="1" customWidth="1"/>
    <col min="37" max="37" width="18.5703125" bestFit="1" customWidth="1"/>
    <col min="38" max="38" width="20.140625" bestFit="1" customWidth="1"/>
    <col min="39" max="39" width="16.28515625" bestFit="1" customWidth="1"/>
    <col min="40" max="40" width="22.7109375" bestFit="1" customWidth="1"/>
  </cols>
  <sheetData>
    <row r="1" spans="1:16" x14ac:dyDescent="0.25">
      <c r="A1" t="s">
        <v>4</v>
      </c>
      <c r="B1" t="s">
        <v>1278</v>
      </c>
      <c r="C1" t="s">
        <v>1313</v>
      </c>
      <c r="D1" t="s">
        <v>1322</v>
      </c>
      <c r="E1" t="s">
        <v>1323</v>
      </c>
      <c r="F1" t="s">
        <v>1324</v>
      </c>
      <c r="G1" t="s">
        <v>1325</v>
      </c>
      <c r="H1" t="s">
        <v>1299</v>
      </c>
      <c r="I1" t="s">
        <v>1300</v>
      </c>
      <c r="J1" t="s">
        <v>1301</v>
      </c>
      <c r="K1" t="s">
        <v>1321</v>
      </c>
      <c r="L1" t="s">
        <v>1302</v>
      </c>
      <c r="M1" t="s">
        <v>1303</v>
      </c>
      <c r="N1" t="s">
        <v>1304</v>
      </c>
      <c r="O1" t="s">
        <v>1305</v>
      </c>
      <c r="P1" t="s">
        <v>1306</v>
      </c>
    </row>
    <row r="2" spans="1:16" x14ac:dyDescent="0.25">
      <c r="A2" t="s">
        <v>309</v>
      </c>
      <c r="B2" t="s">
        <v>1382</v>
      </c>
      <c r="D2">
        <v>0</v>
      </c>
      <c r="F2">
        <v>14</v>
      </c>
      <c r="G2">
        <v>0</v>
      </c>
      <c r="H2">
        <v>3496</v>
      </c>
      <c r="I2">
        <v>690</v>
      </c>
      <c r="J2">
        <v>704</v>
      </c>
      <c r="K2">
        <v>704</v>
      </c>
      <c r="L2">
        <v>0.20137299771167</v>
      </c>
      <c r="M2" t="s">
        <v>653</v>
      </c>
      <c r="N2" t="s">
        <v>653</v>
      </c>
      <c r="O2" t="s">
        <v>653</v>
      </c>
      <c r="P2" t="s">
        <v>653</v>
      </c>
    </row>
    <row r="3" spans="1:16" x14ac:dyDescent="0.25">
      <c r="A3" t="s">
        <v>260</v>
      </c>
      <c r="B3" t="s">
        <v>261</v>
      </c>
      <c r="D3">
        <v>0</v>
      </c>
      <c r="F3">
        <v>3</v>
      </c>
      <c r="G3">
        <v>0</v>
      </c>
      <c r="H3">
        <v>748</v>
      </c>
      <c r="I3">
        <v>66</v>
      </c>
      <c r="J3">
        <v>69</v>
      </c>
      <c r="K3">
        <v>69</v>
      </c>
      <c r="L3">
        <v>9.22459893048128E-2</v>
      </c>
      <c r="M3" t="s">
        <v>653</v>
      </c>
      <c r="N3" t="s">
        <v>88</v>
      </c>
      <c r="O3" t="s">
        <v>653</v>
      </c>
      <c r="P3" t="s">
        <v>653</v>
      </c>
    </row>
    <row r="4" spans="1:16" x14ac:dyDescent="0.25">
      <c r="A4" t="s">
        <v>262</v>
      </c>
      <c r="B4" t="s">
        <v>263</v>
      </c>
      <c r="D4">
        <v>0</v>
      </c>
      <c r="F4">
        <v>0</v>
      </c>
      <c r="G4">
        <v>0</v>
      </c>
      <c r="H4">
        <v>99</v>
      </c>
      <c r="I4">
        <v>18</v>
      </c>
      <c r="J4">
        <v>18</v>
      </c>
      <c r="K4">
        <v>18</v>
      </c>
      <c r="L4">
        <v>0.18181818181818199</v>
      </c>
      <c r="M4" t="s">
        <v>653</v>
      </c>
      <c r="N4" t="s">
        <v>653</v>
      </c>
      <c r="O4" t="s">
        <v>653</v>
      </c>
      <c r="P4" t="s">
        <v>653</v>
      </c>
    </row>
    <row r="5" spans="1:16" x14ac:dyDescent="0.25">
      <c r="A5" t="s">
        <v>89</v>
      </c>
      <c r="B5" t="s">
        <v>90</v>
      </c>
      <c r="D5">
        <v>0</v>
      </c>
      <c r="F5">
        <v>8</v>
      </c>
      <c r="G5">
        <v>0</v>
      </c>
      <c r="H5">
        <v>2787</v>
      </c>
      <c r="I5">
        <v>225</v>
      </c>
      <c r="J5">
        <v>233</v>
      </c>
      <c r="K5">
        <v>233</v>
      </c>
      <c r="L5">
        <v>8.3602439899533601E-2</v>
      </c>
      <c r="M5" t="s">
        <v>653</v>
      </c>
      <c r="N5" t="s">
        <v>88</v>
      </c>
      <c r="O5" t="s">
        <v>653</v>
      </c>
      <c r="P5" t="s">
        <v>653</v>
      </c>
    </row>
    <row r="6" spans="1:16" x14ac:dyDescent="0.25">
      <c r="A6" t="s">
        <v>91</v>
      </c>
      <c r="B6" t="s">
        <v>92</v>
      </c>
      <c r="D6">
        <v>0</v>
      </c>
      <c r="F6">
        <v>10</v>
      </c>
      <c r="G6">
        <v>0</v>
      </c>
      <c r="H6">
        <v>5958</v>
      </c>
      <c r="I6">
        <v>533</v>
      </c>
      <c r="J6">
        <v>543</v>
      </c>
      <c r="K6">
        <v>543</v>
      </c>
      <c r="L6">
        <v>9.1137965760322195E-2</v>
      </c>
      <c r="M6" t="s">
        <v>653</v>
      </c>
      <c r="N6" t="s">
        <v>88</v>
      </c>
      <c r="O6" t="s">
        <v>653</v>
      </c>
      <c r="P6" t="s">
        <v>653</v>
      </c>
    </row>
    <row r="7" spans="1:16" x14ac:dyDescent="0.25">
      <c r="A7" t="s">
        <v>310</v>
      </c>
      <c r="B7" t="s">
        <v>311</v>
      </c>
      <c r="D7">
        <v>0</v>
      </c>
      <c r="F7">
        <v>0</v>
      </c>
      <c r="G7">
        <v>0</v>
      </c>
      <c r="H7">
        <v>489</v>
      </c>
      <c r="I7">
        <v>28</v>
      </c>
      <c r="J7">
        <v>28</v>
      </c>
      <c r="K7">
        <v>28</v>
      </c>
      <c r="L7">
        <v>5.72597137014315E-2</v>
      </c>
      <c r="M7" t="s">
        <v>653</v>
      </c>
      <c r="N7" t="s">
        <v>88</v>
      </c>
      <c r="O7" t="s">
        <v>653</v>
      </c>
      <c r="P7" t="s">
        <v>653</v>
      </c>
    </row>
    <row r="8" spans="1:16" x14ac:dyDescent="0.25">
      <c r="A8" t="s">
        <v>312</v>
      </c>
      <c r="B8" t="s">
        <v>313</v>
      </c>
      <c r="D8">
        <v>0</v>
      </c>
      <c r="F8">
        <v>41</v>
      </c>
      <c r="G8">
        <v>0</v>
      </c>
      <c r="H8">
        <v>18383</v>
      </c>
      <c r="I8">
        <v>2769</v>
      </c>
      <c r="J8">
        <v>2810</v>
      </c>
      <c r="K8">
        <v>2810</v>
      </c>
      <c r="L8">
        <v>0.152858619376598</v>
      </c>
      <c r="M8" t="s">
        <v>653</v>
      </c>
      <c r="N8" t="s">
        <v>653</v>
      </c>
      <c r="O8" t="s">
        <v>653</v>
      </c>
      <c r="P8" t="s">
        <v>653</v>
      </c>
    </row>
    <row r="9" spans="1:16" x14ac:dyDescent="0.25">
      <c r="A9" t="s">
        <v>93</v>
      </c>
      <c r="B9" t="s">
        <v>94</v>
      </c>
      <c r="D9">
        <v>0</v>
      </c>
      <c r="F9">
        <v>0</v>
      </c>
      <c r="G9">
        <v>0</v>
      </c>
      <c r="H9">
        <v>3972</v>
      </c>
      <c r="I9">
        <v>150</v>
      </c>
      <c r="J9">
        <v>150</v>
      </c>
      <c r="K9">
        <v>150</v>
      </c>
      <c r="L9">
        <v>3.7764350453172203E-2</v>
      </c>
      <c r="M9" t="s">
        <v>653</v>
      </c>
      <c r="N9" t="s">
        <v>88</v>
      </c>
      <c r="O9" t="s">
        <v>88</v>
      </c>
      <c r="P9" t="s">
        <v>88</v>
      </c>
    </row>
    <row r="10" spans="1:16" x14ac:dyDescent="0.25">
      <c r="A10" t="s">
        <v>95</v>
      </c>
      <c r="B10" t="s">
        <v>96</v>
      </c>
      <c r="D10">
        <v>0</v>
      </c>
      <c r="F10">
        <v>40</v>
      </c>
      <c r="G10">
        <v>0</v>
      </c>
      <c r="H10">
        <v>15940</v>
      </c>
      <c r="I10">
        <v>860</v>
      </c>
      <c r="J10">
        <v>900</v>
      </c>
      <c r="K10">
        <v>900</v>
      </c>
      <c r="L10">
        <v>5.6461731493099097E-2</v>
      </c>
      <c r="M10" t="s">
        <v>653</v>
      </c>
      <c r="N10" t="s">
        <v>88</v>
      </c>
      <c r="O10" t="s">
        <v>653</v>
      </c>
      <c r="P10" t="s">
        <v>653</v>
      </c>
    </row>
    <row r="11" spans="1:16" x14ac:dyDescent="0.25">
      <c r="A11" t="s">
        <v>97</v>
      </c>
      <c r="B11" t="s">
        <v>98</v>
      </c>
      <c r="D11">
        <v>0</v>
      </c>
      <c r="F11">
        <v>11</v>
      </c>
      <c r="G11">
        <v>0</v>
      </c>
      <c r="H11">
        <v>22497</v>
      </c>
      <c r="I11">
        <v>1453</v>
      </c>
      <c r="J11">
        <v>1464</v>
      </c>
      <c r="K11">
        <v>1464</v>
      </c>
      <c r="L11">
        <v>6.5075343379117204E-2</v>
      </c>
      <c r="M11" t="s">
        <v>653</v>
      </c>
      <c r="N11" t="s">
        <v>88</v>
      </c>
      <c r="O11" t="s">
        <v>653</v>
      </c>
      <c r="P11" t="s">
        <v>653</v>
      </c>
    </row>
    <row r="12" spans="1:16" x14ac:dyDescent="0.25">
      <c r="A12" t="s">
        <v>56</v>
      </c>
      <c r="B12" t="s">
        <v>1384</v>
      </c>
      <c r="C12" t="s">
        <v>56</v>
      </c>
      <c r="D12">
        <v>0</v>
      </c>
      <c r="F12">
        <v>24</v>
      </c>
      <c r="G12">
        <v>0</v>
      </c>
      <c r="H12">
        <v>12453.452416324388</v>
      </c>
      <c r="I12">
        <v>1314.7350763535394</v>
      </c>
      <c r="J12">
        <v>1338.7350763535394</v>
      </c>
      <c r="K12">
        <v>1347</v>
      </c>
      <c r="L12">
        <v>0.107499112021232</v>
      </c>
      <c r="M12" t="s">
        <v>653</v>
      </c>
      <c r="N12" t="s">
        <v>88</v>
      </c>
      <c r="O12" t="s">
        <v>653</v>
      </c>
      <c r="P12" t="s">
        <v>653</v>
      </c>
    </row>
    <row r="13" spans="1:16" x14ac:dyDescent="0.25">
      <c r="A13" t="s">
        <v>99</v>
      </c>
      <c r="B13" t="s">
        <v>100</v>
      </c>
      <c r="D13">
        <v>0</v>
      </c>
      <c r="F13">
        <v>0</v>
      </c>
      <c r="G13">
        <v>0</v>
      </c>
      <c r="H13">
        <v>16</v>
      </c>
      <c r="I13">
        <v>2</v>
      </c>
      <c r="J13">
        <v>2</v>
      </c>
      <c r="K13">
        <v>2</v>
      </c>
      <c r="L13">
        <v>0.125</v>
      </c>
      <c r="M13" t="s">
        <v>88</v>
      </c>
      <c r="N13" t="s">
        <v>88</v>
      </c>
      <c r="O13" t="s">
        <v>88</v>
      </c>
      <c r="P13" t="s">
        <v>88</v>
      </c>
    </row>
    <row r="14" spans="1:16" x14ac:dyDescent="0.25">
      <c r="A14" t="s">
        <v>264</v>
      </c>
      <c r="B14" t="s">
        <v>265</v>
      </c>
      <c r="D14">
        <v>0</v>
      </c>
      <c r="F14">
        <v>69</v>
      </c>
      <c r="G14">
        <v>0</v>
      </c>
      <c r="H14">
        <v>24321</v>
      </c>
      <c r="I14">
        <v>2440</v>
      </c>
      <c r="J14">
        <v>2509</v>
      </c>
      <c r="K14">
        <v>2509</v>
      </c>
      <c r="L14">
        <v>0.103161876567575</v>
      </c>
      <c r="M14" t="s">
        <v>653</v>
      </c>
      <c r="N14" t="s">
        <v>88</v>
      </c>
      <c r="O14" t="s">
        <v>653</v>
      </c>
      <c r="P14" t="s">
        <v>653</v>
      </c>
    </row>
    <row r="15" spans="1:16" x14ac:dyDescent="0.25">
      <c r="A15" t="s">
        <v>314</v>
      </c>
      <c r="B15" t="s">
        <v>315</v>
      </c>
      <c r="D15">
        <v>0</v>
      </c>
      <c r="F15">
        <v>0</v>
      </c>
      <c r="G15">
        <v>0</v>
      </c>
      <c r="H15">
        <v>79</v>
      </c>
      <c r="I15">
        <v>9</v>
      </c>
      <c r="J15">
        <v>9</v>
      </c>
      <c r="K15">
        <v>9</v>
      </c>
      <c r="L15">
        <v>0.113924050632911</v>
      </c>
      <c r="M15" t="s">
        <v>88</v>
      </c>
      <c r="N15" t="s">
        <v>88</v>
      </c>
      <c r="O15" t="s">
        <v>88</v>
      </c>
      <c r="P15" t="s">
        <v>88</v>
      </c>
    </row>
    <row r="16" spans="1:16" x14ac:dyDescent="0.25">
      <c r="A16" t="s">
        <v>316</v>
      </c>
      <c r="B16" t="s">
        <v>317</v>
      </c>
      <c r="D16">
        <v>0</v>
      </c>
      <c r="F16">
        <v>5</v>
      </c>
      <c r="G16">
        <v>0</v>
      </c>
      <c r="H16">
        <v>2479</v>
      </c>
      <c r="I16">
        <v>302</v>
      </c>
      <c r="J16">
        <v>307</v>
      </c>
      <c r="K16">
        <v>307</v>
      </c>
      <c r="L16">
        <v>0.123840258168616</v>
      </c>
      <c r="M16" t="s">
        <v>653</v>
      </c>
      <c r="N16" t="s">
        <v>88</v>
      </c>
      <c r="O16" t="s">
        <v>653</v>
      </c>
      <c r="P16" t="s">
        <v>653</v>
      </c>
    </row>
    <row r="17" spans="1:16" x14ac:dyDescent="0.25">
      <c r="A17" t="s">
        <v>318</v>
      </c>
      <c r="B17" t="s">
        <v>319</v>
      </c>
      <c r="D17">
        <v>0</v>
      </c>
      <c r="F17">
        <v>2</v>
      </c>
      <c r="G17">
        <v>0</v>
      </c>
      <c r="H17">
        <v>218</v>
      </c>
      <c r="I17">
        <v>22</v>
      </c>
      <c r="J17">
        <v>24</v>
      </c>
      <c r="K17">
        <v>24</v>
      </c>
      <c r="L17">
        <v>0.11009174311926601</v>
      </c>
      <c r="M17" t="s">
        <v>653</v>
      </c>
      <c r="N17" t="s">
        <v>88</v>
      </c>
      <c r="O17" t="s">
        <v>653</v>
      </c>
      <c r="P17" t="s">
        <v>653</v>
      </c>
    </row>
    <row r="18" spans="1:16" x14ac:dyDescent="0.25">
      <c r="A18" t="s">
        <v>55</v>
      </c>
      <c r="B18" t="s">
        <v>9</v>
      </c>
      <c r="C18" t="s">
        <v>55</v>
      </c>
      <c r="D18">
        <v>0</v>
      </c>
      <c r="F18">
        <v>15</v>
      </c>
      <c r="G18">
        <v>0</v>
      </c>
      <c r="H18">
        <v>4858.0760630864461</v>
      </c>
      <c r="I18">
        <v>772.3934303844718</v>
      </c>
      <c r="J18">
        <v>787.3934303844718</v>
      </c>
      <c r="K18">
        <v>869</v>
      </c>
      <c r="L18">
        <v>0.16207927174450701</v>
      </c>
      <c r="M18" t="s">
        <v>653</v>
      </c>
      <c r="N18" t="s">
        <v>653</v>
      </c>
      <c r="O18" t="s">
        <v>653</v>
      </c>
      <c r="P18" t="s">
        <v>653</v>
      </c>
    </row>
    <row r="19" spans="1:16" x14ac:dyDescent="0.25">
      <c r="A19" t="s">
        <v>320</v>
      </c>
      <c r="B19" t="s">
        <v>321</v>
      </c>
      <c r="D19">
        <v>0</v>
      </c>
      <c r="F19">
        <v>0</v>
      </c>
      <c r="G19">
        <v>0</v>
      </c>
      <c r="H19">
        <v>949</v>
      </c>
      <c r="I19">
        <v>242</v>
      </c>
      <c r="J19">
        <v>242</v>
      </c>
      <c r="K19">
        <v>242</v>
      </c>
      <c r="L19">
        <v>0.255005268703899</v>
      </c>
      <c r="M19" t="s">
        <v>653</v>
      </c>
      <c r="N19" t="s">
        <v>653</v>
      </c>
      <c r="O19" t="s">
        <v>653</v>
      </c>
      <c r="P19" t="s">
        <v>653</v>
      </c>
    </row>
    <row r="20" spans="1:16" x14ac:dyDescent="0.25">
      <c r="A20" t="s">
        <v>322</v>
      </c>
      <c r="B20" t="s">
        <v>323</v>
      </c>
      <c r="D20">
        <v>0</v>
      </c>
      <c r="F20">
        <v>0</v>
      </c>
      <c r="G20">
        <v>0</v>
      </c>
      <c r="H20">
        <v>682</v>
      </c>
      <c r="I20">
        <v>155</v>
      </c>
      <c r="J20">
        <v>155</v>
      </c>
      <c r="K20">
        <v>155</v>
      </c>
      <c r="L20">
        <v>0.22727272727272699</v>
      </c>
      <c r="M20" t="s">
        <v>653</v>
      </c>
      <c r="N20" t="s">
        <v>653</v>
      </c>
      <c r="O20" t="s">
        <v>653</v>
      </c>
      <c r="P20" t="s">
        <v>653</v>
      </c>
    </row>
    <row r="21" spans="1:16" x14ac:dyDescent="0.25">
      <c r="A21" t="s">
        <v>324</v>
      </c>
      <c r="B21" t="s">
        <v>325</v>
      </c>
      <c r="D21">
        <v>0</v>
      </c>
      <c r="F21">
        <v>1</v>
      </c>
      <c r="G21">
        <v>0</v>
      </c>
      <c r="H21">
        <v>112</v>
      </c>
      <c r="I21">
        <v>25</v>
      </c>
      <c r="J21">
        <v>26</v>
      </c>
      <c r="K21">
        <v>26</v>
      </c>
      <c r="L21">
        <v>0.23214285714285701</v>
      </c>
      <c r="M21" t="s">
        <v>653</v>
      </c>
      <c r="N21" t="s">
        <v>653</v>
      </c>
      <c r="O21" t="s">
        <v>653</v>
      </c>
      <c r="P21" t="s">
        <v>653</v>
      </c>
    </row>
    <row r="22" spans="1:16" x14ac:dyDescent="0.25">
      <c r="A22" t="s">
        <v>326</v>
      </c>
      <c r="B22" t="s">
        <v>327</v>
      </c>
      <c r="D22">
        <v>0</v>
      </c>
      <c r="F22">
        <v>11</v>
      </c>
      <c r="G22">
        <v>0</v>
      </c>
      <c r="H22">
        <v>3667</v>
      </c>
      <c r="I22">
        <v>390</v>
      </c>
      <c r="J22">
        <v>401</v>
      </c>
      <c r="K22">
        <v>401</v>
      </c>
      <c r="L22">
        <v>0.109353695118626</v>
      </c>
      <c r="M22" t="s">
        <v>653</v>
      </c>
      <c r="N22" t="s">
        <v>88</v>
      </c>
      <c r="O22" t="s">
        <v>653</v>
      </c>
      <c r="P22" t="s">
        <v>653</v>
      </c>
    </row>
    <row r="23" spans="1:16" x14ac:dyDescent="0.25">
      <c r="A23" t="s">
        <v>101</v>
      </c>
      <c r="B23" t="s">
        <v>102</v>
      </c>
      <c r="D23">
        <v>0</v>
      </c>
      <c r="F23">
        <v>8</v>
      </c>
      <c r="G23">
        <v>0</v>
      </c>
      <c r="H23">
        <v>7463</v>
      </c>
      <c r="I23">
        <v>263</v>
      </c>
      <c r="J23">
        <v>271</v>
      </c>
      <c r="K23">
        <v>271</v>
      </c>
      <c r="L23">
        <v>3.6312474876055198E-2</v>
      </c>
      <c r="M23" t="s">
        <v>653</v>
      </c>
      <c r="N23" t="s">
        <v>88</v>
      </c>
      <c r="O23" t="s">
        <v>88</v>
      </c>
      <c r="P23" t="s">
        <v>88</v>
      </c>
    </row>
    <row r="24" spans="1:16" x14ac:dyDescent="0.25">
      <c r="A24" t="s">
        <v>328</v>
      </c>
      <c r="B24" t="s">
        <v>329</v>
      </c>
      <c r="D24">
        <v>0</v>
      </c>
      <c r="F24">
        <v>14</v>
      </c>
      <c r="G24">
        <v>0</v>
      </c>
      <c r="H24">
        <v>545</v>
      </c>
      <c r="I24">
        <v>81</v>
      </c>
      <c r="J24">
        <v>95</v>
      </c>
      <c r="K24">
        <v>95</v>
      </c>
      <c r="L24">
        <v>0.17431192660550501</v>
      </c>
      <c r="M24" t="s">
        <v>653</v>
      </c>
      <c r="N24" t="s">
        <v>653</v>
      </c>
      <c r="O24" t="s">
        <v>653</v>
      </c>
      <c r="P24" t="s">
        <v>653</v>
      </c>
    </row>
    <row r="25" spans="1:16" x14ac:dyDescent="0.25">
      <c r="A25" t="s">
        <v>103</v>
      </c>
      <c r="B25" t="s">
        <v>104</v>
      </c>
      <c r="D25">
        <v>0</v>
      </c>
      <c r="F25">
        <v>0</v>
      </c>
      <c r="G25">
        <v>0</v>
      </c>
      <c r="H25">
        <v>209</v>
      </c>
      <c r="I25">
        <v>4</v>
      </c>
      <c r="J25">
        <v>4</v>
      </c>
      <c r="K25">
        <v>4</v>
      </c>
      <c r="L25">
        <v>1.9138755980861202E-2</v>
      </c>
      <c r="M25" t="s">
        <v>88</v>
      </c>
      <c r="N25" t="s">
        <v>88</v>
      </c>
      <c r="O25" t="s">
        <v>88</v>
      </c>
      <c r="P25" t="s">
        <v>88</v>
      </c>
    </row>
    <row r="26" spans="1:16" x14ac:dyDescent="0.25">
      <c r="A26" t="s">
        <v>330</v>
      </c>
      <c r="B26" t="s">
        <v>331</v>
      </c>
      <c r="D26">
        <v>0</v>
      </c>
      <c r="F26">
        <v>1</v>
      </c>
      <c r="G26">
        <v>0</v>
      </c>
      <c r="H26">
        <v>1565</v>
      </c>
      <c r="I26">
        <v>153</v>
      </c>
      <c r="J26">
        <v>154</v>
      </c>
      <c r="K26">
        <v>154</v>
      </c>
      <c r="L26">
        <v>9.8402555910543102E-2</v>
      </c>
      <c r="M26" t="s">
        <v>653</v>
      </c>
      <c r="N26" t="s">
        <v>88</v>
      </c>
      <c r="O26" t="s">
        <v>653</v>
      </c>
      <c r="P26" t="s">
        <v>653</v>
      </c>
    </row>
    <row r="27" spans="1:16" x14ac:dyDescent="0.25">
      <c r="A27" t="s">
        <v>332</v>
      </c>
      <c r="B27" t="s">
        <v>333</v>
      </c>
      <c r="D27">
        <v>0</v>
      </c>
      <c r="F27">
        <v>7</v>
      </c>
      <c r="G27">
        <v>0</v>
      </c>
      <c r="H27">
        <v>1507</v>
      </c>
      <c r="I27">
        <v>159</v>
      </c>
      <c r="J27">
        <v>166</v>
      </c>
      <c r="K27">
        <v>166</v>
      </c>
      <c r="L27">
        <v>0.110152621101526</v>
      </c>
      <c r="M27" t="s">
        <v>653</v>
      </c>
      <c r="N27" t="s">
        <v>88</v>
      </c>
      <c r="O27" t="s">
        <v>653</v>
      </c>
      <c r="P27" t="s">
        <v>653</v>
      </c>
    </row>
    <row r="28" spans="1:16" x14ac:dyDescent="0.25">
      <c r="A28" t="s">
        <v>105</v>
      </c>
      <c r="B28" t="s">
        <v>106</v>
      </c>
      <c r="D28">
        <v>0</v>
      </c>
      <c r="F28">
        <v>6</v>
      </c>
      <c r="G28">
        <v>0</v>
      </c>
      <c r="H28">
        <v>1661</v>
      </c>
      <c r="I28">
        <v>188</v>
      </c>
      <c r="J28">
        <v>194</v>
      </c>
      <c r="K28">
        <v>194</v>
      </c>
      <c r="L28">
        <v>0.116797110174594</v>
      </c>
      <c r="M28" t="s">
        <v>653</v>
      </c>
      <c r="N28" t="s">
        <v>88</v>
      </c>
      <c r="O28" t="s">
        <v>653</v>
      </c>
      <c r="P28" t="s">
        <v>653</v>
      </c>
    </row>
    <row r="29" spans="1:16" x14ac:dyDescent="0.25">
      <c r="A29" t="s">
        <v>66</v>
      </c>
      <c r="B29" t="s">
        <v>1395</v>
      </c>
      <c r="C29" t="s">
        <v>55</v>
      </c>
      <c r="D29">
        <v>0</v>
      </c>
      <c r="E29">
        <v>0</v>
      </c>
      <c r="F29">
        <v>0</v>
      </c>
      <c r="G29">
        <v>0</v>
      </c>
      <c r="H29">
        <v>616.82810940307536</v>
      </c>
      <c r="I29">
        <v>65.667786487495334</v>
      </c>
      <c r="J29">
        <v>65.667786487495334</v>
      </c>
      <c r="K29">
        <v>0</v>
      </c>
      <c r="L29">
        <v>0.10646043117432499</v>
      </c>
      <c r="M29" t="s">
        <v>653</v>
      </c>
      <c r="N29" t="s">
        <v>88</v>
      </c>
      <c r="O29" t="s">
        <v>653</v>
      </c>
      <c r="P29" t="s">
        <v>653</v>
      </c>
    </row>
    <row r="30" spans="1:16" x14ac:dyDescent="0.25">
      <c r="A30" t="s">
        <v>334</v>
      </c>
      <c r="B30" t="s">
        <v>335</v>
      </c>
      <c r="D30">
        <v>0</v>
      </c>
      <c r="F30">
        <v>0</v>
      </c>
      <c r="G30">
        <v>0</v>
      </c>
      <c r="H30">
        <v>94</v>
      </c>
      <c r="I30">
        <v>24</v>
      </c>
      <c r="J30">
        <v>24</v>
      </c>
      <c r="K30">
        <v>24</v>
      </c>
      <c r="L30">
        <v>0.25531914893617003</v>
      </c>
      <c r="M30" t="s">
        <v>653</v>
      </c>
      <c r="N30" t="s">
        <v>653</v>
      </c>
      <c r="O30" t="s">
        <v>653</v>
      </c>
      <c r="P30" t="s">
        <v>653</v>
      </c>
    </row>
    <row r="31" spans="1:16" x14ac:dyDescent="0.25">
      <c r="A31" t="s">
        <v>107</v>
      </c>
      <c r="B31" t="s">
        <v>108</v>
      </c>
      <c r="D31">
        <v>0</v>
      </c>
      <c r="F31">
        <v>24</v>
      </c>
      <c r="G31">
        <v>0</v>
      </c>
      <c r="H31">
        <v>11141</v>
      </c>
      <c r="I31">
        <v>763</v>
      </c>
      <c r="J31">
        <v>787</v>
      </c>
      <c r="K31">
        <v>787</v>
      </c>
      <c r="L31">
        <v>7.0639978457948102E-2</v>
      </c>
      <c r="M31" t="s">
        <v>653</v>
      </c>
      <c r="N31" t="s">
        <v>88</v>
      </c>
      <c r="O31" t="s">
        <v>653</v>
      </c>
      <c r="P31" t="s">
        <v>653</v>
      </c>
    </row>
    <row r="32" spans="1:16" x14ac:dyDescent="0.25">
      <c r="A32" t="s">
        <v>266</v>
      </c>
      <c r="B32" t="s">
        <v>267</v>
      </c>
      <c r="D32">
        <v>0</v>
      </c>
      <c r="F32">
        <v>74</v>
      </c>
      <c r="G32">
        <v>0</v>
      </c>
      <c r="H32">
        <v>17143</v>
      </c>
      <c r="I32">
        <v>1391</v>
      </c>
      <c r="J32">
        <v>1465</v>
      </c>
      <c r="K32">
        <v>1465</v>
      </c>
      <c r="L32">
        <v>8.5457621186490099E-2</v>
      </c>
      <c r="M32" t="s">
        <v>653</v>
      </c>
      <c r="N32" t="s">
        <v>88</v>
      </c>
      <c r="O32" t="s">
        <v>653</v>
      </c>
      <c r="P32" t="s">
        <v>653</v>
      </c>
    </row>
    <row r="33" spans="1:16" x14ac:dyDescent="0.25">
      <c r="A33" t="s">
        <v>336</v>
      </c>
      <c r="B33" t="s">
        <v>337</v>
      </c>
      <c r="D33">
        <v>0</v>
      </c>
      <c r="F33">
        <v>19</v>
      </c>
      <c r="G33">
        <v>0</v>
      </c>
      <c r="H33">
        <v>4334</v>
      </c>
      <c r="I33">
        <v>840</v>
      </c>
      <c r="J33">
        <v>859</v>
      </c>
      <c r="K33">
        <v>859</v>
      </c>
      <c r="L33">
        <v>0.19820027688048</v>
      </c>
      <c r="M33" t="s">
        <v>653</v>
      </c>
      <c r="N33" t="s">
        <v>653</v>
      </c>
      <c r="O33" t="s">
        <v>653</v>
      </c>
      <c r="P33" t="s">
        <v>653</v>
      </c>
    </row>
    <row r="34" spans="1:16" x14ac:dyDescent="0.25">
      <c r="A34" t="s">
        <v>338</v>
      </c>
      <c r="B34" t="s">
        <v>339</v>
      </c>
      <c r="D34">
        <v>0</v>
      </c>
      <c r="F34">
        <v>7</v>
      </c>
      <c r="G34">
        <v>0</v>
      </c>
      <c r="H34">
        <v>2894</v>
      </c>
      <c r="I34">
        <v>394</v>
      </c>
      <c r="J34">
        <v>401</v>
      </c>
      <c r="K34">
        <v>401</v>
      </c>
      <c r="L34">
        <v>0.138562543192813</v>
      </c>
      <c r="M34" t="s">
        <v>653</v>
      </c>
      <c r="N34" t="s">
        <v>88</v>
      </c>
      <c r="O34" t="s">
        <v>653</v>
      </c>
      <c r="P34" t="s">
        <v>653</v>
      </c>
    </row>
    <row r="35" spans="1:16" x14ac:dyDescent="0.25">
      <c r="A35" t="s">
        <v>268</v>
      </c>
      <c r="B35" t="s">
        <v>269</v>
      </c>
      <c r="D35">
        <v>0</v>
      </c>
      <c r="F35">
        <v>22</v>
      </c>
      <c r="G35">
        <v>0</v>
      </c>
      <c r="H35">
        <v>6286</v>
      </c>
      <c r="I35">
        <v>697</v>
      </c>
      <c r="J35">
        <v>719</v>
      </c>
      <c r="K35">
        <v>719</v>
      </c>
      <c r="L35">
        <v>0.114381164492523</v>
      </c>
      <c r="M35" t="s">
        <v>653</v>
      </c>
      <c r="N35" t="s">
        <v>88</v>
      </c>
      <c r="O35" t="s">
        <v>653</v>
      </c>
      <c r="P35" t="s">
        <v>653</v>
      </c>
    </row>
    <row r="36" spans="1:16" x14ac:dyDescent="0.25">
      <c r="A36" t="s">
        <v>340</v>
      </c>
      <c r="B36" t="s">
        <v>341</v>
      </c>
      <c r="D36">
        <v>0</v>
      </c>
      <c r="F36">
        <v>1</v>
      </c>
      <c r="G36">
        <v>0</v>
      </c>
      <c r="H36">
        <v>945</v>
      </c>
      <c r="I36">
        <v>152</v>
      </c>
      <c r="J36">
        <v>153</v>
      </c>
      <c r="K36">
        <v>153</v>
      </c>
      <c r="L36">
        <v>0.161904761904762</v>
      </c>
      <c r="M36" t="s">
        <v>653</v>
      </c>
      <c r="N36" t="s">
        <v>653</v>
      </c>
      <c r="O36" t="s">
        <v>653</v>
      </c>
      <c r="P36" t="s">
        <v>653</v>
      </c>
    </row>
    <row r="37" spans="1:16" x14ac:dyDescent="0.25">
      <c r="A37" t="s">
        <v>109</v>
      </c>
      <c r="B37" t="s">
        <v>110</v>
      </c>
      <c r="D37">
        <v>0</v>
      </c>
      <c r="F37">
        <v>4</v>
      </c>
      <c r="G37">
        <v>0</v>
      </c>
      <c r="H37">
        <v>1118</v>
      </c>
      <c r="I37">
        <v>148</v>
      </c>
      <c r="J37">
        <v>152</v>
      </c>
      <c r="K37">
        <v>152</v>
      </c>
      <c r="L37">
        <v>0.135957066189624</v>
      </c>
      <c r="M37" t="s">
        <v>653</v>
      </c>
      <c r="N37" t="s">
        <v>88</v>
      </c>
      <c r="O37" t="s">
        <v>653</v>
      </c>
      <c r="P37" t="s">
        <v>653</v>
      </c>
    </row>
    <row r="38" spans="1:16" x14ac:dyDescent="0.25">
      <c r="A38" t="s">
        <v>342</v>
      </c>
      <c r="B38" t="s">
        <v>343</v>
      </c>
      <c r="D38">
        <v>0</v>
      </c>
      <c r="F38">
        <v>17</v>
      </c>
      <c r="G38">
        <v>0</v>
      </c>
      <c r="H38">
        <v>2773</v>
      </c>
      <c r="I38">
        <v>507</v>
      </c>
      <c r="J38">
        <v>524</v>
      </c>
      <c r="K38">
        <v>524</v>
      </c>
      <c r="L38">
        <v>0.18896501983411501</v>
      </c>
      <c r="M38" t="s">
        <v>653</v>
      </c>
      <c r="N38" t="s">
        <v>653</v>
      </c>
      <c r="O38" t="s">
        <v>653</v>
      </c>
      <c r="P38" t="s">
        <v>653</v>
      </c>
    </row>
    <row r="39" spans="1:16" x14ac:dyDescent="0.25">
      <c r="A39" t="s">
        <v>344</v>
      </c>
      <c r="B39" t="s">
        <v>345</v>
      </c>
      <c r="D39">
        <v>0</v>
      </c>
      <c r="F39">
        <v>6</v>
      </c>
      <c r="G39">
        <v>0</v>
      </c>
      <c r="H39">
        <v>1078</v>
      </c>
      <c r="I39">
        <v>152</v>
      </c>
      <c r="J39">
        <v>158</v>
      </c>
      <c r="K39">
        <v>158</v>
      </c>
      <c r="L39">
        <v>0.14656771799628901</v>
      </c>
      <c r="M39" t="s">
        <v>653</v>
      </c>
      <c r="N39" t="s">
        <v>88</v>
      </c>
      <c r="O39" t="s">
        <v>653</v>
      </c>
      <c r="P39" t="s">
        <v>653</v>
      </c>
    </row>
    <row r="40" spans="1:16" x14ac:dyDescent="0.25">
      <c r="A40" t="s">
        <v>346</v>
      </c>
      <c r="B40" t="s">
        <v>347</v>
      </c>
      <c r="D40">
        <v>0</v>
      </c>
      <c r="F40">
        <v>45</v>
      </c>
      <c r="G40">
        <v>0</v>
      </c>
      <c r="H40">
        <v>13789</v>
      </c>
      <c r="I40">
        <v>2049</v>
      </c>
      <c r="J40">
        <v>2094</v>
      </c>
      <c r="K40">
        <v>2094</v>
      </c>
      <c r="L40">
        <v>0.151860178403075</v>
      </c>
      <c r="M40" t="s">
        <v>653</v>
      </c>
      <c r="N40" t="s">
        <v>653</v>
      </c>
      <c r="O40" t="s">
        <v>653</v>
      </c>
      <c r="P40" t="s">
        <v>653</v>
      </c>
    </row>
    <row r="41" spans="1:16" x14ac:dyDescent="0.25">
      <c r="A41" t="s">
        <v>270</v>
      </c>
      <c r="B41" t="s">
        <v>271</v>
      </c>
      <c r="D41">
        <v>0</v>
      </c>
      <c r="F41">
        <v>0</v>
      </c>
      <c r="G41">
        <v>0</v>
      </c>
      <c r="H41">
        <v>622</v>
      </c>
      <c r="I41">
        <v>61</v>
      </c>
      <c r="J41">
        <v>61</v>
      </c>
      <c r="K41">
        <v>61</v>
      </c>
      <c r="L41">
        <v>9.8070739549839206E-2</v>
      </c>
      <c r="M41" t="s">
        <v>653</v>
      </c>
      <c r="N41" t="s">
        <v>88</v>
      </c>
      <c r="O41" t="s">
        <v>653</v>
      </c>
      <c r="P41" t="s">
        <v>653</v>
      </c>
    </row>
    <row r="42" spans="1:16" x14ac:dyDescent="0.25">
      <c r="A42" t="s">
        <v>348</v>
      </c>
      <c r="B42" t="s">
        <v>349</v>
      </c>
      <c r="D42">
        <v>0</v>
      </c>
      <c r="F42">
        <v>15</v>
      </c>
      <c r="G42">
        <v>0</v>
      </c>
      <c r="H42">
        <v>2043</v>
      </c>
      <c r="I42">
        <v>277</v>
      </c>
      <c r="J42">
        <v>292</v>
      </c>
      <c r="K42">
        <v>292</v>
      </c>
      <c r="L42">
        <v>0.14292706803720001</v>
      </c>
      <c r="M42" t="s">
        <v>653</v>
      </c>
      <c r="N42" t="s">
        <v>88</v>
      </c>
      <c r="O42" t="s">
        <v>653</v>
      </c>
      <c r="P42" t="s">
        <v>653</v>
      </c>
    </row>
    <row r="43" spans="1:16" x14ac:dyDescent="0.25">
      <c r="A43" t="s">
        <v>350</v>
      </c>
      <c r="B43" t="s">
        <v>351</v>
      </c>
      <c r="D43">
        <v>0</v>
      </c>
      <c r="F43">
        <v>0</v>
      </c>
      <c r="G43">
        <v>0</v>
      </c>
      <c r="H43">
        <v>250</v>
      </c>
      <c r="I43">
        <v>9</v>
      </c>
      <c r="J43">
        <v>9</v>
      </c>
      <c r="K43">
        <v>9</v>
      </c>
      <c r="L43">
        <v>3.5999999999999997E-2</v>
      </c>
      <c r="M43" t="s">
        <v>88</v>
      </c>
      <c r="N43" t="s">
        <v>88</v>
      </c>
      <c r="O43" t="s">
        <v>88</v>
      </c>
      <c r="P43" t="s">
        <v>88</v>
      </c>
    </row>
    <row r="44" spans="1:16" x14ac:dyDescent="0.25">
      <c r="A44" t="s">
        <v>352</v>
      </c>
      <c r="B44" t="s">
        <v>1387</v>
      </c>
      <c r="D44">
        <v>0</v>
      </c>
      <c r="F44">
        <v>1</v>
      </c>
      <c r="G44">
        <v>0</v>
      </c>
      <c r="H44">
        <v>206</v>
      </c>
      <c r="I44">
        <v>37</v>
      </c>
      <c r="J44">
        <v>38</v>
      </c>
      <c r="K44">
        <v>38</v>
      </c>
      <c r="L44">
        <v>0.18446601941747601</v>
      </c>
      <c r="M44" t="s">
        <v>653</v>
      </c>
      <c r="N44" t="s">
        <v>653</v>
      </c>
      <c r="O44" t="s">
        <v>653</v>
      </c>
      <c r="P44" t="s">
        <v>653</v>
      </c>
    </row>
    <row r="45" spans="1:16" x14ac:dyDescent="0.25">
      <c r="A45" t="s">
        <v>353</v>
      </c>
      <c r="B45" t="s">
        <v>1388</v>
      </c>
      <c r="D45">
        <v>0</v>
      </c>
      <c r="F45">
        <v>0</v>
      </c>
      <c r="G45">
        <v>0</v>
      </c>
      <c r="H45">
        <v>759</v>
      </c>
      <c r="I45">
        <v>105</v>
      </c>
      <c r="J45">
        <v>105</v>
      </c>
      <c r="K45">
        <v>105</v>
      </c>
      <c r="L45">
        <v>0.138339920948617</v>
      </c>
      <c r="M45" t="s">
        <v>653</v>
      </c>
      <c r="N45" t="s">
        <v>88</v>
      </c>
      <c r="O45" t="s">
        <v>653</v>
      </c>
      <c r="P45" t="s">
        <v>653</v>
      </c>
    </row>
    <row r="46" spans="1:16" x14ac:dyDescent="0.25">
      <c r="A46" t="s">
        <v>354</v>
      </c>
      <c r="B46" t="s">
        <v>355</v>
      </c>
      <c r="D46">
        <v>0</v>
      </c>
      <c r="F46">
        <v>11</v>
      </c>
      <c r="G46">
        <v>0</v>
      </c>
      <c r="H46">
        <v>2012</v>
      </c>
      <c r="I46">
        <v>340</v>
      </c>
      <c r="J46">
        <v>351</v>
      </c>
      <c r="K46">
        <v>351</v>
      </c>
      <c r="L46">
        <v>0.17445328031809099</v>
      </c>
      <c r="M46" t="s">
        <v>653</v>
      </c>
      <c r="N46" t="s">
        <v>653</v>
      </c>
      <c r="O46" t="s">
        <v>653</v>
      </c>
      <c r="P46" t="s">
        <v>653</v>
      </c>
    </row>
    <row r="47" spans="1:16" x14ac:dyDescent="0.25">
      <c r="A47" t="s">
        <v>356</v>
      </c>
      <c r="B47" t="s">
        <v>357</v>
      </c>
      <c r="D47">
        <v>0</v>
      </c>
      <c r="F47">
        <v>2</v>
      </c>
      <c r="G47">
        <v>0</v>
      </c>
      <c r="H47">
        <v>706</v>
      </c>
      <c r="I47">
        <v>97</v>
      </c>
      <c r="J47">
        <v>99</v>
      </c>
      <c r="K47">
        <v>99</v>
      </c>
      <c r="L47">
        <v>0.140226628895184</v>
      </c>
      <c r="M47" t="s">
        <v>653</v>
      </c>
      <c r="N47" t="s">
        <v>88</v>
      </c>
      <c r="O47" t="s">
        <v>653</v>
      </c>
      <c r="P47" t="s">
        <v>653</v>
      </c>
    </row>
    <row r="48" spans="1:16" x14ac:dyDescent="0.25">
      <c r="A48" t="s">
        <v>111</v>
      </c>
      <c r="B48" t="s">
        <v>112</v>
      </c>
      <c r="D48">
        <v>0</v>
      </c>
      <c r="F48">
        <v>1</v>
      </c>
      <c r="G48">
        <v>0</v>
      </c>
      <c r="H48">
        <v>534</v>
      </c>
      <c r="I48">
        <v>45</v>
      </c>
      <c r="J48">
        <v>46</v>
      </c>
      <c r="K48">
        <v>46</v>
      </c>
      <c r="L48">
        <v>8.6142322097378293E-2</v>
      </c>
      <c r="M48" t="s">
        <v>653</v>
      </c>
      <c r="N48" t="s">
        <v>88</v>
      </c>
      <c r="O48" t="s">
        <v>653</v>
      </c>
      <c r="P48" t="s">
        <v>653</v>
      </c>
    </row>
    <row r="49" spans="1:16" x14ac:dyDescent="0.25">
      <c r="A49" t="s">
        <v>113</v>
      </c>
      <c r="B49" t="s">
        <v>114</v>
      </c>
      <c r="D49">
        <v>0</v>
      </c>
      <c r="F49">
        <v>4</v>
      </c>
      <c r="G49">
        <v>0</v>
      </c>
      <c r="H49">
        <v>315</v>
      </c>
      <c r="I49">
        <v>33</v>
      </c>
      <c r="J49">
        <v>37</v>
      </c>
      <c r="K49">
        <v>37</v>
      </c>
      <c r="L49">
        <v>0.117460317460317</v>
      </c>
      <c r="M49" t="s">
        <v>653</v>
      </c>
      <c r="N49" t="s">
        <v>88</v>
      </c>
      <c r="O49" t="s">
        <v>653</v>
      </c>
      <c r="P49" t="s">
        <v>653</v>
      </c>
    </row>
    <row r="50" spans="1:16" x14ac:dyDescent="0.25">
      <c r="A50" t="s">
        <v>358</v>
      </c>
      <c r="B50" t="s">
        <v>359</v>
      </c>
      <c r="D50">
        <v>0</v>
      </c>
      <c r="F50">
        <v>0</v>
      </c>
      <c r="G50">
        <v>0</v>
      </c>
      <c r="H50">
        <v>248</v>
      </c>
      <c r="I50">
        <v>49</v>
      </c>
      <c r="J50">
        <v>49</v>
      </c>
      <c r="K50">
        <v>49</v>
      </c>
      <c r="L50">
        <v>0.19758064516129001</v>
      </c>
      <c r="M50" t="s">
        <v>653</v>
      </c>
      <c r="N50" t="s">
        <v>653</v>
      </c>
      <c r="O50" t="s">
        <v>653</v>
      </c>
      <c r="P50" t="s">
        <v>653</v>
      </c>
    </row>
    <row r="51" spans="1:16" x14ac:dyDescent="0.25">
      <c r="A51" t="s">
        <v>360</v>
      </c>
      <c r="B51" t="s">
        <v>361</v>
      </c>
      <c r="D51">
        <v>0</v>
      </c>
      <c r="F51">
        <v>0</v>
      </c>
      <c r="G51">
        <v>0</v>
      </c>
      <c r="H51">
        <v>1077</v>
      </c>
      <c r="I51">
        <v>110</v>
      </c>
      <c r="J51">
        <v>110</v>
      </c>
      <c r="K51">
        <v>110</v>
      </c>
      <c r="L51">
        <v>0.10213556174559001</v>
      </c>
      <c r="M51" t="s">
        <v>653</v>
      </c>
      <c r="N51" t="s">
        <v>88</v>
      </c>
      <c r="O51" t="s">
        <v>653</v>
      </c>
      <c r="P51" t="s">
        <v>653</v>
      </c>
    </row>
    <row r="52" spans="1:16" x14ac:dyDescent="0.25">
      <c r="A52" t="s">
        <v>362</v>
      </c>
      <c r="B52" t="s">
        <v>363</v>
      </c>
      <c r="D52">
        <v>0</v>
      </c>
      <c r="F52">
        <v>6</v>
      </c>
      <c r="G52">
        <v>0</v>
      </c>
      <c r="H52">
        <v>342</v>
      </c>
      <c r="I52">
        <v>56</v>
      </c>
      <c r="J52">
        <v>62</v>
      </c>
      <c r="K52">
        <v>62</v>
      </c>
      <c r="L52">
        <v>0.181286549707602</v>
      </c>
      <c r="M52" t="s">
        <v>653</v>
      </c>
      <c r="N52" t="s">
        <v>653</v>
      </c>
      <c r="O52" t="s">
        <v>653</v>
      </c>
      <c r="P52" t="s">
        <v>653</v>
      </c>
    </row>
    <row r="53" spans="1:16" x14ac:dyDescent="0.25">
      <c r="A53" t="s">
        <v>364</v>
      </c>
      <c r="B53" t="s">
        <v>365</v>
      </c>
      <c r="D53">
        <v>0</v>
      </c>
      <c r="F53">
        <v>3</v>
      </c>
      <c r="G53">
        <v>0</v>
      </c>
      <c r="H53">
        <v>114</v>
      </c>
      <c r="I53">
        <v>14</v>
      </c>
      <c r="J53">
        <v>17</v>
      </c>
      <c r="K53">
        <v>17</v>
      </c>
      <c r="L53">
        <v>0.14912280701754399</v>
      </c>
      <c r="M53" t="s">
        <v>653</v>
      </c>
      <c r="N53" t="s">
        <v>88</v>
      </c>
      <c r="O53" t="s">
        <v>653</v>
      </c>
      <c r="P53" t="s">
        <v>653</v>
      </c>
    </row>
    <row r="54" spans="1:16" x14ac:dyDescent="0.25">
      <c r="A54" t="s">
        <v>366</v>
      </c>
      <c r="B54" t="s">
        <v>367</v>
      </c>
      <c r="D54">
        <v>0</v>
      </c>
      <c r="F54">
        <v>0</v>
      </c>
      <c r="G54">
        <v>0</v>
      </c>
      <c r="H54">
        <v>165</v>
      </c>
      <c r="I54">
        <v>55</v>
      </c>
      <c r="J54">
        <v>55</v>
      </c>
      <c r="K54">
        <v>55</v>
      </c>
      <c r="L54">
        <v>0.33333333333333298</v>
      </c>
      <c r="M54" t="s">
        <v>653</v>
      </c>
      <c r="N54" t="s">
        <v>653</v>
      </c>
      <c r="O54" t="s">
        <v>653</v>
      </c>
      <c r="P54" t="s">
        <v>653</v>
      </c>
    </row>
    <row r="55" spans="1:16" x14ac:dyDescent="0.25">
      <c r="A55" t="s">
        <v>368</v>
      </c>
      <c r="B55" t="s">
        <v>369</v>
      </c>
      <c r="D55">
        <v>0</v>
      </c>
      <c r="F55">
        <v>2</v>
      </c>
      <c r="G55">
        <v>0</v>
      </c>
      <c r="H55">
        <v>323</v>
      </c>
      <c r="I55">
        <v>73</v>
      </c>
      <c r="J55">
        <v>75</v>
      </c>
      <c r="K55">
        <v>75</v>
      </c>
      <c r="L55">
        <v>0.232198142414861</v>
      </c>
      <c r="M55" t="s">
        <v>653</v>
      </c>
      <c r="N55" t="s">
        <v>653</v>
      </c>
      <c r="O55" t="s">
        <v>653</v>
      </c>
      <c r="P55" t="s">
        <v>653</v>
      </c>
    </row>
    <row r="56" spans="1:16" x14ac:dyDescent="0.25">
      <c r="A56" t="s">
        <v>115</v>
      </c>
      <c r="B56" t="s">
        <v>116</v>
      </c>
      <c r="D56">
        <v>0</v>
      </c>
      <c r="F56">
        <v>0</v>
      </c>
      <c r="G56">
        <v>0</v>
      </c>
      <c r="H56">
        <v>113</v>
      </c>
      <c r="I56">
        <v>3</v>
      </c>
      <c r="J56">
        <v>3</v>
      </c>
      <c r="K56">
        <v>3</v>
      </c>
      <c r="L56">
        <v>2.6548672566371698E-2</v>
      </c>
      <c r="M56" t="s">
        <v>88</v>
      </c>
      <c r="N56" t="s">
        <v>88</v>
      </c>
      <c r="O56" t="s">
        <v>88</v>
      </c>
      <c r="P56" t="s">
        <v>88</v>
      </c>
    </row>
    <row r="57" spans="1:16" x14ac:dyDescent="0.25">
      <c r="A57" t="s">
        <v>272</v>
      </c>
      <c r="B57" t="s">
        <v>273</v>
      </c>
      <c r="D57">
        <v>0</v>
      </c>
      <c r="F57">
        <v>1</v>
      </c>
      <c r="G57">
        <v>0</v>
      </c>
      <c r="H57">
        <v>506</v>
      </c>
      <c r="I57">
        <v>44</v>
      </c>
      <c r="J57">
        <v>45</v>
      </c>
      <c r="K57">
        <v>45</v>
      </c>
      <c r="L57">
        <v>8.89328063241107E-2</v>
      </c>
      <c r="M57" t="s">
        <v>653</v>
      </c>
      <c r="N57" t="s">
        <v>88</v>
      </c>
      <c r="O57" t="s">
        <v>653</v>
      </c>
      <c r="P57" t="s">
        <v>653</v>
      </c>
    </row>
    <row r="58" spans="1:16" x14ac:dyDescent="0.25">
      <c r="A58" t="s">
        <v>370</v>
      </c>
      <c r="B58" t="s">
        <v>371</v>
      </c>
      <c r="D58">
        <v>0</v>
      </c>
      <c r="F58">
        <v>1</v>
      </c>
      <c r="G58">
        <v>0</v>
      </c>
      <c r="H58">
        <v>588</v>
      </c>
      <c r="I58">
        <v>81</v>
      </c>
      <c r="J58">
        <v>82</v>
      </c>
      <c r="K58">
        <v>82</v>
      </c>
      <c r="L58">
        <v>0.13945578231292499</v>
      </c>
      <c r="M58" t="s">
        <v>653</v>
      </c>
      <c r="N58" t="s">
        <v>88</v>
      </c>
      <c r="O58" t="s">
        <v>653</v>
      </c>
      <c r="P58" t="s">
        <v>653</v>
      </c>
    </row>
    <row r="59" spans="1:16" x14ac:dyDescent="0.25">
      <c r="A59" t="s">
        <v>372</v>
      </c>
      <c r="B59" t="s">
        <v>373</v>
      </c>
      <c r="D59">
        <v>0</v>
      </c>
      <c r="F59">
        <v>2</v>
      </c>
      <c r="G59">
        <v>0</v>
      </c>
      <c r="H59">
        <v>517</v>
      </c>
      <c r="I59">
        <v>91</v>
      </c>
      <c r="J59">
        <v>93</v>
      </c>
      <c r="K59">
        <v>93</v>
      </c>
      <c r="L59">
        <v>0.179883945841393</v>
      </c>
      <c r="M59" t="s">
        <v>653</v>
      </c>
      <c r="N59" t="s">
        <v>653</v>
      </c>
      <c r="O59" t="s">
        <v>653</v>
      </c>
      <c r="P59" t="s">
        <v>653</v>
      </c>
    </row>
    <row r="60" spans="1:16" x14ac:dyDescent="0.25">
      <c r="A60" t="s">
        <v>374</v>
      </c>
      <c r="B60" t="s">
        <v>375</v>
      </c>
      <c r="D60">
        <v>0</v>
      </c>
      <c r="F60">
        <v>11</v>
      </c>
      <c r="G60">
        <v>0</v>
      </c>
      <c r="H60">
        <v>2387</v>
      </c>
      <c r="I60">
        <v>226</v>
      </c>
      <c r="J60">
        <v>237</v>
      </c>
      <c r="K60">
        <v>237</v>
      </c>
      <c r="L60">
        <v>9.9287808965228305E-2</v>
      </c>
      <c r="M60" t="s">
        <v>653</v>
      </c>
      <c r="N60" t="s">
        <v>88</v>
      </c>
      <c r="O60" t="s">
        <v>653</v>
      </c>
      <c r="P60" t="s">
        <v>653</v>
      </c>
    </row>
    <row r="61" spans="1:16" x14ac:dyDescent="0.25">
      <c r="A61" t="s">
        <v>274</v>
      </c>
      <c r="B61" t="s">
        <v>275</v>
      </c>
      <c r="D61">
        <v>0</v>
      </c>
      <c r="F61">
        <v>2</v>
      </c>
      <c r="G61">
        <v>0</v>
      </c>
      <c r="H61">
        <v>2293</v>
      </c>
      <c r="I61">
        <v>100</v>
      </c>
      <c r="J61">
        <v>102</v>
      </c>
      <c r="K61">
        <v>102</v>
      </c>
      <c r="L61">
        <v>4.4483209768861803E-2</v>
      </c>
      <c r="M61" t="s">
        <v>653</v>
      </c>
      <c r="N61" t="s">
        <v>88</v>
      </c>
      <c r="O61" t="s">
        <v>88</v>
      </c>
      <c r="P61" t="s">
        <v>88</v>
      </c>
    </row>
    <row r="62" spans="1:16" x14ac:dyDescent="0.25">
      <c r="A62" t="s">
        <v>376</v>
      </c>
      <c r="B62" t="s">
        <v>377</v>
      </c>
      <c r="D62">
        <v>0</v>
      </c>
      <c r="F62">
        <v>0</v>
      </c>
      <c r="G62">
        <v>0</v>
      </c>
      <c r="H62">
        <v>75</v>
      </c>
      <c r="I62">
        <v>6</v>
      </c>
      <c r="J62">
        <v>6</v>
      </c>
      <c r="K62">
        <v>6</v>
      </c>
      <c r="L62">
        <v>0.08</v>
      </c>
      <c r="M62" t="s">
        <v>88</v>
      </c>
      <c r="N62" t="s">
        <v>88</v>
      </c>
      <c r="O62" t="s">
        <v>88</v>
      </c>
      <c r="P62" t="s">
        <v>88</v>
      </c>
    </row>
    <row r="63" spans="1:16" x14ac:dyDescent="0.25">
      <c r="A63" t="s">
        <v>378</v>
      </c>
      <c r="B63" t="s">
        <v>379</v>
      </c>
      <c r="D63">
        <v>0</v>
      </c>
      <c r="F63">
        <v>22</v>
      </c>
      <c r="G63">
        <v>0</v>
      </c>
      <c r="H63">
        <v>4713</v>
      </c>
      <c r="I63">
        <v>574</v>
      </c>
      <c r="J63">
        <v>596</v>
      </c>
      <c r="K63">
        <v>596</v>
      </c>
      <c r="L63">
        <v>0.126458731169107</v>
      </c>
      <c r="M63" t="s">
        <v>653</v>
      </c>
      <c r="N63" t="s">
        <v>88</v>
      </c>
      <c r="O63" t="s">
        <v>653</v>
      </c>
      <c r="P63" t="s">
        <v>653</v>
      </c>
    </row>
    <row r="64" spans="1:16" x14ac:dyDescent="0.25">
      <c r="A64" t="s">
        <v>380</v>
      </c>
      <c r="B64" t="s">
        <v>381</v>
      </c>
      <c r="D64">
        <v>0</v>
      </c>
      <c r="F64">
        <v>9</v>
      </c>
      <c r="G64">
        <v>0</v>
      </c>
      <c r="H64">
        <v>3558</v>
      </c>
      <c r="I64">
        <v>481</v>
      </c>
      <c r="J64">
        <v>490</v>
      </c>
      <c r="K64">
        <v>490</v>
      </c>
      <c r="L64">
        <v>0.137717818999438</v>
      </c>
      <c r="M64" t="s">
        <v>653</v>
      </c>
      <c r="N64" t="s">
        <v>88</v>
      </c>
      <c r="O64" t="s">
        <v>653</v>
      </c>
      <c r="P64" t="s">
        <v>653</v>
      </c>
    </row>
    <row r="65" spans="1:16" x14ac:dyDescent="0.25">
      <c r="A65" t="s">
        <v>382</v>
      </c>
      <c r="B65" t="s">
        <v>383</v>
      </c>
      <c r="D65">
        <v>0</v>
      </c>
      <c r="F65">
        <v>23</v>
      </c>
      <c r="G65">
        <v>0</v>
      </c>
      <c r="H65">
        <v>6388</v>
      </c>
      <c r="I65">
        <v>863</v>
      </c>
      <c r="J65">
        <v>886</v>
      </c>
      <c r="K65">
        <v>886</v>
      </c>
      <c r="L65">
        <v>0.138697557921102</v>
      </c>
      <c r="M65" t="s">
        <v>653</v>
      </c>
      <c r="N65" t="s">
        <v>88</v>
      </c>
      <c r="O65" t="s">
        <v>653</v>
      </c>
      <c r="P65" t="s">
        <v>653</v>
      </c>
    </row>
    <row r="66" spans="1:16" x14ac:dyDescent="0.25">
      <c r="A66" t="s">
        <v>117</v>
      </c>
      <c r="B66" t="s">
        <v>118</v>
      </c>
      <c r="D66">
        <v>0</v>
      </c>
      <c r="F66">
        <v>0</v>
      </c>
      <c r="G66">
        <v>0</v>
      </c>
      <c r="H66">
        <v>157</v>
      </c>
      <c r="I66">
        <v>21</v>
      </c>
      <c r="J66">
        <v>21</v>
      </c>
      <c r="K66">
        <v>21</v>
      </c>
      <c r="L66">
        <v>0.13375796178343899</v>
      </c>
      <c r="M66" t="s">
        <v>653</v>
      </c>
      <c r="N66" t="s">
        <v>88</v>
      </c>
      <c r="O66" t="s">
        <v>653</v>
      </c>
      <c r="P66" t="s">
        <v>653</v>
      </c>
    </row>
    <row r="67" spans="1:16" x14ac:dyDescent="0.25">
      <c r="A67" t="s">
        <v>119</v>
      </c>
      <c r="B67" t="s">
        <v>120</v>
      </c>
      <c r="D67">
        <v>0</v>
      </c>
      <c r="F67">
        <v>7</v>
      </c>
      <c r="G67">
        <v>0</v>
      </c>
      <c r="H67">
        <v>2222</v>
      </c>
      <c r="I67">
        <v>150</v>
      </c>
      <c r="J67">
        <v>157</v>
      </c>
      <c r="K67">
        <v>157</v>
      </c>
      <c r="L67">
        <v>7.0657065706570599E-2</v>
      </c>
      <c r="M67" t="s">
        <v>653</v>
      </c>
      <c r="N67" t="s">
        <v>88</v>
      </c>
      <c r="O67" t="s">
        <v>653</v>
      </c>
      <c r="P67" t="s">
        <v>653</v>
      </c>
    </row>
    <row r="68" spans="1:16" x14ac:dyDescent="0.25">
      <c r="A68" t="s">
        <v>121</v>
      </c>
      <c r="B68" t="s">
        <v>122</v>
      </c>
      <c r="D68">
        <v>0</v>
      </c>
      <c r="F68">
        <v>15</v>
      </c>
      <c r="G68">
        <v>0</v>
      </c>
      <c r="H68">
        <v>24425</v>
      </c>
      <c r="I68">
        <v>2342</v>
      </c>
      <c r="J68">
        <v>2357</v>
      </c>
      <c r="K68">
        <v>2357</v>
      </c>
      <c r="L68">
        <v>9.6499488229273303E-2</v>
      </c>
      <c r="M68" t="s">
        <v>653</v>
      </c>
      <c r="N68" t="s">
        <v>88</v>
      </c>
      <c r="O68" t="s">
        <v>653</v>
      </c>
      <c r="P68" t="s">
        <v>653</v>
      </c>
    </row>
    <row r="69" spans="1:16" x14ac:dyDescent="0.25">
      <c r="A69" t="s">
        <v>384</v>
      </c>
      <c r="B69" t="s">
        <v>385</v>
      </c>
      <c r="D69">
        <v>0</v>
      </c>
      <c r="F69">
        <v>12</v>
      </c>
      <c r="G69">
        <v>0</v>
      </c>
      <c r="H69">
        <v>3597</v>
      </c>
      <c r="I69">
        <v>433</v>
      </c>
      <c r="J69">
        <v>445</v>
      </c>
      <c r="K69">
        <v>445</v>
      </c>
      <c r="L69">
        <v>0.12371420628301399</v>
      </c>
      <c r="M69" t="s">
        <v>653</v>
      </c>
      <c r="N69" t="s">
        <v>88</v>
      </c>
      <c r="O69" t="s">
        <v>653</v>
      </c>
      <c r="P69" t="s">
        <v>653</v>
      </c>
    </row>
    <row r="70" spans="1:16" x14ac:dyDescent="0.25">
      <c r="A70" t="s">
        <v>386</v>
      </c>
      <c r="B70" t="s">
        <v>387</v>
      </c>
      <c r="D70">
        <v>0</v>
      </c>
      <c r="F70">
        <v>4</v>
      </c>
      <c r="G70">
        <v>0</v>
      </c>
      <c r="H70">
        <v>1593</v>
      </c>
      <c r="I70">
        <v>241</v>
      </c>
      <c r="J70">
        <v>245</v>
      </c>
      <c r="K70">
        <v>245</v>
      </c>
      <c r="L70">
        <v>0.15379786566227199</v>
      </c>
      <c r="M70" t="s">
        <v>653</v>
      </c>
      <c r="N70" t="s">
        <v>653</v>
      </c>
      <c r="O70" t="s">
        <v>653</v>
      </c>
      <c r="P70" t="s">
        <v>653</v>
      </c>
    </row>
    <row r="71" spans="1:16" x14ac:dyDescent="0.25">
      <c r="A71" t="s">
        <v>388</v>
      </c>
      <c r="B71" t="s">
        <v>389</v>
      </c>
      <c r="D71">
        <v>0</v>
      </c>
      <c r="F71">
        <v>0</v>
      </c>
      <c r="G71">
        <v>0</v>
      </c>
      <c r="H71">
        <v>90</v>
      </c>
      <c r="I71">
        <v>22</v>
      </c>
      <c r="J71">
        <v>22</v>
      </c>
      <c r="K71">
        <v>22</v>
      </c>
      <c r="L71">
        <v>0.24444444444444399</v>
      </c>
      <c r="M71" t="s">
        <v>653</v>
      </c>
      <c r="N71" t="s">
        <v>653</v>
      </c>
      <c r="O71" t="s">
        <v>653</v>
      </c>
      <c r="P71" t="s">
        <v>653</v>
      </c>
    </row>
    <row r="72" spans="1:16" x14ac:dyDescent="0.25">
      <c r="A72" t="s">
        <v>390</v>
      </c>
      <c r="B72" t="s">
        <v>391</v>
      </c>
      <c r="D72">
        <v>0</v>
      </c>
      <c r="F72">
        <v>5</v>
      </c>
      <c r="G72">
        <v>0</v>
      </c>
      <c r="H72">
        <v>409</v>
      </c>
      <c r="I72">
        <v>65</v>
      </c>
      <c r="J72">
        <v>70</v>
      </c>
      <c r="K72">
        <v>70</v>
      </c>
      <c r="L72">
        <v>0.17114914425427899</v>
      </c>
      <c r="M72" t="s">
        <v>653</v>
      </c>
      <c r="N72" t="s">
        <v>653</v>
      </c>
      <c r="O72" t="s">
        <v>653</v>
      </c>
      <c r="P72" t="s">
        <v>653</v>
      </c>
    </row>
    <row r="73" spans="1:16" x14ac:dyDescent="0.25">
      <c r="A73" t="s">
        <v>123</v>
      </c>
      <c r="B73" t="s">
        <v>124</v>
      </c>
      <c r="D73">
        <v>0</v>
      </c>
      <c r="F73">
        <v>17</v>
      </c>
      <c r="G73">
        <v>0</v>
      </c>
      <c r="H73">
        <v>4684</v>
      </c>
      <c r="I73">
        <v>274</v>
      </c>
      <c r="J73">
        <v>291</v>
      </c>
      <c r="K73">
        <v>291</v>
      </c>
      <c r="L73">
        <v>6.2126387702818101E-2</v>
      </c>
      <c r="M73" t="s">
        <v>653</v>
      </c>
      <c r="N73" t="s">
        <v>88</v>
      </c>
      <c r="O73" t="s">
        <v>653</v>
      </c>
      <c r="P73" t="s">
        <v>653</v>
      </c>
    </row>
    <row r="74" spans="1:16" x14ac:dyDescent="0.25">
      <c r="A74" t="s">
        <v>392</v>
      </c>
      <c r="B74" t="s">
        <v>393</v>
      </c>
      <c r="D74">
        <v>0</v>
      </c>
      <c r="F74">
        <v>3</v>
      </c>
      <c r="G74">
        <v>0</v>
      </c>
      <c r="H74">
        <v>2908</v>
      </c>
      <c r="I74">
        <v>427</v>
      </c>
      <c r="J74">
        <v>430</v>
      </c>
      <c r="K74">
        <v>430</v>
      </c>
      <c r="L74">
        <v>0.147867950481431</v>
      </c>
      <c r="M74" t="s">
        <v>653</v>
      </c>
      <c r="N74" t="s">
        <v>88</v>
      </c>
      <c r="O74" t="s">
        <v>653</v>
      </c>
      <c r="P74" t="s">
        <v>653</v>
      </c>
    </row>
    <row r="75" spans="1:16" x14ac:dyDescent="0.25">
      <c r="A75" t="s">
        <v>394</v>
      </c>
      <c r="B75" t="s">
        <v>395</v>
      </c>
      <c r="D75">
        <v>0</v>
      </c>
      <c r="F75">
        <v>1</v>
      </c>
      <c r="G75">
        <v>0</v>
      </c>
      <c r="H75">
        <v>130</v>
      </c>
      <c r="I75">
        <v>16</v>
      </c>
      <c r="J75">
        <v>17</v>
      </c>
      <c r="K75">
        <v>17</v>
      </c>
      <c r="L75">
        <v>0.130769230769231</v>
      </c>
      <c r="M75" t="s">
        <v>653</v>
      </c>
      <c r="N75" t="s">
        <v>88</v>
      </c>
      <c r="O75" t="s">
        <v>653</v>
      </c>
      <c r="P75" t="s">
        <v>653</v>
      </c>
    </row>
    <row r="76" spans="1:16" x14ac:dyDescent="0.25">
      <c r="A76" t="s">
        <v>125</v>
      </c>
      <c r="B76" t="s">
        <v>126</v>
      </c>
      <c r="D76">
        <v>0</v>
      </c>
      <c r="F76">
        <v>21</v>
      </c>
      <c r="G76">
        <v>0</v>
      </c>
      <c r="H76">
        <v>22976</v>
      </c>
      <c r="I76">
        <v>2424</v>
      </c>
      <c r="J76">
        <v>2445</v>
      </c>
      <c r="K76">
        <v>2445</v>
      </c>
      <c r="L76">
        <v>0.106415389972145</v>
      </c>
      <c r="M76" t="s">
        <v>653</v>
      </c>
      <c r="N76" t="s">
        <v>88</v>
      </c>
      <c r="O76" t="s">
        <v>653</v>
      </c>
      <c r="P76" t="s">
        <v>653</v>
      </c>
    </row>
    <row r="77" spans="1:16" x14ac:dyDescent="0.25">
      <c r="A77" t="s">
        <v>276</v>
      </c>
      <c r="B77" t="s">
        <v>277</v>
      </c>
      <c r="D77">
        <v>0</v>
      </c>
      <c r="F77">
        <v>61</v>
      </c>
      <c r="G77">
        <v>0</v>
      </c>
      <c r="H77">
        <v>26847</v>
      </c>
      <c r="I77">
        <v>2584</v>
      </c>
      <c r="J77">
        <v>2645</v>
      </c>
      <c r="K77">
        <v>2645</v>
      </c>
      <c r="L77">
        <v>9.8521250046560094E-2</v>
      </c>
      <c r="M77" t="s">
        <v>653</v>
      </c>
      <c r="N77" t="s">
        <v>88</v>
      </c>
      <c r="O77" t="s">
        <v>653</v>
      </c>
      <c r="P77" t="s">
        <v>653</v>
      </c>
    </row>
    <row r="78" spans="1:16" x14ac:dyDescent="0.25">
      <c r="A78" t="s">
        <v>396</v>
      </c>
      <c r="B78" t="s">
        <v>397</v>
      </c>
      <c r="D78">
        <v>0</v>
      </c>
      <c r="F78">
        <v>1</v>
      </c>
      <c r="G78">
        <v>0</v>
      </c>
      <c r="H78">
        <v>57</v>
      </c>
      <c r="I78">
        <v>17</v>
      </c>
      <c r="J78">
        <v>18</v>
      </c>
      <c r="K78">
        <v>18</v>
      </c>
      <c r="L78">
        <v>0.31578947368421001</v>
      </c>
      <c r="M78" t="s">
        <v>653</v>
      </c>
      <c r="N78" t="s">
        <v>653</v>
      </c>
      <c r="O78" t="s">
        <v>653</v>
      </c>
      <c r="P78" t="s">
        <v>653</v>
      </c>
    </row>
    <row r="79" spans="1:16" x14ac:dyDescent="0.25">
      <c r="A79" t="s">
        <v>398</v>
      </c>
      <c r="B79" t="s">
        <v>399</v>
      </c>
      <c r="D79">
        <v>0</v>
      </c>
      <c r="F79">
        <v>51</v>
      </c>
      <c r="G79">
        <v>0</v>
      </c>
      <c r="H79">
        <v>24174</v>
      </c>
      <c r="I79">
        <v>4191</v>
      </c>
      <c r="J79">
        <v>4242</v>
      </c>
      <c r="K79">
        <v>4242</v>
      </c>
      <c r="L79">
        <v>0.17547778605112899</v>
      </c>
      <c r="M79" t="s">
        <v>653</v>
      </c>
      <c r="N79" t="s">
        <v>653</v>
      </c>
      <c r="O79" t="s">
        <v>653</v>
      </c>
      <c r="P79" t="s">
        <v>653</v>
      </c>
    </row>
    <row r="80" spans="1:16" x14ac:dyDescent="0.25">
      <c r="A80" t="s">
        <v>127</v>
      </c>
      <c r="B80" t="s">
        <v>128</v>
      </c>
      <c r="D80">
        <v>0</v>
      </c>
      <c r="F80">
        <v>16</v>
      </c>
      <c r="G80">
        <v>0</v>
      </c>
      <c r="H80">
        <v>6187</v>
      </c>
      <c r="I80">
        <v>769</v>
      </c>
      <c r="J80">
        <v>785</v>
      </c>
      <c r="K80">
        <v>785</v>
      </c>
      <c r="L80">
        <v>0.12687893971229999</v>
      </c>
      <c r="M80" t="s">
        <v>653</v>
      </c>
      <c r="N80" t="s">
        <v>88</v>
      </c>
      <c r="O80" t="s">
        <v>653</v>
      </c>
      <c r="P80" t="s">
        <v>653</v>
      </c>
    </row>
    <row r="81" spans="1:16" x14ac:dyDescent="0.25">
      <c r="A81" t="s">
        <v>129</v>
      </c>
      <c r="B81" t="s">
        <v>130</v>
      </c>
      <c r="D81">
        <v>0</v>
      </c>
      <c r="F81">
        <v>12</v>
      </c>
      <c r="G81">
        <v>0</v>
      </c>
      <c r="H81">
        <v>4094</v>
      </c>
      <c r="I81">
        <v>386</v>
      </c>
      <c r="J81">
        <v>398</v>
      </c>
      <c r="K81">
        <v>398</v>
      </c>
      <c r="L81">
        <v>9.7215437225207604E-2</v>
      </c>
      <c r="M81" t="s">
        <v>653</v>
      </c>
      <c r="N81" t="s">
        <v>88</v>
      </c>
      <c r="O81" t="s">
        <v>653</v>
      </c>
      <c r="P81" t="s">
        <v>653</v>
      </c>
    </row>
    <row r="82" spans="1:16" x14ac:dyDescent="0.25">
      <c r="A82" t="s">
        <v>400</v>
      </c>
      <c r="B82" t="s">
        <v>401</v>
      </c>
      <c r="D82">
        <v>0</v>
      </c>
      <c r="F82">
        <v>10</v>
      </c>
      <c r="G82">
        <v>0</v>
      </c>
      <c r="H82">
        <v>920</v>
      </c>
      <c r="I82">
        <v>113</v>
      </c>
      <c r="J82">
        <v>123</v>
      </c>
      <c r="K82">
        <v>123</v>
      </c>
      <c r="L82">
        <v>0.13369565217391299</v>
      </c>
      <c r="M82" t="s">
        <v>653</v>
      </c>
      <c r="N82" t="s">
        <v>88</v>
      </c>
      <c r="O82" t="s">
        <v>653</v>
      </c>
      <c r="P82" t="s">
        <v>653</v>
      </c>
    </row>
    <row r="83" spans="1:16" x14ac:dyDescent="0.25">
      <c r="A83" t="s">
        <v>402</v>
      </c>
      <c r="B83" t="s">
        <v>403</v>
      </c>
      <c r="D83">
        <v>0</v>
      </c>
      <c r="F83">
        <v>64</v>
      </c>
      <c r="G83">
        <v>0</v>
      </c>
      <c r="H83">
        <v>9340</v>
      </c>
      <c r="I83">
        <v>1348</v>
      </c>
      <c r="J83">
        <v>1412</v>
      </c>
      <c r="K83">
        <v>1412</v>
      </c>
      <c r="L83">
        <v>0.15117773019271999</v>
      </c>
      <c r="M83" t="s">
        <v>653</v>
      </c>
      <c r="N83" t="s">
        <v>653</v>
      </c>
      <c r="O83" t="s">
        <v>653</v>
      </c>
      <c r="P83" t="s">
        <v>653</v>
      </c>
    </row>
    <row r="84" spans="1:16" x14ac:dyDescent="0.25">
      <c r="A84" t="s">
        <v>131</v>
      </c>
      <c r="B84" t="s">
        <v>132</v>
      </c>
      <c r="D84">
        <v>0</v>
      </c>
      <c r="F84">
        <v>0</v>
      </c>
      <c r="G84">
        <v>0</v>
      </c>
      <c r="H84">
        <v>1001</v>
      </c>
      <c r="I84">
        <v>36</v>
      </c>
      <c r="J84">
        <v>36</v>
      </c>
      <c r="K84">
        <v>36</v>
      </c>
      <c r="L84">
        <v>3.5964035964036002E-2</v>
      </c>
      <c r="M84" t="s">
        <v>653</v>
      </c>
      <c r="N84" t="s">
        <v>88</v>
      </c>
      <c r="O84" t="s">
        <v>88</v>
      </c>
      <c r="P84" t="s">
        <v>88</v>
      </c>
    </row>
    <row r="85" spans="1:16" x14ac:dyDescent="0.25">
      <c r="A85" t="s">
        <v>404</v>
      </c>
      <c r="B85" t="s">
        <v>405</v>
      </c>
      <c r="D85">
        <v>0</v>
      </c>
      <c r="F85">
        <v>0</v>
      </c>
      <c r="G85">
        <v>0</v>
      </c>
      <c r="H85">
        <v>132</v>
      </c>
      <c r="I85">
        <v>33</v>
      </c>
      <c r="J85">
        <v>33</v>
      </c>
      <c r="K85">
        <v>33</v>
      </c>
      <c r="L85">
        <v>0.25</v>
      </c>
      <c r="M85" t="s">
        <v>653</v>
      </c>
      <c r="N85" t="s">
        <v>653</v>
      </c>
      <c r="O85" t="s">
        <v>653</v>
      </c>
      <c r="P85" t="s">
        <v>653</v>
      </c>
    </row>
    <row r="86" spans="1:16" x14ac:dyDescent="0.25">
      <c r="A86" t="s">
        <v>133</v>
      </c>
      <c r="B86" t="s">
        <v>134</v>
      </c>
      <c r="D86">
        <v>0</v>
      </c>
      <c r="F86">
        <v>1</v>
      </c>
      <c r="G86">
        <v>0</v>
      </c>
      <c r="H86">
        <v>62</v>
      </c>
      <c r="I86">
        <v>9</v>
      </c>
      <c r="J86">
        <v>10</v>
      </c>
      <c r="K86">
        <v>10</v>
      </c>
      <c r="L86">
        <v>0.16129032258064499</v>
      </c>
      <c r="M86" t="s">
        <v>653</v>
      </c>
      <c r="N86" t="s">
        <v>653</v>
      </c>
      <c r="O86" t="s">
        <v>653</v>
      </c>
      <c r="P86" t="s">
        <v>653</v>
      </c>
    </row>
    <row r="87" spans="1:16" x14ac:dyDescent="0.25">
      <c r="A87" t="s">
        <v>406</v>
      </c>
      <c r="B87" t="s">
        <v>407</v>
      </c>
      <c r="D87">
        <v>0</v>
      </c>
      <c r="F87">
        <v>2</v>
      </c>
      <c r="G87">
        <v>0</v>
      </c>
      <c r="H87">
        <v>1075</v>
      </c>
      <c r="I87">
        <v>161</v>
      </c>
      <c r="J87">
        <v>163</v>
      </c>
      <c r="K87">
        <v>163</v>
      </c>
      <c r="L87">
        <v>0.151627906976744</v>
      </c>
      <c r="M87" t="s">
        <v>653</v>
      </c>
      <c r="N87" t="s">
        <v>653</v>
      </c>
      <c r="O87" t="s">
        <v>653</v>
      </c>
      <c r="P87" t="s">
        <v>653</v>
      </c>
    </row>
    <row r="88" spans="1:16" x14ac:dyDescent="0.25">
      <c r="A88" t="s">
        <v>408</v>
      </c>
      <c r="B88" t="s">
        <v>409</v>
      </c>
      <c r="D88">
        <v>0</v>
      </c>
      <c r="F88">
        <v>3</v>
      </c>
      <c r="G88">
        <v>0</v>
      </c>
      <c r="H88">
        <v>672</v>
      </c>
      <c r="I88">
        <v>111</v>
      </c>
      <c r="J88">
        <v>114</v>
      </c>
      <c r="K88">
        <v>114</v>
      </c>
      <c r="L88">
        <v>0.16964285714285701</v>
      </c>
      <c r="M88" t="s">
        <v>653</v>
      </c>
      <c r="N88" t="s">
        <v>653</v>
      </c>
      <c r="O88" t="s">
        <v>653</v>
      </c>
      <c r="P88" t="s">
        <v>653</v>
      </c>
    </row>
    <row r="89" spans="1:16" x14ac:dyDescent="0.25">
      <c r="A89" t="s">
        <v>410</v>
      </c>
      <c r="B89" t="s">
        <v>411</v>
      </c>
      <c r="D89">
        <v>0</v>
      </c>
      <c r="F89">
        <v>15</v>
      </c>
      <c r="G89">
        <v>0</v>
      </c>
      <c r="H89">
        <v>3734</v>
      </c>
      <c r="I89">
        <v>806</v>
      </c>
      <c r="J89">
        <v>821</v>
      </c>
      <c r="K89">
        <v>821</v>
      </c>
      <c r="L89">
        <v>0.219871451526513</v>
      </c>
      <c r="M89" t="s">
        <v>653</v>
      </c>
      <c r="N89" t="s">
        <v>653</v>
      </c>
      <c r="O89" t="s">
        <v>653</v>
      </c>
      <c r="P89" t="s">
        <v>653</v>
      </c>
    </row>
    <row r="90" spans="1:16" x14ac:dyDescent="0.25">
      <c r="A90" t="s">
        <v>412</v>
      </c>
      <c r="B90" t="s">
        <v>413</v>
      </c>
      <c r="D90">
        <v>0</v>
      </c>
      <c r="F90">
        <v>2</v>
      </c>
      <c r="G90">
        <v>0</v>
      </c>
      <c r="H90">
        <v>1587</v>
      </c>
      <c r="I90">
        <v>251</v>
      </c>
      <c r="J90">
        <v>253</v>
      </c>
      <c r="K90">
        <v>253</v>
      </c>
      <c r="L90">
        <v>0.15942028985507201</v>
      </c>
      <c r="M90" t="s">
        <v>653</v>
      </c>
      <c r="N90" t="s">
        <v>653</v>
      </c>
      <c r="O90" t="s">
        <v>653</v>
      </c>
      <c r="P90" t="s">
        <v>653</v>
      </c>
    </row>
    <row r="91" spans="1:16" x14ac:dyDescent="0.25">
      <c r="A91" t="s">
        <v>135</v>
      </c>
      <c r="B91" t="s">
        <v>136</v>
      </c>
      <c r="D91">
        <v>0</v>
      </c>
      <c r="F91">
        <v>2</v>
      </c>
      <c r="G91">
        <v>0</v>
      </c>
      <c r="H91">
        <v>2819</v>
      </c>
      <c r="I91">
        <v>180</v>
      </c>
      <c r="J91">
        <v>182</v>
      </c>
      <c r="K91">
        <v>182</v>
      </c>
      <c r="L91">
        <v>6.4561901383469303E-2</v>
      </c>
      <c r="M91" t="s">
        <v>653</v>
      </c>
      <c r="N91" t="s">
        <v>88</v>
      </c>
      <c r="O91" t="s">
        <v>653</v>
      </c>
      <c r="P91" t="s">
        <v>653</v>
      </c>
    </row>
    <row r="92" spans="1:16" x14ac:dyDescent="0.25">
      <c r="A92" t="s">
        <v>414</v>
      </c>
      <c r="B92" t="s">
        <v>415</v>
      </c>
      <c r="D92">
        <v>0</v>
      </c>
      <c r="F92">
        <v>0</v>
      </c>
      <c r="G92">
        <v>0</v>
      </c>
      <c r="H92">
        <v>342</v>
      </c>
      <c r="I92">
        <v>35</v>
      </c>
      <c r="J92">
        <v>35</v>
      </c>
      <c r="K92">
        <v>35</v>
      </c>
      <c r="L92">
        <v>0.10233918128654999</v>
      </c>
      <c r="M92" t="s">
        <v>653</v>
      </c>
      <c r="N92" t="s">
        <v>88</v>
      </c>
      <c r="O92" t="s">
        <v>653</v>
      </c>
      <c r="P92" t="s">
        <v>653</v>
      </c>
    </row>
    <row r="93" spans="1:16" x14ac:dyDescent="0.25">
      <c r="A93" t="s">
        <v>416</v>
      </c>
      <c r="B93" t="s">
        <v>417</v>
      </c>
      <c r="D93">
        <v>0</v>
      </c>
      <c r="F93">
        <v>0</v>
      </c>
      <c r="G93">
        <v>0</v>
      </c>
      <c r="H93">
        <v>188</v>
      </c>
      <c r="I93">
        <v>36</v>
      </c>
      <c r="J93">
        <v>36</v>
      </c>
      <c r="K93">
        <v>36</v>
      </c>
      <c r="L93">
        <v>0.19148936170212799</v>
      </c>
      <c r="M93" t="s">
        <v>653</v>
      </c>
      <c r="N93" t="s">
        <v>653</v>
      </c>
      <c r="O93" t="s">
        <v>653</v>
      </c>
      <c r="P93" t="s">
        <v>653</v>
      </c>
    </row>
    <row r="94" spans="1:16" x14ac:dyDescent="0.25">
      <c r="A94" t="s">
        <v>137</v>
      </c>
      <c r="B94" t="s">
        <v>138</v>
      </c>
      <c r="D94">
        <v>0</v>
      </c>
      <c r="F94">
        <v>0</v>
      </c>
      <c r="G94">
        <v>0</v>
      </c>
      <c r="H94">
        <v>206</v>
      </c>
      <c r="I94">
        <v>12</v>
      </c>
      <c r="J94">
        <v>12</v>
      </c>
      <c r="K94">
        <v>12</v>
      </c>
      <c r="L94">
        <v>5.8252427184466E-2</v>
      </c>
      <c r="M94" t="s">
        <v>653</v>
      </c>
      <c r="N94" t="s">
        <v>88</v>
      </c>
      <c r="O94" t="s">
        <v>653</v>
      </c>
      <c r="P94" t="s">
        <v>653</v>
      </c>
    </row>
    <row r="95" spans="1:16" x14ac:dyDescent="0.25">
      <c r="A95" t="s">
        <v>139</v>
      </c>
      <c r="B95" t="s">
        <v>140</v>
      </c>
      <c r="D95">
        <v>0</v>
      </c>
      <c r="F95">
        <v>3</v>
      </c>
      <c r="G95">
        <v>0</v>
      </c>
      <c r="H95">
        <v>898</v>
      </c>
      <c r="I95">
        <v>44</v>
      </c>
      <c r="J95">
        <v>47</v>
      </c>
      <c r="K95">
        <v>47</v>
      </c>
      <c r="L95">
        <v>5.2338530066815103E-2</v>
      </c>
      <c r="M95" t="s">
        <v>653</v>
      </c>
      <c r="N95" t="s">
        <v>88</v>
      </c>
      <c r="O95" t="s">
        <v>653</v>
      </c>
      <c r="P95" t="s">
        <v>653</v>
      </c>
    </row>
    <row r="96" spans="1:16" x14ac:dyDescent="0.25">
      <c r="A96" t="s">
        <v>418</v>
      </c>
      <c r="B96" t="s">
        <v>419</v>
      </c>
      <c r="D96">
        <v>0</v>
      </c>
      <c r="F96">
        <v>1</v>
      </c>
      <c r="G96">
        <v>0</v>
      </c>
      <c r="H96">
        <v>145</v>
      </c>
      <c r="I96">
        <v>24</v>
      </c>
      <c r="J96">
        <v>25</v>
      </c>
      <c r="K96">
        <v>25</v>
      </c>
      <c r="L96">
        <v>0.17241379310344801</v>
      </c>
      <c r="M96" t="s">
        <v>653</v>
      </c>
      <c r="N96" t="s">
        <v>653</v>
      </c>
      <c r="O96" t="s">
        <v>653</v>
      </c>
      <c r="P96" t="s">
        <v>653</v>
      </c>
    </row>
    <row r="97" spans="1:16" x14ac:dyDescent="0.25">
      <c r="A97" t="s">
        <v>420</v>
      </c>
      <c r="B97" t="s">
        <v>421</v>
      </c>
      <c r="D97">
        <v>0</v>
      </c>
      <c r="F97">
        <v>1</v>
      </c>
      <c r="G97">
        <v>0</v>
      </c>
      <c r="H97">
        <v>1272</v>
      </c>
      <c r="I97">
        <v>142</v>
      </c>
      <c r="J97">
        <v>143</v>
      </c>
      <c r="K97">
        <v>143</v>
      </c>
      <c r="L97">
        <v>0.11242138364779899</v>
      </c>
      <c r="M97" t="s">
        <v>653</v>
      </c>
      <c r="N97" t="s">
        <v>88</v>
      </c>
      <c r="O97" t="s">
        <v>653</v>
      </c>
      <c r="P97" t="s">
        <v>653</v>
      </c>
    </row>
    <row r="98" spans="1:16" x14ac:dyDescent="0.25">
      <c r="A98" t="s">
        <v>57</v>
      </c>
      <c r="B98" t="s">
        <v>17</v>
      </c>
      <c r="C98" t="s">
        <v>57</v>
      </c>
      <c r="D98">
        <v>0</v>
      </c>
      <c r="F98">
        <v>37</v>
      </c>
      <c r="G98">
        <v>0</v>
      </c>
      <c r="H98">
        <v>19648.575757575767</v>
      </c>
      <c r="I98">
        <v>3277.2065620038825</v>
      </c>
      <c r="J98">
        <v>3314.2065620038825</v>
      </c>
      <c r="K98">
        <v>3410</v>
      </c>
      <c r="L98">
        <v>0.16867413714330101</v>
      </c>
      <c r="M98" t="s">
        <v>653</v>
      </c>
      <c r="N98" t="s">
        <v>653</v>
      </c>
      <c r="O98" t="s">
        <v>653</v>
      </c>
      <c r="P98" t="s">
        <v>653</v>
      </c>
    </row>
    <row r="99" spans="1:16" x14ac:dyDescent="0.25">
      <c r="A99" t="s">
        <v>141</v>
      </c>
      <c r="B99" t="s">
        <v>142</v>
      </c>
      <c r="D99">
        <v>0</v>
      </c>
      <c r="F99">
        <v>1</v>
      </c>
      <c r="G99">
        <v>0</v>
      </c>
      <c r="H99">
        <v>2186</v>
      </c>
      <c r="I99">
        <v>105</v>
      </c>
      <c r="J99">
        <v>106</v>
      </c>
      <c r="K99">
        <v>106</v>
      </c>
      <c r="L99">
        <v>4.8490393412625801E-2</v>
      </c>
      <c r="M99" t="s">
        <v>653</v>
      </c>
      <c r="N99" t="s">
        <v>88</v>
      </c>
      <c r="O99" t="s">
        <v>88</v>
      </c>
      <c r="P99" t="s">
        <v>88</v>
      </c>
    </row>
    <row r="100" spans="1:16" x14ac:dyDescent="0.25">
      <c r="A100" t="s">
        <v>422</v>
      </c>
      <c r="B100" t="s">
        <v>423</v>
      </c>
      <c r="D100">
        <v>0</v>
      </c>
      <c r="F100">
        <v>7</v>
      </c>
      <c r="G100">
        <v>0</v>
      </c>
      <c r="H100">
        <v>704</v>
      </c>
      <c r="I100">
        <v>134</v>
      </c>
      <c r="J100">
        <v>141</v>
      </c>
      <c r="K100">
        <v>141</v>
      </c>
      <c r="L100">
        <v>0.20028409090909099</v>
      </c>
      <c r="M100" t="s">
        <v>653</v>
      </c>
      <c r="N100" t="s">
        <v>653</v>
      </c>
      <c r="O100" t="s">
        <v>653</v>
      </c>
      <c r="P100" t="s">
        <v>653</v>
      </c>
    </row>
    <row r="101" spans="1:16" x14ac:dyDescent="0.25">
      <c r="A101" t="s">
        <v>424</v>
      </c>
      <c r="B101" t="s">
        <v>425</v>
      </c>
      <c r="D101">
        <v>0</v>
      </c>
      <c r="F101">
        <v>21</v>
      </c>
      <c r="G101">
        <v>0</v>
      </c>
      <c r="H101">
        <v>1821</v>
      </c>
      <c r="I101">
        <v>377</v>
      </c>
      <c r="J101">
        <v>398</v>
      </c>
      <c r="K101">
        <v>398</v>
      </c>
      <c r="L101">
        <v>0.21856123009335501</v>
      </c>
      <c r="M101" t="s">
        <v>653</v>
      </c>
      <c r="N101" t="s">
        <v>653</v>
      </c>
      <c r="O101" t="s">
        <v>653</v>
      </c>
      <c r="P101" t="s">
        <v>653</v>
      </c>
    </row>
    <row r="102" spans="1:16" x14ac:dyDescent="0.25">
      <c r="A102" t="s">
        <v>74</v>
      </c>
      <c r="B102" t="s">
        <v>41</v>
      </c>
      <c r="C102" t="s">
        <v>60</v>
      </c>
      <c r="D102">
        <v>0</v>
      </c>
      <c r="E102">
        <v>0</v>
      </c>
      <c r="F102">
        <v>0</v>
      </c>
      <c r="G102">
        <v>0</v>
      </c>
      <c r="H102">
        <v>408.11653628270955</v>
      </c>
      <c r="I102">
        <v>81.866465484722823</v>
      </c>
      <c r="J102">
        <v>81.866465484722823</v>
      </c>
      <c r="K102">
        <v>0</v>
      </c>
      <c r="L102">
        <v>0.20059580587053799</v>
      </c>
      <c r="M102" t="s">
        <v>653</v>
      </c>
      <c r="N102" t="s">
        <v>653</v>
      </c>
      <c r="O102" t="s">
        <v>653</v>
      </c>
      <c r="P102" t="s">
        <v>653</v>
      </c>
    </row>
    <row r="103" spans="1:16" x14ac:dyDescent="0.25">
      <c r="A103" t="s">
        <v>1420</v>
      </c>
      <c r="B103" t="s">
        <v>1424</v>
      </c>
      <c r="C103" t="s">
        <v>563</v>
      </c>
      <c r="D103">
        <v>0</v>
      </c>
      <c r="E103">
        <v>0</v>
      </c>
      <c r="F103">
        <v>0</v>
      </c>
      <c r="G103">
        <v>0</v>
      </c>
      <c r="H103">
        <v>351.31963746223494</v>
      </c>
      <c r="I103">
        <v>61.950812598878109</v>
      </c>
      <c r="J103">
        <v>61.950812598878109</v>
      </c>
      <c r="K103">
        <v>0</v>
      </c>
      <c r="L103">
        <v>0.176337460229611</v>
      </c>
      <c r="M103" t="s">
        <v>653</v>
      </c>
      <c r="N103" t="s">
        <v>653</v>
      </c>
      <c r="O103" t="s">
        <v>653</v>
      </c>
      <c r="P103" t="s">
        <v>653</v>
      </c>
    </row>
    <row r="104" spans="1:16" x14ac:dyDescent="0.25">
      <c r="A104" t="s">
        <v>75</v>
      </c>
      <c r="B104" t="s">
        <v>45</v>
      </c>
      <c r="C104" t="s">
        <v>60</v>
      </c>
      <c r="D104">
        <v>0</v>
      </c>
      <c r="E104">
        <v>0</v>
      </c>
      <c r="F104">
        <v>0</v>
      </c>
      <c r="G104">
        <v>0</v>
      </c>
      <c r="H104">
        <v>318.76557863501563</v>
      </c>
      <c r="I104">
        <v>60.245944926442846</v>
      </c>
      <c r="J104">
        <v>60.245944926442846</v>
      </c>
      <c r="K104">
        <v>0</v>
      </c>
      <c r="L104">
        <v>0.18899764894447399</v>
      </c>
      <c r="M104" t="s">
        <v>653</v>
      </c>
      <c r="N104" t="s">
        <v>653</v>
      </c>
      <c r="O104" t="s">
        <v>653</v>
      </c>
      <c r="P104" t="s">
        <v>653</v>
      </c>
    </row>
    <row r="105" spans="1:16" x14ac:dyDescent="0.25">
      <c r="A105" t="s">
        <v>79</v>
      </c>
      <c r="B105" t="s">
        <v>1397</v>
      </c>
      <c r="C105" t="s">
        <v>62</v>
      </c>
      <c r="D105">
        <v>0</v>
      </c>
      <c r="E105">
        <v>0</v>
      </c>
      <c r="F105">
        <v>0</v>
      </c>
      <c r="G105">
        <v>0</v>
      </c>
      <c r="H105">
        <v>305.87590500507173</v>
      </c>
      <c r="I105">
        <v>44.858244327876939</v>
      </c>
      <c r="J105">
        <v>44.858244327876939</v>
      </c>
      <c r="K105">
        <v>0</v>
      </c>
      <c r="L105">
        <v>0.14665504406806101</v>
      </c>
      <c r="M105" t="s">
        <v>653</v>
      </c>
      <c r="N105" t="s">
        <v>88</v>
      </c>
      <c r="O105" t="s">
        <v>653</v>
      </c>
      <c r="P105" t="s">
        <v>653</v>
      </c>
    </row>
    <row r="106" spans="1:16" x14ac:dyDescent="0.25">
      <c r="A106" t="s">
        <v>426</v>
      </c>
      <c r="B106" t="s">
        <v>427</v>
      </c>
      <c r="D106">
        <v>0</v>
      </c>
      <c r="F106">
        <v>1</v>
      </c>
      <c r="G106">
        <v>0</v>
      </c>
      <c r="H106">
        <v>198</v>
      </c>
      <c r="I106">
        <v>58</v>
      </c>
      <c r="J106">
        <v>59</v>
      </c>
      <c r="K106">
        <v>59</v>
      </c>
      <c r="L106">
        <v>0.29797979797979801</v>
      </c>
      <c r="M106" t="s">
        <v>653</v>
      </c>
      <c r="N106" t="s">
        <v>653</v>
      </c>
      <c r="O106" t="s">
        <v>653</v>
      </c>
      <c r="P106" t="s">
        <v>653</v>
      </c>
    </row>
    <row r="107" spans="1:16" x14ac:dyDescent="0.25">
      <c r="A107" t="s">
        <v>428</v>
      </c>
      <c r="B107" t="s">
        <v>429</v>
      </c>
      <c r="D107">
        <v>0</v>
      </c>
      <c r="F107">
        <v>0</v>
      </c>
      <c r="G107">
        <v>0</v>
      </c>
      <c r="H107">
        <v>54</v>
      </c>
      <c r="I107">
        <v>5</v>
      </c>
      <c r="J107">
        <v>5</v>
      </c>
      <c r="K107">
        <v>5</v>
      </c>
      <c r="L107">
        <v>9.2592592592592601E-2</v>
      </c>
      <c r="M107" t="s">
        <v>88</v>
      </c>
      <c r="N107" t="s">
        <v>88</v>
      </c>
      <c r="O107" t="s">
        <v>88</v>
      </c>
      <c r="P107" t="s">
        <v>88</v>
      </c>
    </row>
    <row r="108" spans="1:16" x14ac:dyDescent="0.25">
      <c r="A108" t="s">
        <v>143</v>
      </c>
      <c r="B108" t="s">
        <v>144</v>
      </c>
      <c r="D108">
        <v>0</v>
      </c>
      <c r="F108">
        <v>6</v>
      </c>
      <c r="G108">
        <v>0</v>
      </c>
      <c r="H108">
        <v>22819</v>
      </c>
      <c r="I108">
        <v>925</v>
      </c>
      <c r="J108">
        <v>931</v>
      </c>
      <c r="K108">
        <v>931</v>
      </c>
      <c r="L108">
        <v>4.0799333888426298E-2</v>
      </c>
      <c r="M108" t="s">
        <v>653</v>
      </c>
      <c r="N108" t="s">
        <v>88</v>
      </c>
      <c r="O108" t="s">
        <v>88</v>
      </c>
      <c r="P108" t="s">
        <v>88</v>
      </c>
    </row>
    <row r="109" spans="1:16" x14ac:dyDescent="0.25">
      <c r="A109" t="s">
        <v>145</v>
      </c>
      <c r="B109" t="s">
        <v>146</v>
      </c>
      <c r="D109">
        <v>0</v>
      </c>
      <c r="F109">
        <v>2</v>
      </c>
      <c r="G109">
        <v>0</v>
      </c>
      <c r="H109">
        <v>60</v>
      </c>
      <c r="I109">
        <v>5</v>
      </c>
      <c r="J109">
        <v>7</v>
      </c>
      <c r="K109">
        <v>7</v>
      </c>
      <c r="L109">
        <v>0.116666666666667</v>
      </c>
      <c r="M109" t="s">
        <v>88</v>
      </c>
      <c r="N109" t="s">
        <v>88</v>
      </c>
      <c r="O109" t="s">
        <v>88</v>
      </c>
      <c r="P109" t="s">
        <v>88</v>
      </c>
    </row>
    <row r="110" spans="1:16" x14ac:dyDescent="0.25">
      <c r="A110" t="s">
        <v>147</v>
      </c>
      <c r="B110" t="s">
        <v>148</v>
      </c>
      <c r="D110">
        <v>0</v>
      </c>
      <c r="F110">
        <v>5</v>
      </c>
      <c r="G110">
        <v>0</v>
      </c>
      <c r="H110">
        <v>1374</v>
      </c>
      <c r="I110">
        <v>101</v>
      </c>
      <c r="J110">
        <v>106</v>
      </c>
      <c r="K110">
        <v>106</v>
      </c>
      <c r="L110">
        <v>7.7147016011644795E-2</v>
      </c>
      <c r="M110" t="s">
        <v>653</v>
      </c>
      <c r="N110" t="s">
        <v>88</v>
      </c>
      <c r="O110" t="s">
        <v>653</v>
      </c>
      <c r="P110" t="s">
        <v>653</v>
      </c>
    </row>
    <row r="111" spans="1:16" x14ac:dyDescent="0.25">
      <c r="A111" t="s">
        <v>430</v>
      </c>
      <c r="B111" t="s">
        <v>431</v>
      </c>
      <c r="D111">
        <v>0</v>
      </c>
      <c r="F111">
        <v>0</v>
      </c>
      <c r="G111">
        <v>0</v>
      </c>
      <c r="H111">
        <v>108</v>
      </c>
      <c r="I111">
        <v>25</v>
      </c>
      <c r="J111">
        <v>25</v>
      </c>
      <c r="K111">
        <v>25</v>
      </c>
      <c r="L111">
        <v>0.23148148148148101</v>
      </c>
      <c r="M111" t="s">
        <v>653</v>
      </c>
      <c r="N111" t="s">
        <v>653</v>
      </c>
      <c r="O111" t="s">
        <v>653</v>
      </c>
      <c r="P111" t="s">
        <v>653</v>
      </c>
    </row>
    <row r="112" spans="1:16" x14ac:dyDescent="0.25">
      <c r="A112" t="s">
        <v>432</v>
      </c>
      <c r="B112" t="s">
        <v>433</v>
      </c>
      <c r="D112">
        <v>0</v>
      </c>
      <c r="F112">
        <v>26</v>
      </c>
      <c r="G112">
        <v>0</v>
      </c>
      <c r="H112">
        <v>5555</v>
      </c>
      <c r="I112">
        <v>883</v>
      </c>
      <c r="J112">
        <v>909</v>
      </c>
      <c r="K112">
        <v>909</v>
      </c>
      <c r="L112">
        <v>0.163636363636364</v>
      </c>
      <c r="M112" t="s">
        <v>653</v>
      </c>
      <c r="N112" t="s">
        <v>653</v>
      </c>
      <c r="O112" t="s">
        <v>653</v>
      </c>
      <c r="P112" t="s">
        <v>653</v>
      </c>
    </row>
    <row r="113" spans="1:16" x14ac:dyDescent="0.25">
      <c r="A113" t="s">
        <v>434</v>
      </c>
      <c r="B113" t="s">
        <v>435</v>
      </c>
      <c r="D113">
        <v>0</v>
      </c>
      <c r="F113">
        <v>64</v>
      </c>
      <c r="G113">
        <v>0</v>
      </c>
      <c r="H113">
        <v>20729</v>
      </c>
      <c r="I113">
        <v>2957</v>
      </c>
      <c r="J113">
        <v>3021</v>
      </c>
      <c r="K113">
        <v>3021</v>
      </c>
      <c r="L113">
        <v>0.145737855178735</v>
      </c>
      <c r="M113" t="s">
        <v>653</v>
      </c>
      <c r="N113" t="s">
        <v>88</v>
      </c>
      <c r="O113" t="s">
        <v>653</v>
      </c>
      <c r="P113" t="s">
        <v>653</v>
      </c>
    </row>
    <row r="114" spans="1:16" x14ac:dyDescent="0.25">
      <c r="A114" t="s">
        <v>436</v>
      </c>
      <c r="B114" t="s">
        <v>437</v>
      </c>
      <c r="D114">
        <v>0</v>
      </c>
      <c r="F114">
        <v>55</v>
      </c>
      <c r="G114">
        <v>0</v>
      </c>
      <c r="H114">
        <v>30128</v>
      </c>
      <c r="I114">
        <v>4397</v>
      </c>
      <c r="J114">
        <v>4452</v>
      </c>
      <c r="K114">
        <v>4452</v>
      </c>
      <c r="L114">
        <v>0.14776951672862501</v>
      </c>
      <c r="M114" t="s">
        <v>653</v>
      </c>
      <c r="N114" t="s">
        <v>88</v>
      </c>
      <c r="O114" t="s">
        <v>653</v>
      </c>
      <c r="P114" t="s">
        <v>653</v>
      </c>
    </row>
    <row r="115" spans="1:16" x14ac:dyDescent="0.25">
      <c r="A115" t="s">
        <v>438</v>
      </c>
      <c r="B115" t="s">
        <v>439</v>
      </c>
      <c r="D115">
        <v>0</v>
      </c>
      <c r="F115">
        <v>4</v>
      </c>
      <c r="G115">
        <v>0</v>
      </c>
      <c r="H115">
        <v>947</v>
      </c>
      <c r="I115">
        <v>144</v>
      </c>
      <c r="J115">
        <v>148</v>
      </c>
      <c r="K115">
        <v>148</v>
      </c>
      <c r="L115">
        <v>0.156282998944034</v>
      </c>
      <c r="M115" t="s">
        <v>653</v>
      </c>
      <c r="N115" t="s">
        <v>653</v>
      </c>
      <c r="O115" t="s">
        <v>653</v>
      </c>
      <c r="P115" t="s">
        <v>653</v>
      </c>
    </row>
    <row r="116" spans="1:16" x14ac:dyDescent="0.25">
      <c r="A116" t="s">
        <v>440</v>
      </c>
      <c r="B116" t="s">
        <v>1389</v>
      </c>
      <c r="D116">
        <v>0</v>
      </c>
      <c r="F116">
        <v>6</v>
      </c>
      <c r="G116">
        <v>0</v>
      </c>
      <c r="H116">
        <v>1759</v>
      </c>
      <c r="I116">
        <v>186</v>
      </c>
      <c r="J116">
        <v>192</v>
      </c>
      <c r="K116">
        <v>192</v>
      </c>
      <c r="L116">
        <v>0.109152927799886</v>
      </c>
      <c r="M116" t="s">
        <v>653</v>
      </c>
      <c r="N116" t="s">
        <v>88</v>
      </c>
      <c r="O116" t="s">
        <v>653</v>
      </c>
      <c r="P116" t="s">
        <v>653</v>
      </c>
    </row>
    <row r="117" spans="1:16" x14ac:dyDescent="0.25">
      <c r="A117" t="s">
        <v>278</v>
      </c>
      <c r="B117" t="s">
        <v>279</v>
      </c>
      <c r="D117">
        <v>0</v>
      </c>
      <c r="F117">
        <v>2</v>
      </c>
      <c r="G117">
        <v>0</v>
      </c>
      <c r="H117">
        <v>747</v>
      </c>
      <c r="I117">
        <v>69</v>
      </c>
      <c r="J117">
        <v>71</v>
      </c>
      <c r="K117">
        <v>71</v>
      </c>
      <c r="L117">
        <v>9.5046854082998594E-2</v>
      </c>
      <c r="M117" t="s">
        <v>653</v>
      </c>
      <c r="N117" t="s">
        <v>88</v>
      </c>
      <c r="O117" t="s">
        <v>653</v>
      </c>
      <c r="P117" t="s">
        <v>653</v>
      </c>
    </row>
    <row r="118" spans="1:16" x14ac:dyDescent="0.25">
      <c r="A118" t="s">
        <v>441</v>
      </c>
      <c r="B118" t="s">
        <v>442</v>
      </c>
      <c r="D118">
        <v>0</v>
      </c>
      <c r="F118">
        <v>1</v>
      </c>
      <c r="G118">
        <v>0</v>
      </c>
      <c r="H118">
        <v>82</v>
      </c>
      <c r="I118">
        <v>4</v>
      </c>
      <c r="J118">
        <v>5</v>
      </c>
      <c r="K118">
        <v>5</v>
      </c>
      <c r="L118">
        <v>6.0975609756097601E-2</v>
      </c>
      <c r="M118" t="s">
        <v>88</v>
      </c>
      <c r="N118" t="s">
        <v>88</v>
      </c>
      <c r="O118" t="s">
        <v>88</v>
      </c>
      <c r="P118" t="s">
        <v>88</v>
      </c>
    </row>
    <row r="119" spans="1:16" x14ac:dyDescent="0.25">
      <c r="A119" t="s">
        <v>149</v>
      </c>
      <c r="B119" t="s">
        <v>150</v>
      </c>
      <c r="D119">
        <v>0</v>
      </c>
      <c r="F119">
        <v>5</v>
      </c>
      <c r="G119">
        <v>0</v>
      </c>
      <c r="H119">
        <v>1941</v>
      </c>
      <c r="I119">
        <v>80</v>
      </c>
      <c r="J119">
        <v>85</v>
      </c>
      <c r="K119">
        <v>85</v>
      </c>
      <c r="L119">
        <v>4.3791859866048402E-2</v>
      </c>
      <c r="M119" t="s">
        <v>653</v>
      </c>
      <c r="N119" t="s">
        <v>88</v>
      </c>
      <c r="O119" t="s">
        <v>88</v>
      </c>
      <c r="P119" t="s">
        <v>88</v>
      </c>
    </row>
    <row r="120" spans="1:16" x14ac:dyDescent="0.25">
      <c r="A120" t="s">
        <v>280</v>
      </c>
      <c r="B120" t="s">
        <v>281</v>
      </c>
      <c r="D120">
        <v>0</v>
      </c>
      <c r="F120">
        <v>6</v>
      </c>
      <c r="G120">
        <v>0</v>
      </c>
      <c r="H120">
        <v>586</v>
      </c>
      <c r="I120">
        <v>57</v>
      </c>
      <c r="J120">
        <v>63</v>
      </c>
      <c r="K120">
        <v>63</v>
      </c>
      <c r="L120">
        <v>0.107508532423208</v>
      </c>
      <c r="M120" t="s">
        <v>653</v>
      </c>
      <c r="N120" t="s">
        <v>88</v>
      </c>
      <c r="O120" t="s">
        <v>653</v>
      </c>
      <c r="P120" t="s">
        <v>653</v>
      </c>
    </row>
    <row r="121" spans="1:16" x14ac:dyDescent="0.25">
      <c r="A121" t="s">
        <v>443</v>
      </c>
      <c r="B121" t="s">
        <v>444</v>
      </c>
      <c r="D121">
        <v>0</v>
      </c>
      <c r="F121">
        <v>0</v>
      </c>
      <c r="G121">
        <v>0</v>
      </c>
      <c r="H121">
        <v>90</v>
      </c>
      <c r="I121">
        <v>17</v>
      </c>
      <c r="J121">
        <v>17</v>
      </c>
      <c r="K121">
        <v>17</v>
      </c>
      <c r="L121">
        <v>0.18888888888888899</v>
      </c>
      <c r="M121" t="s">
        <v>653</v>
      </c>
      <c r="N121" t="s">
        <v>653</v>
      </c>
      <c r="O121" t="s">
        <v>653</v>
      </c>
      <c r="P121" t="s">
        <v>653</v>
      </c>
    </row>
    <row r="122" spans="1:16" x14ac:dyDescent="0.25">
      <c r="A122" t="s">
        <v>282</v>
      </c>
      <c r="B122" t="s">
        <v>283</v>
      </c>
      <c r="D122">
        <v>0</v>
      </c>
      <c r="F122">
        <v>0</v>
      </c>
      <c r="G122">
        <v>0</v>
      </c>
      <c r="H122">
        <v>1245</v>
      </c>
      <c r="I122">
        <v>167</v>
      </c>
      <c r="J122">
        <v>167</v>
      </c>
      <c r="K122">
        <v>167</v>
      </c>
      <c r="L122">
        <v>0.134136546184739</v>
      </c>
      <c r="M122" t="s">
        <v>653</v>
      </c>
      <c r="N122" t="s">
        <v>88</v>
      </c>
      <c r="O122" t="s">
        <v>653</v>
      </c>
      <c r="P122" t="s">
        <v>653</v>
      </c>
    </row>
    <row r="123" spans="1:16" x14ac:dyDescent="0.25">
      <c r="A123" t="s">
        <v>445</v>
      </c>
      <c r="B123" t="s">
        <v>446</v>
      </c>
      <c r="D123">
        <v>0</v>
      </c>
      <c r="F123">
        <v>2</v>
      </c>
      <c r="G123">
        <v>0</v>
      </c>
      <c r="H123">
        <v>175</v>
      </c>
      <c r="I123">
        <v>29</v>
      </c>
      <c r="J123">
        <v>31</v>
      </c>
      <c r="K123">
        <v>31</v>
      </c>
      <c r="L123">
        <v>0.17714285714285699</v>
      </c>
      <c r="M123" t="s">
        <v>653</v>
      </c>
      <c r="N123" t="s">
        <v>653</v>
      </c>
      <c r="O123" t="s">
        <v>653</v>
      </c>
      <c r="P123" t="s">
        <v>653</v>
      </c>
    </row>
    <row r="124" spans="1:16" x14ac:dyDescent="0.25">
      <c r="A124" t="s">
        <v>151</v>
      </c>
      <c r="B124" t="s">
        <v>152</v>
      </c>
      <c r="D124">
        <v>0</v>
      </c>
      <c r="F124">
        <v>12</v>
      </c>
      <c r="G124">
        <v>0</v>
      </c>
      <c r="H124">
        <v>10332</v>
      </c>
      <c r="I124">
        <v>667</v>
      </c>
      <c r="J124">
        <v>679</v>
      </c>
      <c r="K124">
        <v>679</v>
      </c>
      <c r="L124">
        <v>6.5718157181571799E-2</v>
      </c>
      <c r="M124" t="s">
        <v>653</v>
      </c>
      <c r="N124" t="s">
        <v>88</v>
      </c>
      <c r="O124" t="s">
        <v>653</v>
      </c>
      <c r="P124" t="s">
        <v>653</v>
      </c>
    </row>
    <row r="125" spans="1:16" x14ac:dyDescent="0.25">
      <c r="A125" t="s">
        <v>153</v>
      </c>
      <c r="B125" t="s">
        <v>154</v>
      </c>
      <c r="D125">
        <v>0</v>
      </c>
      <c r="F125">
        <v>15</v>
      </c>
      <c r="G125">
        <v>0</v>
      </c>
      <c r="H125">
        <v>35771</v>
      </c>
      <c r="I125">
        <v>1440</v>
      </c>
      <c r="J125">
        <v>1455</v>
      </c>
      <c r="K125">
        <v>1455</v>
      </c>
      <c r="L125">
        <v>4.0675407452964697E-2</v>
      </c>
      <c r="M125" t="s">
        <v>653</v>
      </c>
      <c r="N125" t="s">
        <v>88</v>
      </c>
      <c r="O125" t="s">
        <v>88</v>
      </c>
      <c r="P125" t="s">
        <v>88</v>
      </c>
    </row>
    <row r="126" spans="1:16" x14ac:dyDescent="0.25">
      <c r="A126" t="s">
        <v>155</v>
      </c>
      <c r="B126" t="s">
        <v>156</v>
      </c>
      <c r="D126">
        <v>0</v>
      </c>
      <c r="F126">
        <v>4</v>
      </c>
      <c r="G126">
        <v>0</v>
      </c>
      <c r="H126">
        <v>2662</v>
      </c>
      <c r="I126">
        <v>333</v>
      </c>
      <c r="J126">
        <v>337</v>
      </c>
      <c r="K126">
        <v>337</v>
      </c>
      <c r="L126">
        <v>0.126596543951916</v>
      </c>
      <c r="M126" t="s">
        <v>653</v>
      </c>
      <c r="N126" t="s">
        <v>88</v>
      </c>
      <c r="O126" t="s">
        <v>653</v>
      </c>
      <c r="P126" t="s">
        <v>653</v>
      </c>
    </row>
    <row r="127" spans="1:16" x14ac:dyDescent="0.25">
      <c r="A127" t="s">
        <v>157</v>
      </c>
      <c r="B127" t="s">
        <v>158</v>
      </c>
      <c r="D127">
        <v>0</v>
      </c>
      <c r="F127">
        <v>0</v>
      </c>
      <c r="G127">
        <v>0</v>
      </c>
      <c r="H127">
        <v>28</v>
      </c>
      <c r="I127">
        <v>10</v>
      </c>
      <c r="J127">
        <v>10</v>
      </c>
      <c r="K127">
        <v>10</v>
      </c>
      <c r="L127">
        <v>0.35714285714285698</v>
      </c>
      <c r="M127" t="s">
        <v>653</v>
      </c>
      <c r="N127" t="s">
        <v>653</v>
      </c>
      <c r="O127" t="s">
        <v>653</v>
      </c>
      <c r="P127" t="s">
        <v>653</v>
      </c>
    </row>
    <row r="128" spans="1:16" x14ac:dyDescent="0.25">
      <c r="A128" t="s">
        <v>159</v>
      </c>
      <c r="B128" t="s">
        <v>160</v>
      </c>
      <c r="D128">
        <v>0</v>
      </c>
      <c r="F128">
        <v>2</v>
      </c>
      <c r="G128">
        <v>0</v>
      </c>
      <c r="H128">
        <v>833</v>
      </c>
      <c r="I128">
        <v>35</v>
      </c>
      <c r="J128">
        <v>37</v>
      </c>
      <c r="K128">
        <v>37</v>
      </c>
      <c r="L128">
        <v>4.4417767106842698E-2</v>
      </c>
      <c r="M128" t="s">
        <v>653</v>
      </c>
      <c r="N128" t="s">
        <v>88</v>
      </c>
      <c r="O128" t="s">
        <v>88</v>
      </c>
      <c r="P128" t="s">
        <v>88</v>
      </c>
    </row>
    <row r="129" spans="1:16" x14ac:dyDescent="0.25">
      <c r="A129" t="s">
        <v>447</v>
      </c>
      <c r="B129" t="s">
        <v>448</v>
      </c>
      <c r="D129">
        <v>0</v>
      </c>
      <c r="F129">
        <v>1</v>
      </c>
      <c r="G129">
        <v>0</v>
      </c>
      <c r="H129">
        <v>301</v>
      </c>
      <c r="I129">
        <v>50</v>
      </c>
      <c r="J129">
        <v>51</v>
      </c>
      <c r="K129">
        <v>51</v>
      </c>
      <c r="L129">
        <v>0.16943521594684399</v>
      </c>
      <c r="M129" t="s">
        <v>653</v>
      </c>
      <c r="N129" t="s">
        <v>653</v>
      </c>
      <c r="O129" t="s">
        <v>653</v>
      </c>
      <c r="P129" t="s">
        <v>653</v>
      </c>
    </row>
    <row r="130" spans="1:16" x14ac:dyDescent="0.25">
      <c r="A130" t="s">
        <v>449</v>
      </c>
      <c r="B130" t="s">
        <v>450</v>
      </c>
      <c r="D130">
        <v>0</v>
      </c>
      <c r="F130">
        <v>26</v>
      </c>
      <c r="G130">
        <v>0</v>
      </c>
      <c r="H130">
        <v>7321</v>
      </c>
      <c r="I130">
        <v>1332</v>
      </c>
      <c r="J130">
        <v>1358</v>
      </c>
      <c r="K130">
        <v>1358</v>
      </c>
      <c r="L130">
        <v>0.18549378500204899</v>
      </c>
      <c r="M130" t="s">
        <v>653</v>
      </c>
      <c r="N130" t="s">
        <v>653</v>
      </c>
      <c r="O130" t="s">
        <v>653</v>
      </c>
      <c r="P130" t="s">
        <v>653</v>
      </c>
    </row>
    <row r="131" spans="1:16" x14ac:dyDescent="0.25">
      <c r="A131" t="s">
        <v>451</v>
      </c>
      <c r="B131" t="s">
        <v>452</v>
      </c>
      <c r="D131">
        <v>0</v>
      </c>
      <c r="F131">
        <v>12</v>
      </c>
      <c r="G131">
        <v>0</v>
      </c>
      <c r="H131">
        <v>257</v>
      </c>
      <c r="I131">
        <v>52</v>
      </c>
      <c r="J131">
        <v>64</v>
      </c>
      <c r="K131">
        <v>64</v>
      </c>
      <c r="L131">
        <v>0.249027237354086</v>
      </c>
      <c r="M131" t="s">
        <v>653</v>
      </c>
      <c r="N131" t="s">
        <v>653</v>
      </c>
      <c r="O131" t="s">
        <v>653</v>
      </c>
      <c r="P131" t="s">
        <v>653</v>
      </c>
    </row>
    <row r="132" spans="1:16" x14ac:dyDescent="0.25">
      <c r="A132" t="s">
        <v>453</v>
      </c>
      <c r="B132" t="s">
        <v>454</v>
      </c>
      <c r="D132">
        <v>0</v>
      </c>
      <c r="F132">
        <v>1</v>
      </c>
      <c r="G132">
        <v>0</v>
      </c>
      <c r="H132">
        <v>280</v>
      </c>
      <c r="I132">
        <v>48</v>
      </c>
      <c r="J132">
        <v>49</v>
      </c>
      <c r="K132">
        <v>49</v>
      </c>
      <c r="L132">
        <v>0.17499999999999999</v>
      </c>
      <c r="M132" t="s">
        <v>653</v>
      </c>
      <c r="N132" t="s">
        <v>653</v>
      </c>
      <c r="O132" t="s">
        <v>653</v>
      </c>
      <c r="P132" t="s">
        <v>653</v>
      </c>
    </row>
    <row r="133" spans="1:16" x14ac:dyDescent="0.25">
      <c r="A133" t="s">
        <v>76</v>
      </c>
      <c r="B133" t="s">
        <v>30</v>
      </c>
      <c r="C133" t="s">
        <v>61</v>
      </c>
      <c r="D133">
        <v>0</v>
      </c>
      <c r="E133">
        <v>0</v>
      </c>
      <c r="F133">
        <v>0</v>
      </c>
      <c r="G133">
        <v>0</v>
      </c>
      <c r="H133">
        <v>38.428059681872078</v>
      </c>
      <c r="I133">
        <v>7.8056390108620333</v>
      </c>
      <c r="J133">
        <v>7.8056390108620333</v>
      </c>
      <c r="K133">
        <v>0</v>
      </c>
      <c r="L133">
        <v>0.203123422714581</v>
      </c>
      <c r="M133" t="s">
        <v>88</v>
      </c>
      <c r="N133" t="s">
        <v>88</v>
      </c>
      <c r="O133" t="s">
        <v>88</v>
      </c>
      <c r="P133" t="s">
        <v>88</v>
      </c>
    </row>
    <row r="134" spans="1:16" x14ac:dyDescent="0.25">
      <c r="A134" t="s">
        <v>455</v>
      </c>
      <c r="B134" t="s">
        <v>456</v>
      </c>
      <c r="D134">
        <v>0</v>
      </c>
      <c r="F134">
        <v>0</v>
      </c>
      <c r="G134">
        <v>0</v>
      </c>
      <c r="H134">
        <v>418</v>
      </c>
      <c r="I134">
        <v>90</v>
      </c>
      <c r="J134">
        <v>90</v>
      </c>
      <c r="K134">
        <v>90</v>
      </c>
      <c r="L134">
        <v>0.21531100478468901</v>
      </c>
      <c r="M134" t="s">
        <v>653</v>
      </c>
      <c r="N134" t="s">
        <v>653</v>
      </c>
      <c r="O134" t="s">
        <v>653</v>
      </c>
      <c r="P134" t="s">
        <v>653</v>
      </c>
    </row>
    <row r="135" spans="1:16" x14ac:dyDescent="0.25">
      <c r="A135" t="s">
        <v>161</v>
      </c>
      <c r="B135" t="s">
        <v>162</v>
      </c>
      <c r="D135">
        <v>0</v>
      </c>
      <c r="F135">
        <v>2</v>
      </c>
      <c r="G135">
        <v>0</v>
      </c>
      <c r="H135">
        <v>4363</v>
      </c>
      <c r="I135">
        <v>346</v>
      </c>
      <c r="J135">
        <v>348</v>
      </c>
      <c r="K135">
        <v>348</v>
      </c>
      <c r="L135">
        <v>7.9761631904652797E-2</v>
      </c>
      <c r="M135" t="s">
        <v>653</v>
      </c>
      <c r="N135" t="s">
        <v>88</v>
      </c>
      <c r="O135" t="s">
        <v>653</v>
      </c>
      <c r="P135" t="s">
        <v>653</v>
      </c>
    </row>
    <row r="136" spans="1:16" x14ac:dyDescent="0.25">
      <c r="A136" t="s">
        <v>457</v>
      </c>
      <c r="B136" t="s">
        <v>458</v>
      </c>
      <c r="D136">
        <v>0</v>
      </c>
      <c r="F136">
        <v>0</v>
      </c>
      <c r="G136">
        <v>0</v>
      </c>
      <c r="H136">
        <v>770</v>
      </c>
      <c r="I136">
        <v>120</v>
      </c>
      <c r="J136">
        <v>120</v>
      </c>
      <c r="K136">
        <v>120</v>
      </c>
      <c r="L136">
        <v>0.15584415584415601</v>
      </c>
      <c r="M136" t="s">
        <v>653</v>
      </c>
      <c r="N136" t="s">
        <v>653</v>
      </c>
      <c r="O136" t="s">
        <v>653</v>
      </c>
      <c r="P136" t="s">
        <v>653</v>
      </c>
    </row>
    <row r="137" spans="1:16" x14ac:dyDescent="0.25">
      <c r="A137" t="s">
        <v>459</v>
      </c>
      <c r="B137" t="s">
        <v>460</v>
      </c>
      <c r="D137">
        <v>0</v>
      </c>
      <c r="F137">
        <v>0</v>
      </c>
      <c r="G137">
        <v>0</v>
      </c>
      <c r="H137">
        <v>86</v>
      </c>
      <c r="I137">
        <v>11</v>
      </c>
      <c r="J137">
        <v>11</v>
      </c>
      <c r="K137">
        <v>11</v>
      </c>
      <c r="L137">
        <v>0.127906976744186</v>
      </c>
      <c r="M137" t="s">
        <v>653</v>
      </c>
      <c r="N137" t="s">
        <v>88</v>
      </c>
      <c r="O137" t="s">
        <v>653</v>
      </c>
      <c r="P137" t="s">
        <v>653</v>
      </c>
    </row>
    <row r="138" spans="1:16" x14ac:dyDescent="0.25">
      <c r="A138" t="s">
        <v>284</v>
      </c>
      <c r="B138" t="s">
        <v>285</v>
      </c>
      <c r="D138">
        <v>0</v>
      </c>
      <c r="F138">
        <v>1</v>
      </c>
      <c r="G138">
        <v>0</v>
      </c>
      <c r="H138">
        <v>614</v>
      </c>
      <c r="I138">
        <v>103</v>
      </c>
      <c r="J138">
        <v>104</v>
      </c>
      <c r="K138">
        <v>104</v>
      </c>
      <c r="L138">
        <v>0.169381107491857</v>
      </c>
      <c r="M138" t="s">
        <v>653</v>
      </c>
      <c r="N138" t="s">
        <v>653</v>
      </c>
      <c r="O138" t="s">
        <v>653</v>
      </c>
      <c r="P138" t="s">
        <v>653</v>
      </c>
    </row>
    <row r="139" spans="1:16" x14ac:dyDescent="0.25">
      <c r="A139" t="s">
        <v>461</v>
      </c>
      <c r="B139" t="s">
        <v>462</v>
      </c>
      <c r="D139">
        <v>0</v>
      </c>
      <c r="F139">
        <v>0</v>
      </c>
      <c r="G139">
        <v>0</v>
      </c>
      <c r="H139">
        <v>208</v>
      </c>
      <c r="I139">
        <v>25</v>
      </c>
      <c r="J139">
        <v>25</v>
      </c>
      <c r="K139">
        <v>25</v>
      </c>
      <c r="L139">
        <v>0.120192307692308</v>
      </c>
      <c r="M139" t="s">
        <v>653</v>
      </c>
      <c r="N139" t="s">
        <v>88</v>
      </c>
      <c r="O139" t="s">
        <v>653</v>
      </c>
      <c r="P139" t="s">
        <v>653</v>
      </c>
    </row>
    <row r="140" spans="1:16" x14ac:dyDescent="0.25">
      <c r="A140" t="s">
        <v>463</v>
      </c>
      <c r="B140" t="s">
        <v>464</v>
      </c>
      <c r="D140">
        <v>0</v>
      </c>
      <c r="F140">
        <v>10</v>
      </c>
      <c r="G140">
        <v>0</v>
      </c>
      <c r="H140">
        <v>644</v>
      </c>
      <c r="I140">
        <v>116</v>
      </c>
      <c r="J140">
        <v>126</v>
      </c>
      <c r="K140">
        <v>126</v>
      </c>
      <c r="L140">
        <v>0.19565217391304399</v>
      </c>
      <c r="M140" t="s">
        <v>653</v>
      </c>
      <c r="N140" t="s">
        <v>653</v>
      </c>
      <c r="O140" t="s">
        <v>653</v>
      </c>
      <c r="P140" t="s">
        <v>653</v>
      </c>
    </row>
    <row r="141" spans="1:16" x14ac:dyDescent="0.25">
      <c r="A141" t="s">
        <v>163</v>
      </c>
      <c r="B141" t="s">
        <v>164</v>
      </c>
      <c r="D141">
        <v>0</v>
      </c>
      <c r="F141">
        <v>38</v>
      </c>
      <c r="G141">
        <v>0</v>
      </c>
      <c r="H141">
        <v>12636</v>
      </c>
      <c r="I141">
        <v>1407</v>
      </c>
      <c r="J141">
        <v>1445</v>
      </c>
      <c r="K141">
        <v>1445</v>
      </c>
      <c r="L141">
        <v>0.11435580880025301</v>
      </c>
      <c r="M141" t="s">
        <v>653</v>
      </c>
      <c r="N141" t="s">
        <v>88</v>
      </c>
      <c r="O141" t="s">
        <v>653</v>
      </c>
      <c r="P141" t="s">
        <v>653</v>
      </c>
    </row>
    <row r="142" spans="1:16" x14ac:dyDescent="0.25">
      <c r="A142" t="s">
        <v>465</v>
      </c>
      <c r="B142" t="s">
        <v>466</v>
      </c>
      <c r="D142">
        <v>0</v>
      </c>
      <c r="F142">
        <v>3</v>
      </c>
      <c r="G142">
        <v>0</v>
      </c>
      <c r="H142">
        <v>573</v>
      </c>
      <c r="I142">
        <v>44</v>
      </c>
      <c r="J142">
        <v>47</v>
      </c>
      <c r="K142">
        <v>47</v>
      </c>
      <c r="L142">
        <v>8.2024432809773104E-2</v>
      </c>
      <c r="M142" t="s">
        <v>653</v>
      </c>
      <c r="N142" t="s">
        <v>88</v>
      </c>
      <c r="O142" t="s">
        <v>653</v>
      </c>
      <c r="P142" t="s">
        <v>653</v>
      </c>
    </row>
    <row r="143" spans="1:16" x14ac:dyDescent="0.25">
      <c r="A143" t="s">
        <v>165</v>
      </c>
      <c r="B143" t="s">
        <v>166</v>
      </c>
      <c r="D143">
        <v>0</v>
      </c>
      <c r="F143">
        <v>26</v>
      </c>
      <c r="G143">
        <v>0</v>
      </c>
      <c r="H143">
        <v>12104</v>
      </c>
      <c r="I143">
        <v>868</v>
      </c>
      <c r="J143">
        <v>894</v>
      </c>
      <c r="K143">
        <v>894</v>
      </c>
      <c r="L143">
        <v>7.3859881031064098E-2</v>
      </c>
      <c r="M143" t="s">
        <v>653</v>
      </c>
      <c r="N143" t="s">
        <v>88</v>
      </c>
      <c r="O143" t="s">
        <v>653</v>
      </c>
      <c r="P143" t="s">
        <v>653</v>
      </c>
    </row>
    <row r="144" spans="1:16" x14ac:dyDescent="0.25">
      <c r="A144" t="s">
        <v>167</v>
      </c>
      <c r="B144" t="s">
        <v>168</v>
      </c>
      <c r="D144">
        <v>0</v>
      </c>
      <c r="F144">
        <v>5</v>
      </c>
      <c r="G144">
        <v>0</v>
      </c>
      <c r="H144">
        <v>1814</v>
      </c>
      <c r="I144">
        <v>168</v>
      </c>
      <c r="J144">
        <v>173</v>
      </c>
      <c r="K144">
        <v>173</v>
      </c>
      <c r="L144">
        <v>9.5369349503858905E-2</v>
      </c>
      <c r="M144" t="s">
        <v>653</v>
      </c>
      <c r="N144" t="s">
        <v>88</v>
      </c>
      <c r="O144" t="s">
        <v>653</v>
      </c>
      <c r="P144" t="s">
        <v>653</v>
      </c>
    </row>
    <row r="145" spans="1:16" x14ac:dyDescent="0.25">
      <c r="A145" t="s">
        <v>169</v>
      </c>
      <c r="B145" t="s">
        <v>170</v>
      </c>
      <c r="D145">
        <v>0</v>
      </c>
      <c r="F145">
        <v>2</v>
      </c>
      <c r="G145">
        <v>0</v>
      </c>
      <c r="H145">
        <v>4900</v>
      </c>
      <c r="I145">
        <v>150</v>
      </c>
      <c r="J145">
        <v>152</v>
      </c>
      <c r="K145">
        <v>152</v>
      </c>
      <c r="L145">
        <v>3.10204081632653E-2</v>
      </c>
      <c r="M145" t="s">
        <v>653</v>
      </c>
      <c r="N145" t="s">
        <v>88</v>
      </c>
      <c r="O145" t="s">
        <v>88</v>
      </c>
      <c r="P145" t="s">
        <v>88</v>
      </c>
    </row>
    <row r="146" spans="1:16" x14ac:dyDescent="0.25">
      <c r="A146" t="s">
        <v>171</v>
      </c>
      <c r="B146" t="s">
        <v>172</v>
      </c>
      <c r="D146">
        <v>0</v>
      </c>
      <c r="F146">
        <v>3</v>
      </c>
      <c r="G146">
        <v>0</v>
      </c>
      <c r="H146">
        <v>1709</v>
      </c>
      <c r="I146">
        <v>213</v>
      </c>
      <c r="J146">
        <v>216</v>
      </c>
      <c r="K146">
        <v>216</v>
      </c>
      <c r="L146">
        <v>0.12638970157987101</v>
      </c>
      <c r="M146" t="s">
        <v>653</v>
      </c>
      <c r="N146" t="s">
        <v>88</v>
      </c>
      <c r="O146" t="s">
        <v>653</v>
      </c>
      <c r="P146" t="s">
        <v>653</v>
      </c>
    </row>
    <row r="147" spans="1:16" x14ac:dyDescent="0.25">
      <c r="A147" t="s">
        <v>467</v>
      </c>
      <c r="B147" t="s">
        <v>468</v>
      </c>
      <c r="D147">
        <v>0</v>
      </c>
      <c r="F147">
        <v>0</v>
      </c>
      <c r="G147">
        <v>0</v>
      </c>
      <c r="H147">
        <v>837</v>
      </c>
      <c r="I147">
        <v>129</v>
      </c>
      <c r="J147">
        <v>129</v>
      </c>
      <c r="K147">
        <v>129</v>
      </c>
      <c r="L147">
        <v>0.154121863799283</v>
      </c>
      <c r="M147" t="s">
        <v>653</v>
      </c>
      <c r="N147" t="s">
        <v>653</v>
      </c>
      <c r="O147" t="s">
        <v>653</v>
      </c>
      <c r="P147" t="s">
        <v>653</v>
      </c>
    </row>
    <row r="148" spans="1:16" x14ac:dyDescent="0.25">
      <c r="A148" t="s">
        <v>469</v>
      </c>
      <c r="B148" t="s">
        <v>470</v>
      </c>
      <c r="D148">
        <v>0</v>
      </c>
      <c r="F148">
        <v>0</v>
      </c>
      <c r="G148">
        <v>0</v>
      </c>
      <c r="H148">
        <v>73</v>
      </c>
      <c r="I148">
        <v>13</v>
      </c>
      <c r="J148">
        <v>13</v>
      </c>
      <c r="K148">
        <v>13</v>
      </c>
      <c r="L148">
        <v>0.17808219178082199</v>
      </c>
      <c r="M148" t="s">
        <v>653</v>
      </c>
      <c r="N148" t="s">
        <v>653</v>
      </c>
      <c r="O148" t="s">
        <v>653</v>
      </c>
      <c r="P148" t="s">
        <v>653</v>
      </c>
    </row>
    <row r="149" spans="1:16" x14ac:dyDescent="0.25">
      <c r="A149" t="s">
        <v>173</v>
      </c>
      <c r="B149" t="s">
        <v>174</v>
      </c>
      <c r="D149">
        <v>0</v>
      </c>
      <c r="F149">
        <v>10</v>
      </c>
      <c r="G149">
        <v>0</v>
      </c>
      <c r="H149">
        <v>6696</v>
      </c>
      <c r="I149">
        <v>453</v>
      </c>
      <c r="J149">
        <v>463</v>
      </c>
      <c r="K149">
        <v>463</v>
      </c>
      <c r="L149">
        <v>6.9145758661887699E-2</v>
      </c>
      <c r="M149" t="s">
        <v>653</v>
      </c>
      <c r="N149" t="s">
        <v>88</v>
      </c>
      <c r="O149" t="s">
        <v>653</v>
      </c>
      <c r="P149" t="s">
        <v>653</v>
      </c>
    </row>
    <row r="150" spans="1:16" x14ac:dyDescent="0.25">
      <c r="A150" t="s">
        <v>471</v>
      </c>
      <c r="B150" t="s">
        <v>472</v>
      </c>
      <c r="D150">
        <v>0</v>
      </c>
      <c r="F150">
        <v>3</v>
      </c>
      <c r="G150">
        <v>0</v>
      </c>
      <c r="H150">
        <v>1337</v>
      </c>
      <c r="I150">
        <v>120</v>
      </c>
      <c r="J150">
        <v>123</v>
      </c>
      <c r="K150">
        <v>123</v>
      </c>
      <c r="L150">
        <v>9.1997008227374694E-2</v>
      </c>
      <c r="M150" t="s">
        <v>653</v>
      </c>
      <c r="N150" t="s">
        <v>88</v>
      </c>
      <c r="O150" t="s">
        <v>653</v>
      </c>
      <c r="P150" t="s">
        <v>653</v>
      </c>
    </row>
    <row r="151" spans="1:16" x14ac:dyDescent="0.25">
      <c r="A151" t="s">
        <v>473</v>
      </c>
      <c r="B151" t="s">
        <v>474</v>
      </c>
      <c r="D151">
        <v>0</v>
      </c>
      <c r="F151">
        <v>1</v>
      </c>
      <c r="G151">
        <v>0</v>
      </c>
      <c r="H151">
        <v>337</v>
      </c>
      <c r="I151">
        <v>42</v>
      </c>
      <c r="J151">
        <v>43</v>
      </c>
      <c r="K151">
        <v>43</v>
      </c>
      <c r="L151">
        <v>0.12759643916913899</v>
      </c>
      <c r="M151" t="s">
        <v>653</v>
      </c>
      <c r="N151" t="s">
        <v>88</v>
      </c>
      <c r="O151" t="s">
        <v>653</v>
      </c>
      <c r="P151" t="s">
        <v>653</v>
      </c>
    </row>
    <row r="152" spans="1:16" x14ac:dyDescent="0.25">
      <c r="A152" t="s">
        <v>475</v>
      </c>
      <c r="B152" t="s">
        <v>476</v>
      </c>
      <c r="D152">
        <v>0</v>
      </c>
      <c r="F152">
        <v>54</v>
      </c>
      <c r="G152">
        <v>0</v>
      </c>
      <c r="H152">
        <v>9768</v>
      </c>
      <c r="I152">
        <v>1580</v>
      </c>
      <c r="J152">
        <v>1634</v>
      </c>
      <c r="K152">
        <v>1634</v>
      </c>
      <c r="L152">
        <v>0.16728091728091701</v>
      </c>
      <c r="M152" t="s">
        <v>653</v>
      </c>
      <c r="N152" t="s">
        <v>653</v>
      </c>
      <c r="O152" t="s">
        <v>653</v>
      </c>
      <c r="P152" t="s">
        <v>653</v>
      </c>
    </row>
    <row r="153" spans="1:16" x14ac:dyDescent="0.25">
      <c r="A153" t="s">
        <v>477</v>
      </c>
      <c r="B153" t="s">
        <v>478</v>
      </c>
      <c r="D153">
        <v>0</v>
      </c>
      <c r="F153">
        <v>2</v>
      </c>
      <c r="G153">
        <v>0</v>
      </c>
      <c r="H153">
        <v>708</v>
      </c>
      <c r="I153">
        <v>68</v>
      </c>
      <c r="J153">
        <v>70</v>
      </c>
      <c r="K153">
        <v>70</v>
      </c>
      <c r="L153">
        <v>9.8870056497175104E-2</v>
      </c>
      <c r="M153" t="s">
        <v>653</v>
      </c>
      <c r="N153" t="s">
        <v>88</v>
      </c>
      <c r="O153" t="s">
        <v>653</v>
      </c>
      <c r="P153" t="s">
        <v>653</v>
      </c>
    </row>
    <row r="154" spans="1:16" x14ac:dyDescent="0.25">
      <c r="A154" t="s">
        <v>479</v>
      </c>
      <c r="B154" t="s">
        <v>480</v>
      </c>
      <c r="D154">
        <v>0</v>
      </c>
      <c r="F154">
        <v>5</v>
      </c>
      <c r="G154">
        <v>0</v>
      </c>
      <c r="H154">
        <v>998</v>
      </c>
      <c r="I154">
        <v>124</v>
      </c>
      <c r="J154">
        <v>129</v>
      </c>
      <c r="K154">
        <v>129</v>
      </c>
      <c r="L154">
        <v>0.12925851703406799</v>
      </c>
      <c r="M154" t="s">
        <v>653</v>
      </c>
      <c r="N154" t="s">
        <v>88</v>
      </c>
      <c r="O154" t="s">
        <v>653</v>
      </c>
      <c r="P154" t="s">
        <v>653</v>
      </c>
    </row>
    <row r="155" spans="1:16" x14ac:dyDescent="0.25">
      <c r="A155" t="s">
        <v>481</v>
      </c>
      <c r="B155" t="s">
        <v>482</v>
      </c>
      <c r="D155">
        <v>0</v>
      </c>
      <c r="F155">
        <v>6</v>
      </c>
      <c r="G155">
        <v>0</v>
      </c>
      <c r="H155">
        <v>2441</v>
      </c>
      <c r="I155">
        <v>267</v>
      </c>
      <c r="J155">
        <v>273</v>
      </c>
      <c r="K155">
        <v>273</v>
      </c>
      <c r="L155">
        <v>0.111839410077837</v>
      </c>
      <c r="M155" t="s">
        <v>653</v>
      </c>
      <c r="N155" t="s">
        <v>88</v>
      </c>
      <c r="O155" t="s">
        <v>653</v>
      </c>
      <c r="P155" t="s">
        <v>653</v>
      </c>
    </row>
    <row r="156" spans="1:16" x14ac:dyDescent="0.25">
      <c r="A156" t="s">
        <v>175</v>
      </c>
      <c r="B156" t="s">
        <v>176</v>
      </c>
      <c r="D156">
        <v>0</v>
      </c>
      <c r="F156">
        <v>0</v>
      </c>
      <c r="G156">
        <v>0</v>
      </c>
      <c r="H156">
        <v>41</v>
      </c>
      <c r="I156">
        <v>2</v>
      </c>
      <c r="J156">
        <v>2</v>
      </c>
      <c r="K156">
        <v>2</v>
      </c>
      <c r="L156">
        <v>4.8780487804878002E-2</v>
      </c>
      <c r="M156" t="s">
        <v>88</v>
      </c>
      <c r="N156" t="s">
        <v>88</v>
      </c>
      <c r="O156" t="s">
        <v>88</v>
      </c>
      <c r="P156" t="s">
        <v>88</v>
      </c>
    </row>
    <row r="157" spans="1:16" x14ac:dyDescent="0.25">
      <c r="A157" t="s">
        <v>483</v>
      </c>
      <c r="B157" t="s">
        <v>484</v>
      </c>
      <c r="D157">
        <v>0</v>
      </c>
      <c r="F157">
        <v>16</v>
      </c>
      <c r="G157">
        <v>0</v>
      </c>
      <c r="H157">
        <v>6734</v>
      </c>
      <c r="I157">
        <v>891</v>
      </c>
      <c r="J157">
        <v>907</v>
      </c>
      <c r="K157">
        <v>907</v>
      </c>
      <c r="L157">
        <v>0.13468963468963499</v>
      </c>
      <c r="M157" t="s">
        <v>653</v>
      </c>
      <c r="N157" t="s">
        <v>88</v>
      </c>
      <c r="O157" t="s">
        <v>653</v>
      </c>
      <c r="P157" t="s">
        <v>653</v>
      </c>
    </row>
    <row r="158" spans="1:16" x14ac:dyDescent="0.25">
      <c r="A158" t="s">
        <v>286</v>
      </c>
      <c r="B158" t="s">
        <v>287</v>
      </c>
      <c r="D158">
        <v>0</v>
      </c>
      <c r="F158">
        <v>12</v>
      </c>
      <c r="G158">
        <v>0</v>
      </c>
      <c r="H158">
        <v>17058</v>
      </c>
      <c r="I158">
        <v>2448</v>
      </c>
      <c r="J158">
        <v>2460</v>
      </c>
      <c r="K158">
        <v>2460</v>
      </c>
      <c r="L158">
        <v>0.14421385860006999</v>
      </c>
      <c r="M158" t="s">
        <v>653</v>
      </c>
      <c r="N158" t="s">
        <v>88</v>
      </c>
      <c r="O158" t="s">
        <v>653</v>
      </c>
      <c r="P158" t="s">
        <v>653</v>
      </c>
    </row>
    <row r="159" spans="1:16" x14ac:dyDescent="0.25">
      <c r="A159" t="s">
        <v>485</v>
      </c>
      <c r="B159" t="s">
        <v>486</v>
      </c>
      <c r="D159">
        <v>0</v>
      </c>
      <c r="F159">
        <v>2</v>
      </c>
      <c r="G159">
        <v>0</v>
      </c>
      <c r="H159">
        <v>1614</v>
      </c>
      <c r="I159">
        <v>173</v>
      </c>
      <c r="J159">
        <v>175</v>
      </c>
      <c r="K159">
        <v>175</v>
      </c>
      <c r="L159">
        <v>0.108426270136307</v>
      </c>
      <c r="M159" t="s">
        <v>653</v>
      </c>
      <c r="N159" t="s">
        <v>88</v>
      </c>
      <c r="O159" t="s">
        <v>653</v>
      </c>
      <c r="P159" t="s">
        <v>653</v>
      </c>
    </row>
    <row r="160" spans="1:16" x14ac:dyDescent="0.25">
      <c r="A160" t="s">
        <v>487</v>
      </c>
      <c r="B160" t="s">
        <v>488</v>
      </c>
      <c r="D160">
        <v>0</v>
      </c>
      <c r="F160">
        <v>6</v>
      </c>
      <c r="G160">
        <v>0</v>
      </c>
      <c r="H160">
        <v>785</v>
      </c>
      <c r="I160">
        <v>82</v>
      </c>
      <c r="J160">
        <v>88</v>
      </c>
      <c r="K160">
        <v>88</v>
      </c>
      <c r="L160">
        <v>0.11210191082802499</v>
      </c>
      <c r="M160" t="s">
        <v>653</v>
      </c>
      <c r="N160" t="s">
        <v>88</v>
      </c>
      <c r="O160" t="s">
        <v>653</v>
      </c>
      <c r="P160" t="s">
        <v>653</v>
      </c>
    </row>
    <row r="161" spans="1:16" x14ac:dyDescent="0.25">
      <c r="A161" t="s">
        <v>489</v>
      </c>
      <c r="B161" t="s">
        <v>490</v>
      </c>
      <c r="D161">
        <v>0</v>
      </c>
      <c r="F161">
        <v>1</v>
      </c>
      <c r="G161">
        <v>0</v>
      </c>
      <c r="H161">
        <v>335</v>
      </c>
      <c r="I161">
        <v>39</v>
      </c>
      <c r="J161">
        <v>40</v>
      </c>
      <c r="K161">
        <v>40</v>
      </c>
      <c r="L161">
        <v>0.119402985074627</v>
      </c>
      <c r="M161" t="s">
        <v>653</v>
      </c>
      <c r="N161" t="s">
        <v>88</v>
      </c>
      <c r="O161" t="s">
        <v>653</v>
      </c>
      <c r="P161" t="s">
        <v>653</v>
      </c>
    </row>
    <row r="162" spans="1:16" x14ac:dyDescent="0.25">
      <c r="A162" t="s">
        <v>491</v>
      </c>
      <c r="B162" t="s">
        <v>492</v>
      </c>
      <c r="D162">
        <v>0</v>
      </c>
      <c r="F162">
        <v>0</v>
      </c>
      <c r="G162">
        <v>0</v>
      </c>
      <c r="H162">
        <v>246</v>
      </c>
      <c r="I162">
        <v>70</v>
      </c>
      <c r="J162">
        <v>70</v>
      </c>
      <c r="K162">
        <v>70</v>
      </c>
      <c r="L162">
        <v>0.284552845528455</v>
      </c>
      <c r="M162" t="s">
        <v>653</v>
      </c>
      <c r="N162" t="s">
        <v>653</v>
      </c>
      <c r="O162" t="s">
        <v>653</v>
      </c>
      <c r="P162" t="s">
        <v>653</v>
      </c>
    </row>
    <row r="163" spans="1:16" x14ac:dyDescent="0.25">
      <c r="A163" t="s">
        <v>493</v>
      </c>
      <c r="B163" t="s">
        <v>494</v>
      </c>
      <c r="D163">
        <v>0</v>
      </c>
      <c r="F163">
        <v>10</v>
      </c>
      <c r="G163">
        <v>0</v>
      </c>
      <c r="H163">
        <v>1430</v>
      </c>
      <c r="I163">
        <v>268</v>
      </c>
      <c r="J163">
        <v>278</v>
      </c>
      <c r="K163">
        <v>278</v>
      </c>
      <c r="L163">
        <v>0.19440559440559399</v>
      </c>
      <c r="M163" t="s">
        <v>653</v>
      </c>
      <c r="N163" t="s">
        <v>653</v>
      </c>
      <c r="O163" t="s">
        <v>653</v>
      </c>
      <c r="P163" t="s">
        <v>653</v>
      </c>
    </row>
    <row r="164" spans="1:16" x14ac:dyDescent="0.25">
      <c r="A164" t="s">
        <v>495</v>
      </c>
      <c r="B164" t="s">
        <v>496</v>
      </c>
      <c r="D164">
        <v>0</v>
      </c>
      <c r="F164">
        <v>1</v>
      </c>
      <c r="G164">
        <v>0</v>
      </c>
      <c r="H164">
        <v>1574</v>
      </c>
      <c r="I164">
        <v>115</v>
      </c>
      <c r="J164">
        <v>116</v>
      </c>
      <c r="K164">
        <v>116</v>
      </c>
      <c r="L164">
        <v>7.3697585768741997E-2</v>
      </c>
      <c r="M164" t="s">
        <v>653</v>
      </c>
      <c r="N164" t="s">
        <v>88</v>
      </c>
      <c r="O164" t="s">
        <v>653</v>
      </c>
      <c r="P164" t="s">
        <v>653</v>
      </c>
    </row>
    <row r="165" spans="1:16" x14ac:dyDescent="0.25">
      <c r="A165" t="s">
        <v>177</v>
      </c>
      <c r="B165" t="s">
        <v>178</v>
      </c>
      <c r="D165">
        <v>0</v>
      </c>
      <c r="F165">
        <v>7</v>
      </c>
      <c r="G165">
        <v>0</v>
      </c>
      <c r="H165">
        <v>2216</v>
      </c>
      <c r="I165">
        <v>242</v>
      </c>
      <c r="J165">
        <v>249</v>
      </c>
      <c r="K165">
        <v>249</v>
      </c>
      <c r="L165">
        <v>0.11236462093862799</v>
      </c>
      <c r="M165" t="s">
        <v>653</v>
      </c>
      <c r="N165" t="s">
        <v>88</v>
      </c>
      <c r="O165" t="s">
        <v>653</v>
      </c>
      <c r="P165" t="s">
        <v>653</v>
      </c>
    </row>
    <row r="166" spans="1:16" x14ac:dyDescent="0.25">
      <c r="A166" t="s">
        <v>497</v>
      </c>
      <c r="B166" t="s">
        <v>498</v>
      </c>
      <c r="D166">
        <v>0</v>
      </c>
      <c r="F166">
        <v>3</v>
      </c>
      <c r="G166">
        <v>0</v>
      </c>
      <c r="H166">
        <v>705</v>
      </c>
      <c r="I166">
        <v>126</v>
      </c>
      <c r="J166">
        <v>129</v>
      </c>
      <c r="K166">
        <v>129</v>
      </c>
      <c r="L166">
        <v>0.182978723404255</v>
      </c>
      <c r="M166" t="s">
        <v>653</v>
      </c>
      <c r="N166" t="s">
        <v>653</v>
      </c>
      <c r="O166" t="s">
        <v>653</v>
      </c>
      <c r="P166" t="s">
        <v>653</v>
      </c>
    </row>
    <row r="167" spans="1:16" x14ac:dyDescent="0.25">
      <c r="A167" t="s">
        <v>499</v>
      </c>
      <c r="B167" t="s">
        <v>500</v>
      </c>
      <c r="D167">
        <v>0</v>
      </c>
      <c r="F167">
        <v>0</v>
      </c>
      <c r="G167">
        <v>0</v>
      </c>
      <c r="H167">
        <v>2208</v>
      </c>
      <c r="I167">
        <v>198</v>
      </c>
      <c r="J167">
        <v>198</v>
      </c>
      <c r="K167">
        <v>198</v>
      </c>
      <c r="L167">
        <v>8.9673913043478201E-2</v>
      </c>
      <c r="M167" t="s">
        <v>653</v>
      </c>
      <c r="N167" t="s">
        <v>88</v>
      </c>
      <c r="O167" t="s">
        <v>653</v>
      </c>
      <c r="P167" t="s">
        <v>653</v>
      </c>
    </row>
    <row r="168" spans="1:16" x14ac:dyDescent="0.25">
      <c r="A168" t="s">
        <v>179</v>
      </c>
      <c r="B168" t="s">
        <v>180</v>
      </c>
      <c r="D168">
        <v>0</v>
      </c>
      <c r="F168">
        <v>24</v>
      </c>
      <c r="G168">
        <v>0</v>
      </c>
      <c r="H168">
        <v>7160</v>
      </c>
      <c r="I168">
        <v>475</v>
      </c>
      <c r="J168">
        <v>499</v>
      </c>
      <c r="K168">
        <v>499</v>
      </c>
      <c r="L168">
        <v>6.9692737430167601E-2</v>
      </c>
      <c r="M168" t="s">
        <v>653</v>
      </c>
      <c r="N168" t="s">
        <v>88</v>
      </c>
      <c r="O168" t="s">
        <v>653</v>
      </c>
      <c r="P168" t="s">
        <v>653</v>
      </c>
    </row>
    <row r="169" spans="1:16" x14ac:dyDescent="0.25">
      <c r="A169" t="s">
        <v>501</v>
      </c>
      <c r="B169" t="s">
        <v>502</v>
      </c>
      <c r="D169">
        <v>0</v>
      </c>
      <c r="F169">
        <v>4</v>
      </c>
      <c r="G169">
        <v>0</v>
      </c>
      <c r="H169">
        <v>2476</v>
      </c>
      <c r="I169">
        <v>368</v>
      </c>
      <c r="J169">
        <v>372</v>
      </c>
      <c r="K169">
        <v>372</v>
      </c>
      <c r="L169">
        <v>0.150242326332795</v>
      </c>
      <c r="M169" t="s">
        <v>653</v>
      </c>
      <c r="N169" t="s">
        <v>653</v>
      </c>
      <c r="O169" t="s">
        <v>653</v>
      </c>
      <c r="P169" t="s">
        <v>653</v>
      </c>
    </row>
    <row r="170" spans="1:16" x14ac:dyDescent="0.25">
      <c r="A170" t="s">
        <v>503</v>
      </c>
      <c r="B170" t="s">
        <v>504</v>
      </c>
      <c r="D170">
        <v>0</v>
      </c>
      <c r="F170">
        <v>0</v>
      </c>
      <c r="G170">
        <v>0</v>
      </c>
      <c r="H170">
        <v>51</v>
      </c>
      <c r="I170">
        <v>10</v>
      </c>
      <c r="J170">
        <v>10</v>
      </c>
      <c r="K170">
        <v>10</v>
      </c>
      <c r="L170">
        <v>0.19607843137254899</v>
      </c>
      <c r="M170" t="s">
        <v>653</v>
      </c>
      <c r="N170" t="s">
        <v>653</v>
      </c>
      <c r="O170" t="s">
        <v>653</v>
      </c>
      <c r="P170" t="s">
        <v>653</v>
      </c>
    </row>
    <row r="171" spans="1:16" x14ac:dyDescent="0.25">
      <c r="A171" t="s">
        <v>181</v>
      </c>
      <c r="B171" t="s">
        <v>182</v>
      </c>
      <c r="D171">
        <v>0</v>
      </c>
      <c r="F171">
        <v>33</v>
      </c>
      <c r="G171">
        <v>0</v>
      </c>
      <c r="H171">
        <v>17029</v>
      </c>
      <c r="I171">
        <v>1575</v>
      </c>
      <c r="J171">
        <v>1608</v>
      </c>
      <c r="K171">
        <v>1608</v>
      </c>
      <c r="L171">
        <v>9.4427153679018105E-2</v>
      </c>
      <c r="M171" t="s">
        <v>653</v>
      </c>
      <c r="N171" t="s">
        <v>88</v>
      </c>
      <c r="O171" t="s">
        <v>653</v>
      </c>
      <c r="P171" t="s">
        <v>653</v>
      </c>
    </row>
    <row r="172" spans="1:16" x14ac:dyDescent="0.25">
      <c r="A172" t="s">
        <v>505</v>
      </c>
      <c r="B172" t="s">
        <v>506</v>
      </c>
      <c r="D172">
        <v>0</v>
      </c>
      <c r="F172">
        <v>3</v>
      </c>
      <c r="G172">
        <v>0</v>
      </c>
      <c r="H172">
        <v>227</v>
      </c>
      <c r="I172">
        <v>44</v>
      </c>
      <c r="J172">
        <v>47</v>
      </c>
      <c r="K172">
        <v>47</v>
      </c>
      <c r="L172">
        <v>0.20704845814978001</v>
      </c>
      <c r="M172" t="s">
        <v>653</v>
      </c>
      <c r="N172" t="s">
        <v>653</v>
      </c>
      <c r="O172" t="s">
        <v>653</v>
      </c>
      <c r="P172" t="s">
        <v>653</v>
      </c>
    </row>
    <row r="173" spans="1:16" x14ac:dyDescent="0.25">
      <c r="A173" t="s">
        <v>183</v>
      </c>
      <c r="B173" t="s">
        <v>184</v>
      </c>
      <c r="D173">
        <v>0</v>
      </c>
      <c r="F173">
        <v>13</v>
      </c>
      <c r="G173">
        <v>0</v>
      </c>
      <c r="H173">
        <v>26389</v>
      </c>
      <c r="I173">
        <v>1033</v>
      </c>
      <c r="J173">
        <v>1046</v>
      </c>
      <c r="K173">
        <v>1046</v>
      </c>
      <c r="L173">
        <v>3.9637727841145901E-2</v>
      </c>
      <c r="M173" t="s">
        <v>653</v>
      </c>
      <c r="N173" t="s">
        <v>88</v>
      </c>
      <c r="O173" t="s">
        <v>88</v>
      </c>
      <c r="P173" t="s">
        <v>88</v>
      </c>
    </row>
    <row r="174" spans="1:16" x14ac:dyDescent="0.25">
      <c r="A174" t="s">
        <v>185</v>
      </c>
      <c r="B174" t="s">
        <v>186</v>
      </c>
      <c r="D174">
        <v>0</v>
      </c>
      <c r="F174">
        <v>6</v>
      </c>
      <c r="G174">
        <v>0</v>
      </c>
      <c r="H174">
        <v>5955</v>
      </c>
      <c r="I174">
        <v>569</v>
      </c>
      <c r="J174">
        <v>575</v>
      </c>
      <c r="K174">
        <v>575</v>
      </c>
      <c r="L174">
        <v>9.6557514693534796E-2</v>
      </c>
      <c r="M174" t="s">
        <v>653</v>
      </c>
      <c r="N174" t="s">
        <v>88</v>
      </c>
      <c r="O174" t="s">
        <v>653</v>
      </c>
      <c r="P174" t="s">
        <v>653</v>
      </c>
    </row>
    <row r="175" spans="1:16" x14ac:dyDescent="0.25">
      <c r="A175" t="s">
        <v>187</v>
      </c>
      <c r="B175" t="s">
        <v>188</v>
      </c>
      <c r="D175">
        <v>0</v>
      </c>
      <c r="F175">
        <v>0</v>
      </c>
      <c r="G175">
        <v>0</v>
      </c>
      <c r="H175">
        <v>131</v>
      </c>
      <c r="I175">
        <v>9</v>
      </c>
      <c r="J175">
        <v>9</v>
      </c>
      <c r="K175">
        <v>9</v>
      </c>
      <c r="L175">
        <v>6.8702290076335895E-2</v>
      </c>
      <c r="M175" t="s">
        <v>88</v>
      </c>
      <c r="N175" t="s">
        <v>88</v>
      </c>
      <c r="O175" t="s">
        <v>88</v>
      </c>
      <c r="P175" t="s">
        <v>88</v>
      </c>
    </row>
    <row r="176" spans="1:16" x14ac:dyDescent="0.25">
      <c r="A176" t="s">
        <v>507</v>
      </c>
      <c r="B176" t="s">
        <v>508</v>
      </c>
      <c r="D176">
        <v>0</v>
      </c>
      <c r="F176">
        <v>6</v>
      </c>
      <c r="G176">
        <v>0</v>
      </c>
      <c r="H176">
        <v>452</v>
      </c>
      <c r="I176">
        <v>62</v>
      </c>
      <c r="J176">
        <v>68</v>
      </c>
      <c r="K176">
        <v>68</v>
      </c>
      <c r="L176">
        <v>0.15044247787610601</v>
      </c>
      <c r="M176" t="s">
        <v>653</v>
      </c>
      <c r="N176" t="s">
        <v>653</v>
      </c>
      <c r="O176" t="s">
        <v>653</v>
      </c>
      <c r="P176" t="s">
        <v>653</v>
      </c>
    </row>
    <row r="177" spans="1:16" x14ac:dyDescent="0.25">
      <c r="A177" t="s">
        <v>509</v>
      </c>
      <c r="B177" t="s">
        <v>510</v>
      </c>
      <c r="D177">
        <v>0</v>
      </c>
      <c r="F177">
        <v>7</v>
      </c>
      <c r="G177">
        <v>0</v>
      </c>
      <c r="H177">
        <v>1023</v>
      </c>
      <c r="I177">
        <v>189</v>
      </c>
      <c r="J177">
        <v>196</v>
      </c>
      <c r="K177">
        <v>196</v>
      </c>
      <c r="L177">
        <v>0.19159335288367499</v>
      </c>
      <c r="M177" t="s">
        <v>653</v>
      </c>
      <c r="N177" t="s">
        <v>653</v>
      </c>
      <c r="O177" t="s">
        <v>653</v>
      </c>
      <c r="P177" t="s">
        <v>653</v>
      </c>
    </row>
    <row r="178" spans="1:16" x14ac:dyDescent="0.25">
      <c r="A178" t="s">
        <v>511</v>
      </c>
      <c r="B178" t="s">
        <v>512</v>
      </c>
      <c r="D178">
        <v>0</v>
      </c>
      <c r="F178">
        <v>2</v>
      </c>
      <c r="G178">
        <v>0</v>
      </c>
      <c r="H178">
        <v>660</v>
      </c>
      <c r="I178">
        <v>138</v>
      </c>
      <c r="J178">
        <v>140</v>
      </c>
      <c r="K178">
        <v>140</v>
      </c>
      <c r="L178">
        <v>0.21212121212121199</v>
      </c>
      <c r="M178" t="s">
        <v>653</v>
      </c>
      <c r="N178" t="s">
        <v>653</v>
      </c>
      <c r="O178" t="s">
        <v>653</v>
      </c>
      <c r="P178" t="s">
        <v>653</v>
      </c>
    </row>
    <row r="179" spans="1:16" x14ac:dyDescent="0.25">
      <c r="A179" t="s">
        <v>288</v>
      </c>
      <c r="B179" t="s">
        <v>289</v>
      </c>
      <c r="D179">
        <v>0</v>
      </c>
      <c r="F179">
        <v>0</v>
      </c>
      <c r="G179">
        <v>0</v>
      </c>
      <c r="H179">
        <v>308</v>
      </c>
      <c r="I179">
        <v>45</v>
      </c>
      <c r="J179">
        <v>45</v>
      </c>
      <c r="K179">
        <v>45</v>
      </c>
      <c r="L179">
        <v>0.14610389610389601</v>
      </c>
      <c r="M179" t="s">
        <v>653</v>
      </c>
      <c r="N179" t="s">
        <v>88</v>
      </c>
      <c r="O179" t="s">
        <v>653</v>
      </c>
      <c r="P179" t="s">
        <v>653</v>
      </c>
    </row>
    <row r="180" spans="1:16" x14ac:dyDescent="0.25">
      <c r="A180" t="s">
        <v>513</v>
      </c>
      <c r="B180" t="s">
        <v>514</v>
      </c>
      <c r="D180">
        <v>0</v>
      </c>
      <c r="F180">
        <v>1</v>
      </c>
      <c r="G180">
        <v>0</v>
      </c>
      <c r="H180">
        <v>951</v>
      </c>
      <c r="I180">
        <v>151</v>
      </c>
      <c r="J180">
        <v>152</v>
      </c>
      <c r="K180">
        <v>152</v>
      </c>
      <c r="L180">
        <v>0.15983175604626701</v>
      </c>
      <c r="M180" t="s">
        <v>653</v>
      </c>
      <c r="N180" t="s">
        <v>653</v>
      </c>
      <c r="O180" t="s">
        <v>653</v>
      </c>
      <c r="P180" t="s">
        <v>653</v>
      </c>
    </row>
    <row r="181" spans="1:16" x14ac:dyDescent="0.25">
      <c r="A181" t="s">
        <v>189</v>
      </c>
      <c r="B181" t="s">
        <v>190</v>
      </c>
      <c r="D181">
        <v>0</v>
      </c>
      <c r="F181">
        <v>22</v>
      </c>
      <c r="G181">
        <v>0</v>
      </c>
      <c r="H181">
        <v>10404</v>
      </c>
      <c r="I181">
        <v>868</v>
      </c>
      <c r="J181">
        <v>890</v>
      </c>
      <c r="K181">
        <v>890</v>
      </c>
      <c r="L181">
        <v>8.5544021530180703E-2</v>
      </c>
      <c r="M181" t="s">
        <v>653</v>
      </c>
      <c r="N181" t="s">
        <v>88</v>
      </c>
      <c r="O181" t="s">
        <v>653</v>
      </c>
      <c r="P181" t="s">
        <v>653</v>
      </c>
    </row>
    <row r="182" spans="1:16" x14ac:dyDescent="0.25">
      <c r="A182" t="s">
        <v>515</v>
      </c>
      <c r="B182" t="s">
        <v>516</v>
      </c>
      <c r="D182">
        <v>0</v>
      </c>
      <c r="F182">
        <v>9</v>
      </c>
      <c r="G182">
        <v>0</v>
      </c>
      <c r="H182">
        <v>1880</v>
      </c>
      <c r="I182">
        <v>384</v>
      </c>
      <c r="J182">
        <v>393</v>
      </c>
      <c r="K182">
        <v>393</v>
      </c>
      <c r="L182">
        <v>0.20904255319148901</v>
      </c>
      <c r="M182" t="s">
        <v>653</v>
      </c>
      <c r="N182" t="s">
        <v>653</v>
      </c>
      <c r="O182" t="s">
        <v>653</v>
      </c>
      <c r="P182" t="s">
        <v>653</v>
      </c>
    </row>
    <row r="183" spans="1:16" x14ac:dyDescent="0.25">
      <c r="A183" t="s">
        <v>517</v>
      </c>
      <c r="B183" t="s">
        <v>518</v>
      </c>
      <c r="D183">
        <v>0</v>
      </c>
      <c r="F183">
        <v>15</v>
      </c>
      <c r="G183">
        <v>0</v>
      </c>
      <c r="H183">
        <v>946</v>
      </c>
      <c r="I183">
        <v>102</v>
      </c>
      <c r="J183">
        <v>117</v>
      </c>
      <c r="K183">
        <v>117</v>
      </c>
      <c r="L183">
        <v>0.123678646934461</v>
      </c>
      <c r="M183" t="s">
        <v>653</v>
      </c>
      <c r="N183" t="s">
        <v>88</v>
      </c>
      <c r="O183" t="s">
        <v>653</v>
      </c>
      <c r="P183" t="s">
        <v>653</v>
      </c>
    </row>
    <row r="184" spans="1:16" x14ac:dyDescent="0.25">
      <c r="A184" t="s">
        <v>519</v>
      </c>
      <c r="B184" t="s">
        <v>520</v>
      </c>
      <c r="D184">
        <v>0</v>
      </c>
      <c r="F184">
        <v>0</v>
      </c>
      <c r="G184">
        <v>0</v>
      </c>
      <c r="H184">
        <v>63</v>
      </c>
      <c r="I184">
        <v>24</v>
      </c>
      <c r="J184">
        <v>24</v>
      </c>
      <c r="K184">
        <v>24</v>
      </c>
      <c r="L184">
        <v>0.38095238095238099</v>
      </c>
      <c r="M184" t="s">
        <v>653</v>
      </c>
      <c r="N184" t="s">
        <v>653</v>
      </c>
      <c r="O184" t="s">
        <v>653</v>
      </c>
      <c r="P184" t="s">
        <v>653</v>
      </c>
    </row>
    <row r="185" spans="1:16" x14ac:dyDescent="0.25">
      <c r="A185" t="s">
        <v>521</v>
      </c>
      <c r="B185" t="s">
        <v>522</v>
      </c>
      <c r="D185">
        <v>0</v>
      </c>
      <c r="F185">
        <v>0</v>
      </c>
      <c r="G185">
        <v>0</v>
      </c>
      <c r="H185">
        <v>573</v>
      </c>
      <c r="I185">
        <v>84</v>
      </c>
      <c r="J185">
        <v>84</v>
      </c>
      <c r="K185">
        <v>84</v>
      </c>
      <c r="L185">
        <v>0.146596858638743</v>
      </c>
      <c r="M185" t="s">
        <v>653</v>
      </c>
      <c r="N185" t="s">
        <v>88</v>
      </c>
      <c r="O185" t="s">
        <v>653</v>
      </c>
      <c r="P185" t="s">
        <v>653</v>
      </c>
    </row>
    <row r="186" spans="1:16" x14ac:dyDescent="0.25">
      <c r="A186" t="s">
        <v>290</v>
      </c>
      <c r="B186" t="s">
        <v>291</v>
      </c>
      <c r="D186">
        <v>0</v>
      </c>
      <c r="F186">
        <v>0</v>
      </c>
      <c r="G186">
        <v>0</v>
      </c>
      <c r="H186">
        <v>178</v>
      </c>
      <c r="I186">
        <v>16</v>
      </c>
      <c r="J186">
        <v>16</v>
      </c>
      <c r="K186">
        <v>16</v>
      </c>
      <c r="L186">
        <v>8.98876404494382E-2</v>
      </c>
      <c r="M186" t="s">
        <v>653</v>
      </c>
      <c r="N186" t="s">
        <v>88</v>
      </c>
      <c r="O186" t="s">
        <v>653</v>
      </c>
      <c r="P186" t="s">
        <v>653</v>
      </c>
    </row>
    <row r="187" spans="1:16" x14ac:dyDescent="0.25">
      <c r="A187" t="s">
        <v>523</v>
      </c>
      <c r="B187" t="s">
        <v>524</v>
      </c>
      <c r="D187">
        <v>0</v>
      </c>
      <c r="F187">
        <v>0</v>
      </c>
      <c r="G187">
        <v>0</v>
      </c>
      <c r="H187">
        <v>130</v>
      </c>
      <c r="I187">
        <v>45</v>
      </c>
      <c r="J187">
        <v>45</v>
      </c>
      <c r="K187">
        <v>45</v>
      </c>
      <c r="L187">
        <v>0.34615384615384598</v>
      </c>
      <c r="M187" t="s">
        <v>653</v>
      </c>
      <c r="N187" t="s">
        <v>653</v>
      </c>
      <c r="O187" t="s">
        <v>653</v>
      </c>
      <c r="P187" t="s">
        <v>653</v>
      </c>
    </row>
    <row r="188" spans="1:16" x14ac:dyDescent="0.25">
      <c r="A188" t="s">
        <v>525</v>
      </c>
      <c r="B188" t="s">
        <v>526</v>
      </c>
      <c r="D188">
        <v>0</v>
      </c>
      <c r="F188">
        <v>0</v>
      </c>
      <c r="G188">
        <v>0</v>
      </c>
      <c r="H188">
        <v>264</v>
      </c>
      <c r="I188">
        <v>19</v>
      </c>
      <c r="J188">
        <v>19</v>
      </c>
      <c r="K188">
        <v>19</v>
      </c>
      <c r="L188">
        <v>7.1969696969697003E-2</v>
      </c>
      <c r="M188" t="s">
        <v>653</v>
      </c>
      <c r="N188" t="s">
        <v>88</v>
      </c>
      <c r="O188" t="s">
        <v>653</v>
      </c>
      <c r="P188" t="s">
        <v>653</v>
      </c>
    </row>
    <row r="189" spans="1:16" x14ac:dyDescent="0.25">
      <c r="A189" t="s">
        <v>527</v>
      </c>
      <c r="B189" t="s">
        <v>528</v>
      </c>
      <c r="D189">
        <v>0</v>
      </c>
      <c r="F189">
        <v>4</v>
      </c>
      <c r="G189">
        <v>0</v>
      </c>
      <c r="H189">
        <v>692</v>
      </c>
      <c r="I189">
        <v>145</v>
      </c>
      <c r="J189">
        <v>149</v>
      </c>
      <c r="K189">
        <v>149</v>
      </c>
      <c r="L189">
        <v>0.215317919075144</v>
      </c>
      <c r="M189" t="s">
        <v>653</v>
      </c>
      <c r="N189" t="s">
        <v>653</v>
      </c>
      <c r="O189" t="s">
        <v>653</v>
      </c>
      <c r="P189" t="s">
        <v>653</v>
      </c>
    </row>
    <row r="190" spans="1:16" x14ac:dyDescent="0.25">
      <c r="A190" t="s">
        <v>292</v>
      </c>
      <c r="B190" t="s">
        <v>293</v>
      </c>
      <c r="D190">
        <v>0</v>
      </c>
      <c r="F190">
        <v>10</v>
      </c>
      <c r="G190">
        <v>0</v>
      </c>
      <c r="H190">
        <v>3274</v>
      </c>
      <c r="I190">
        <v>159</v>
      </c>
      <c r="J190">
        <v>169</v>
      </c>
      <c r="K190">
        <v>169</v>
      </c>
      <c r="L190">
        <v>5.16188149053146E-2</v>
      </c>
      <c r="M190" t="s">
        <v>653</v>
      </c>
      <c r="N190" t="s">
        <v>88</v>
      </c>
      <c r="O190" t="s">
        <v>653</v>
      </c>
      <c r="P190" t="s">
        <v>653</v>
      </c>
    </row>
    <row r="191" spans="1:16" x14ac:dyDescent="0.25">
      <c r="A191" t="s">
        <v>529</v>
      </c>
      <c r="B191" t="s">
        <v>530</v>
      </c>
      <c r="D191">
        <v>0</v>
      </c>
      <c r="F191">
        <v>8</v>
      </c>
      <c r="G191">
        <v>0</v>
      </c>
      <c r="H191">
        <v>4536</v>
      </c>
      <c r="I191">
        <v>895</v>
      </c>
      <c r="J191">
        <v>903</v>
      </c>
      <c r="K191">
        <v>903</v>
      </c>
      <c r="L191">
        <v>0.19907407407407399</v>
      </c>
      <c r="M191" t="s">
        <v>653</v>
      </c>
      <c r="N191" t="s">
        <v>653</v>
      </c>
      <c r="O191" t="s">
        <v>653</v>
      </c>
      <c r="P191" t="s">
        <v>653</v>
      </c>
    </row>
    <row r="192" spans="1:16" x14ac:dyDescent="0.25">
      <c r="A192" t="s">
        <v>531</v>
      </c>
      <c r="B192" t="s">
        <v>532</v>
      </c>
      <c r="D192">
        <v>0</v>
      </c>
      <c r="F192">
        <v>0</v>
      </c>
      <c r="G192">
        <v>0</v>
      </c>
      <c r="H192">
        <v>47</v>
      </c>
      <c r="I192">
        <v>5</v>
      </c>
      <c r="J192">
        <v>5</v>
      </c>
      <c r="K192">
        <v>5</v>
      </c>
      <c r="L192">
        <v>0.10638297872340401</v>
      </c>
      <c r="M192" t="s">
        <v>88</v>
      </c>
      <c r="N192" t="s">
        <v>88</v>
      </c>
      <c r="O192" t="s">
        <v>88</v>
      </c>
      <c r="P192" t="s">
        <v>88</v>
      </c>
    </row>
    <row r="193" spans="1:16" x14ac:dyDescent="0.25">
      <c r="A193" t="s">
        <v>533</v>
      </c>
      <c r="B193" t="s">
        <v>534</v>
      </c>
      <c r="D193">
        <v>0</v>
      </c>
      <c r="F193">
        <v>0</v>
      </c>
      <c r="G193">
        <v>0</v>
      </c>
      <c r="H193">
        <v>247</v>
      </c>
      <c r="I193">
        <v>12</v>
      </c>
      <c r="J193">
        <v>12</v>
      </c>
      <c r="K193">
        <v>12</v>
      </c>
      <c r="L193">
        <v>4.8582995951416998E-2</v>
      </c>
      <c r="M193" t="s">
        <v>653</v>
      </c>
      <c r="N193" t="s">
        <v>88</v>
      </c>
      <c r="O193" t="s">
        <v>88</v>
      </c>
      <c r="P193" t="s">
        <v>88</v>
      </c>
    </row>
    <row r="194" spans="1:16" x14ac:dyDescent="0.25">
      <c r="A194" t="s">
        <v>651</v>
      </c>
      <c r="B194" t="s">
        <v>652</v>
      </c>
      <c r="D194">
        <v>0</v>
      </c>
      <c r="E194">
        <v>771</v>
      </c>
      <c r="F194">
        <v>0</v>
      </c>
      <c r="G194">
        <v>0</v>
      </c>
      <c r="H194">
        <v>771</v>
      </c>
      <c r="I194">
        <v>0</v>
      </c>
      <c r="J194">
        <v>771</v>
      </c>
      <c r="K194">
        <v>771</v>
      </c>
      <c r="L194">
        <v>1</v>
      </c>
      <c r="M194" t="s">
        <v>653</v>
      </c>
      <c r="N194" t="s">
        <v>653</v>
      </c>
      <c r="O194" t="s">
        <v>653</v>
      </c>
      <c r="P194" t="s">
        <v>653</v>
      </c>
    </row>
    <row r="195" spans="1:16" x14ac:dyDescent="0.25">
      <c r="A195" t="s">
        <v>535</v>
      </c>
      <c r="B195" t="s">
        <v>536</v>
      </c>
      <c r="D195">
        <v>0</v>
      </c>
      <c r="F195">
        <v>45</v>
      </c>
      <c r="G195">
        <v>0</v>
      </c>
      <c r="H195">
        <v>20387</v>
      </c>
      <c r="I195">
        <v>3147</v>
      </c>
      <c r="J195">
        <v>3192</v>
      </c>
      <c r="K195">
        <v>3192</v>
      </c>
      <c r="L195">
        <v>0.156570363466915</v>
      </c>
      <c r="M195" t="s">
        <v>653</v>
      </c>
      <c r="N195" t="s">
        <v>653</v>
      </c>
      <c r="O195" t="s">
        <v>653</v>
      </c>
      <c r="P195" t="s">
        <v>653</v>
      </c>
    </row>
    <row r="196" spans="1:16" x14ac:dyDescent="0.25">
      <c r="A196" t="s">
        <v>537</v>
      </c>
      <c r="B196" t="s">
        <v>538</v>
      </c>
      <c r="D196">
        <v>0</v>
      </c>
      <c r="F196">
        <v>0</v>
      </c>
      <c r="G196">
        <v>0</v>
      </c>
      <c r="H196">
        <v>287</v>
      </c>
      <c r="I196">
        <v>41</v>
      </c>
      <c r="J196">
        <v>41</v>
      </c>
      <c r="K196">
        <v>41</v>
      </c>
      <c r="L196">
        <v>0.14285714285714299</v>
      </c>
      <c r="M196" t="s">
        <v>653</v>
      </c>
      <c r="N196" t="s">
        <v>88</v>
      </c>
      <c r="O196" t="s">
        <v>653</v>
      </c>
      <c r="P196" t="s">
        <v>653</v>
      </c>
    </row>
    <row r="197" spans="1:16" x14ac:dyDescent="0.25">
      <c r="A197" t="s">
        <v>191</v>
      </c>
      <c r="B197" t="s">
        <v>192</v>
      </c>
      <c r="D197">
        <v>0</v>
      </c>
      <c r="F197">
        <v>0</v>
      </c>
      <c r="G197">
        <v>0</v>
      </c>
      <c r="H197">
        <v>89</v>
      </c>
      <c r="I197">
        <v>4</v>
      </c>
      <c r="J197">
        <v>4</v>
      </c>
      <c r="K197">
        <v>4</v>
      </c>
      <c r="L197">
        <v>4.49438202247191E-2</v>
      </c>
      <c r="M197" t="s">
        <v>88</v>
      </c>
      <c r="N197" t="s">
        <v>88</v>
      </c>
      <c r="O197" t="s">
        <v>88</v>
      </c>
      <c r="P197" t="s">
        <v>88</v>
      </c>
    </row>
    <row r="198" spans="1:16" x14ac:dyDescent="0.25">
      <c r="A198" t="s">
        <v>294</v>
      </c>
      <c r="B198" t="s">
        <v>295</v>
      </c>
      <c r="D198">
        <v>0</v>
      </c>
      <c r="F198">
        <v>1</v>
      </c>
      <c r="G198">
        <v>0</v>
      </c>
      <c r="H198">
        <v>252</v>
      </c>
      <c r="I198">
        <v>23</v>
      </c>
      <c r="J198">
        <v>24</v>
      </c>
      <c r="K198">
        <v>24</v>
      </c>
      <c r="L198">
        <v>9.5238095238095205E-2</v>
      </c>
      <c r="M198" t="s">
        <v>653</v>
      </c>
      <c r="N198" t="s">
        <v>88</v>
      </c>
      <c r="O198" t="s">
        <v>653</v>
      </c>
      <c r="P198" t="s">
        <v>653</v>
      </c>
    </row>
    <row r="199" spans="1:16" x14ac:dyDescent="0.25">
      <c r="A199" t="s">
        <v>193</v>
      </c>
      <c r="B199" t="s">
        <v>194</v>
      </c>
      <c r="D199">
        <v>0</v>
      </c>
      <c r="F199">
        <v>19</v>
      </c>
      <c r="G199">
        <v>0</v>
      </c>
      <c r="H199">
        <v>11776</v>
      </c>
      <c r="I199">
        <v>504</v>
      </c>
      <c r="J199">
        <v>523</v>
      </c>
      <c r="K199">
        <v>523</v>
      </c>
      <c r="L199">
        <v>4.4412364130434798E-2</v>
      </c>
      <c r="M199" t="s">
        <v>653</v>
      </c>
      <c r="N199" t="s">
        <v>88</v>
      </c>
      <c r="O199" t="s">
        <v>88</v>
      </c>
      <c r="P199" t="s">
        <v>88</v>
      </c>
    </row>
    <row r="200" spans="1:16" x14ac:dyDescent="0.25">
      <c r="A200" t="s">
        <v>83</v>
      </c>
      <c r="B200" t="s">
        <v>1398</v>
      </c>
      <c r="C200" t="s">
        <v>64</v>
      </c>
      <c r="D200">
        <v>0</v>
      </c>
      <c r="E200">
        <v>0</v>
      </c>
      <c r="F200">
        <v>0</v>
      </c>
      <c r="G200">
        <v>0</v>
      </c>
      <c r="H200">
        <v>265.59900990099027</v>
      </c>
      <c r="I200">
        <v>23.551658315437798</v>
      </c>
      <c r="J200">
        <v>23.551658315437798</v>
      </c>
      <c r="K200">
        <v>0</v>
      </c>
      <c r="L200">
        <v>8.8673742888640106E-2</v>
      </c>
      <c r="M200" t="s">
        <v>653</v>
      </c>
      <c r="N200" t="s">
        <v>88</v>
      </c>
      <c r="O200" t="s">
        <v>653</v>
      </c>
      <c r="P200" t="s">
        <v>653</v>
      </c>
    </row>
    <row r="201" spans="1:16" x14ac:dyDescent="0.25">
      <c r="A201" t="s">
        <v>539</v>
      </c>
      <c r="B201" t="s">
        <v>540</v>
      </c>
      <c r="D201">
        <v>0</v>
      </c>
      <c r="F201">
        <v>11</v>
      </c>
      <c r="G201">
        <v>0</v>
      </c>
      <c r="H201">
        <v>1512</v>
      </c>
      <c r="I201">
        <v>158</v>
      </c>
      <c r="J201">
        <v>169</v>
      </c>
      <c r="K201">
        <v>169</v>
      </c>
      <c r="L201">
        <v>0.111772486772487</v>
      </c>
      <c r="M201" t="s">
        <v>653</v>
      </c>
      <c r="N201" t="s">
        <v>88</v>
      </c>
      <c r="O201" t="s">
        <v>653</v>
      </c>
      <c r="P201" t="s">
        <v>653</v>
      </c>
    </row>
    <row r="202" spans="1:16" x14ac:dyDescent="0.25">
      <c r="A202" t="s">
        <v>541</v>
      </c>
      <c r="B202" t="s">
        <v>542</v>
      </c>
      <c r="D202">
        <v>0</v>
      </c>
      <c r="F202">
        <v>0</v>
      </c>
      <c r="G202">
        <v>0</v>
      </c>
      <c r="H202">
        <v>363</v>
      </c>
      <c r="I202">
        <v>59</v>
      </c>
      <c r="J202">
        <v>59</v>
      </c>
      <c r="K202">
        <v>59</v>
      </c>
      <c r="L202">
        <v>0.16253443526170799</v>
      </c>
      <c r="M202" t="s">
        <v>653</v>
      </c>
      <c r="N202" t="s">
        <v>653</v>
      </c>
      <c r="O202" t="s">
        <v>653</v>
      </c>
      <c r="P202" t="s">
        <v>653</v>
      </c>
    </row>
    <row r="203" spans="1:16" x14ac:dyDescent="0.25">
      <c r="A203" t="s">
        <v>543</v>
      </c>
      <c r="B203" t="s">
        <v>544</v>
      </c>
      <c r="D203">
        <v>0</v>
      </c>
      <c r="F203">
        <v>31</v>
      </c>
      <c r="G203">
        <v>0</v>
      </c>
      <c r="H203">
        <v>4253</v>
      </c>
      <c r="I203">
        <v>576</v>
      </c>
      <c r="J203">
        <v>607</v>
      </c>
      <c r="K203">
        <v>607</v>
      </c>
      <c r="L203">
        <v>0.142722783917235</v>
      </c>
      <c r="M203" t="s">
        <v>653</v>
      </c>
      <c r="N203" t="s">
        <v>88</v>
      </c>
      <c r="O203" t="s">
        <v>653</v>
      </c>
      <c r="P203" t="s">
        <v>653</v>
      </c>
    </row>
    <row r="204" spans="1:16" x14ac:dyDescent="0.25">
      <c r="A204" t="s">
        <v>545</v>
      </c>
      <c r="B204" t="s">
        <v>546</v>
      </c>
      <c r="D204">
        <v>0</v>
      </c>
      <c r="F204">
        <v>5</v>
      </c>
      <c r="G204">
        <v>0</v>
      </c>
      <c r="H204">
        <v>1305</v>
      </c>
      <c r="I204">
        <v>221</v>
      </c>
      <c r="J204">
        <v>226</v>
      </c>
      <c r="K204">
        <v>226</v>
      </c>
      <c r="L204">
        <v>0.173180076628352</v>
      </c>
      <c r="M204" t="s">
        <v>653</v>
      </c>
      <c r="N204" t="s">
        <v>653</v>
      </c>
      <c r="O204" t="s">
        <v>653</v>
      </c>
      <c r="P204" t="s">
        <v>653</v>
      </c>
    </row>
    <row r="205" spans="1:16" x14ac:dyDescent="0.25">
      <c r="A205" t="s">
        <v>547</v>
      </c>
      <c r="B205" t="s">
        <v>548</v>
      </c>
      <c r="D205">
        <v>0</v>
      </c>
      <c r="F205">
        <v>3</v>
      </c>
      <c r="G205">
        <v>0</v>
      </c>
      <c r="H205">
        <v>346</v>
      </c>
      <c r="I205">
        <v>66</v>
      </c>
      <c r="J205">
        <v>69</v>
      </c>
      <c r="K205">
        <v>69</v>
      </c>
      <c r="L205">
        <v>0.199421965317919</v>
      </c>
      <c r="M205" t="s">
        <v>653</v>
      </c>
      <c r="N205" t="s">
        <v>653</v>
      </c>
      <c r="O205" t="s">
        <v>653</v>
      </c>
      <c r="P205" t="s">
        <v>653</v>
      </c>
    </row>
    <row r="206" spans="1:16" x14ac:dyDescent="0.25">
      <c r="A206" t="s">
        <v>77</v>
      </c>
      <c r="B206" t="s">
        <v>34</v>
      </c>
      <c r="C206" t="s">
        <v>61</v>
      </c>
      <c r="D206">
        <v>0</v>
      </c>
      <c r="E206">
        <v>0</v>
      </c>
      <c r="F206">
        <v>0</v>
      </c>
      <c r="G206">
        <v>0</v>
      </c>
      <c r="H206">
        <v>273.65436440120936</v>
      </c>
      <c r="I206">
        <v>24.810781141668599</v>
      </c>
      <c r="J206">
        <v>24.810781141668599</v>
      </c>
      <c r="K206">
        <v>0</v>
      </c>
      <c r="L206">
        <v>9.0664664515611698E-2</v>
      </c>
      <c r="M206" t="s">
        <v>653</v>
      </c>
      <c r="N206" t="s">
        <v>88</v>
      </c>
      <c r="O206" t="s">
        <v>653</v>
      </c>
      <c r="P206" t="s">
        <v>653</v>
      </c>
    </row>
    <row r="207" spans="1:16" x14ac:dyDescent="0.25">
      <c r="A207" t="s">
        <v>549</v>
      </c>
      <c r="B207" t="s">
        <v>550</v>
      </c>
      <c r="D207">
        <v>0</v>
      </c>
      <c r="F207">
        <v>5</v>
      </c>
      <c r="G207">
        <v>0</v>
      </c>
      <c r="H207">
        <v>2951</v>
      </c>
      <c r="I207">
        <v>353</v>
      </c>
      <c r="J207">
        <v>358</v>
      </c>
      <c r="K207">
        <v>358</v>
      </c>
      <c r="L207">
        <v>0.121314808539478</v>
      </c>
      <c r="M207" t="s">
        <v>653</v>
      </c>
      <c r="N207" t="s">
        <v>88</v>
      </c>
      <c r="O207" t="s">
        <v>653</v>
      </c>
      <c r="P207" t="s">
        <v>653</v>
      </c>
    </row>
    <row r="208" spans="1:16" x14ac:dyDescent="0.25">
      <c r="A208" t="s">
        <v>58</v>
      </c>
      <c r="B208" t="s">
        <v>1425</v>
      </c>
      <c r="D208">
        <v>0</v>
      </c>
      <c r="F208">
        <v>6</v>
      </c>
      <c r="G208">
        <v>0</v>
      </c>
      <c r="H208">
        <v>3369</v>
      </c>
      <c r="I208">
        <v>413</v>
      </c>
      <c r="J208">
        <v>419</v>
      </c>
      <c r="K208">
        <v>419</v>
      </c>
      <c r="L208">
        <v>0.124369249035322</v>
      </c>
      <c r="M208" t="s">
        <v>653</v>
      </c>
      <c r="N208" t="s">
        <v>88</v>
      </c>
      <c r="O208" t="s">
        <v>653</v>
      </c>
      <c r="P208" t="s">
        <v>653</v>
      </c>
    </row>
    <row r="209" spans="1:16" x14ac:dyDescent="0.25">
      <c r="A209" t="s">
        <v>195</v>
      </c>
      <c r="B209" t="s">
        <v>196</v>
      </c>
      <c r="D209">
        <v>0</v>
      </c>
      <c r="F209">
        <v>48</v>
      </c>
      <c r="G209">
        <v>0</v>
      </c>
      <c r="H209">
        <v>25752</v>
      </c>
      <c r="I209">
        <v>2044</v>
      </c>
      <c r="J209">
        <v>2092</v>
      </c>
      <c r="K209">
        <v>2092</v>
      </c>
      <c r="L209">
        <v>8.1236408822615694E-2</v>
      </c>
      <c r="M209" t="s">
        <v>653</v>
      </c>
      <c r="N209" t="s">
        <v>88</v>
      </c>
      <c r="O209" t="s">
        <v>653</v>
      </c>
      <c r="P209" t="s">
        <v>653</v>
      </c>
    </row>
    <row r="210" spans="1:16" x14ac:dyDescent="0.25">
      <c r="A210" t="s">
        <v>551</v>
      </c>
      <c r="B210" t="s">
        <v>552</v>
      </c>
      <c r="D210">
        <v>0</v>
      </c>
      <c r="F210">
        <v>0</v>
      </c>
      <c r="G210">
        <v>0</v>
      </c>
      <c r="H210">
        <v>31</v>
      </c>
      <c r="I210">
        <v>9</v>
      </c>
      <c r="J210">
        <v>9</v>
      </c>
      <c r="K210">
        <v>9</v>
      </c>
      <c r="L210">
        <v>0.29032258064516098</v>
      </c>
      <c r="M210" t="s">
        <v>88</v>
      </c>
      <c r="N210" t="s">
        <v>88</v>
      </c>
      <c r="O210" t="s">
        <v>88</v>
      </c>
      <c r="P210" t="s">
        <v>88</v>
      </c>
    </row>
    <row r="211" spans="1:16" x14ac:dyDescent="0.25">
      <c r="A211" t="s">
        <v>553</v>
      </c>
      <c r="B211" t="s">
        <v>554</v>
      </c>
      <c r="D211">
        <v>0</v>
      </c>
      <c r="F211">
        <v>0</v>
      </c>
      <c r="G211">
        <v>0</v>
      </c>
      <c r="H211">
        <v>193</v>
      </c>
      <c r="I211">
        <v>31</v>
      </c>
      <c r="J211">
        <v>31</v>
      </c>
      <c r="K211">
        <v>31</v>
      </c>
      <c r="L211">
        <v>0.16062176165803099</v>
      </c>
      <c r="M211" t="s">
        <v>653</v>
      </c>
      <c r="N211" t="s">
        <v>653</v>
      </c>
      <c r="O211" t="s">
        <v>653</v>
      </c>
      <c r="P211" t="s">
        <v>653</v>
      </c>
    </row>
    <row r="212" spans="1:16" x14ac:dyDescent="0.25">
      <c r="A212" t="s">
        <v>555</v>
      </c>
      <c r="B212" t="s">
        <v>556</v>
      </c>
      <c r="D212">
        <v>0</v>
      </c>
      <c r="F212">
        <v>11</v>
      </c>
      <c r="G212">
        <v>0</v>
      </c>
      <c r="H212">
        <v>1162</v>
      </c>
      <c r="I212">
        <v>207</v>
      </c>
      <c r="J212">
        <v>218</v>
      </c>
      <c r="K212">
        <v>218</v>
      </c>
      <c r="L212">
        <v>0.187607573149742</v>
      </c>
      <c r="M212" t="s">
        <v>653</v>
      </c>
      <c r="N212" t="s">
        <v>653</v>
      </c>
      <c r="O212" t="s">
        <v>653</v>
      </c>
      <c r="P212" t="s">
        <v>653</v>
      </c>
    </row>
    <row r="213" spans="1:16" x14ac:dyDescent="0.25">
      <c r="A213" t="s">
        <v>557</v>
      </c>
      <c r="B213" t="s">
        <v>558</v>
      </c>
      <c r="D213">
        <v>0</v>
      </c>
      <c r="F213">
        <v>5</v>
      </c>
      <c r="G213">
        <v>0</v>
      </c>
      <c r="H213">
        <v>3141</v>
      </c>
      <c r="I213">
        <v>436</v>
      </c>
      <c r="J213">
        <v>441</v>
      </c>
      <c r="K213">
        <v>441</v>
      </c>
      <c r="L213">
        <v>0.14040114613180499</v>
      </c>
      <c r="M213" t="s">
        <v>653</v>
      </c>
      <c r="N213" t="s">
        <v>88</v>
      </c>
      <c r="O213" t="s">
        <v>653</v>
      </c>
      <c r="P213" t="s">
        <v>653</v>
      </c>
    </row>
    <row r="214" spans="1:16" x14ac:dyDescent="0.25">
      <c r="A214" t="s">
        <v>69</v>
      </c>
      <c r="B214" t="s">
        <v>16</v>
      </c>
      <c r="C214" t="s">
        <v>57</v>
      </c>
      <c r="D214">
        <v>0</v>
      </c>
      <c r="E214">
        <v>0</v>
      </c>
      <c r="F214">
        <v>0</v>
      </c>
      <c r="G214">
        <v>0</v>
      </c>
      <c r="H214">
        <v>399.09090909090963</v>
      </c>
      <c r="I214">
        <v>68.721379431998514</v>
      </c>
      <c r="J214">
        <v>68.721379431998514</v>
      </c>
      <c r="K214">
        <v>0</v>
      </c>
      <c r="L214">
        <v>0.172194800399085</v>
      </c>
      <c r="M214" t="s">
        <v>653</v>
      </c>
      <c r="N214" t="s">
        <v>653</v>
      </c>
      <c r="O214" t="s">
        <v>653</v>
      </c>
      <c r="P214" t="s">
        <v>653</v>
      </c>
    </row>
    <row r="215" spans="1:16" x14ac:dyDescent="0.25">
      <c r="A215" t="s">
        <v>197</v>
      </c>
      <c r="B215" t="s">
        <v>198</v>
      </c>
      <c r="D215">
        <v>0</v>
      </c>
      <c r="F215">
        <v>6</v>
      </c>
      <c r="G215">
        <v>0</v>
      </c>
      <c r="H215">
        <v>1026</v>
      </c>
      <c r="I215">
        <v>83</v>
      </c>
      <c r="J215">
        <v>89</v>
      </c>
      <c r="K215">
        <v>89</v>
      </c>
      <c r="L215">
        <v>8.6744639376218305E-2</v>
      </c>
      <c r="M215" t="s">
        <v>653</v>
      </c>
      <c r="N215" t="s">
        <v>88</v>
      </c>
      <c r="O215" t="s">
        <v>653</v>
      </c>
      <c r="P215" t="s">
        <v>653</v>
      </c>
    </row>
    <row r="216" spans="1:16" x14ac:dyDescent="0.25">
      <c r="A216" t="s">
        <v>71</v>
      </c>
      <c r="B216" t="s">
        <v>22</v>
      </c>
      <c r="C216" t="s">
        <v>59</v>
      </c>
      <c r="D216">
        <v>0</v>
      </c>
      <c r="E216">
        <v>0</v>
      </c>
      <c r="F216">
        <v>0</v>
      </c>
      <c r="G216">
        <v>0</v>
      </c>
      <c r="H216">
        <v>169.35185905413826</v>
      </c>
      <c r="I216">
        <v>24.339716902581181</v>
      </c>
      <c r="J216">
        <v>24.339716902581181</v>
      </c>
      <c r="K216">
        <v>0</v>
      </c>
      <c r="L216">
        <v>0.143722761819817</v>
      </c>
      <c r="M216" t="s">
        <v>653</v>
      </c>
      <c r="N216" t="s">
        <v>88</v>
      </c>
      <c r="O216" t="s">
        <v>653</v>
      </c>
      <c r="P216" t="s">
        <v>653</v>
      </c>
    </row>
    <row r="217" spans="1:16" x14ac:dyDescent="0.25">
      <c r="A217" t="s">
        <v>559</v>
      </c>
      <c r="B217" t="s">
        <v>560</v>
      </c>
      <c r="D217">
        <v>0</v>
      </c>
      <c r="F217">
        <v>4</v>
      </c>
      <c r="G217">
        <v>0</v>
      </c>
      <c r="H217">
        <v>615</v>
      </c>
      <c r="I217">
        <v>116</v>
      </c>
      <c r="J217">
        <v>120</v>
      </c>
      <c r="K217">
        <v>120</v>
      </c>
      <c r="L217">
        <v>0.19512195121951201</v>
      </c>
      <c r="M217" t="s">
        <v>653</v>
      </c>
      <c r="N217" t="s">
        <v>653</v>
      </c>
      <c r="O217" t="s">
        <v>653</v>
      </c>
      <c r="P217" t="s">
        <v>653</v>
      </c>
    </row>
    <row r="218" spans="1:16" x14ac:dyDescent="0.25">
      <c r="A218" t="s">
        <v>561</v>
      </c>
      <c r="B218" t="s">
        <v>562</v>
      </c>
      <c r="D218">
        <v>0</v>
      </c>
      <c r="F218">
        <v>2</v>
      </c>
      <c r="G218">
        <v>0</v>
      </c>
      <c r="H218">
        <v>1000</v>
      </c>
      <c r="I218">
        <v>77</v>
      </c>
      <c r="J218">
        <v>79</v>
      </c>
      <c r="K218">
        <v>79</v>
      </c>
      <c r="L218">
        <v>7.9000000000000001E-2</v>
      </c>
      <c r="M218" t="s">
        <v>653</v>
      </c>
      <c r="N218" t="s">
        <v>88</v>
      </c>
      <c r="O218" t="s">
        <v>653</v>
      </c>
      <c r="P218" t="s">
        <v>653</v>
      </c>
    </row>
    <row r="219" spans="1:16" x14ac:dyDescent="0.25">
      <c r="A219" t="s">
        <v>563</v>
      </c>
      <c r="B219" t="s">
        <v>1426</v>
      </c>
      <c r="C219" t="s">
        <v>563</v>
      </c>
      <c r="D219">
        <v>0</v>
      </c>
      <c r="F219">
        <v>46</v>
      </c>
      <c r="G219">
        <v>0</v>
      </c>
      <c r="H219">
        <v>17447.680362537772</v>
      </c>
      <c r="I219">
        <v>2279.0491874011223</v>
      </c>
      <c r="J219">
        <v>2325.0491874011223</v>
      </c>
      <c r="K219">
        <v>2387</v>
      </c>
      <c r="L219">
        <v>0.13325835521341101</v>
      </c>
      <c r="M219" t="s">
        <v>653</v>
      </c>
      <c r="N219" t="s">
        <v>88</v>
      </c>
      <c r="O219" t="s">
        <v>653</v>
      </c>
      <c r="P219" t="s">
        <v>653</v>
      </c>
    </row>
    <row r="220" spans="1:16" x14ac:dyDescent="0.25">
      <c r="A220" t="s">
        <v>564</v>
      </c>
      <c r="B220" t="s">
        <v>565</v>
      </c>
      <c r="D220">
        <v>0</v>
      </c>
      <c r="F220">
        <v>5</v>
      </c>
      <c r="G220">
        <v>0</v>
      </c>
      <c r="H220">
        <v>375</v>
      </c>
      <c r="I220">
        <v>90</v>
      </c>
      <c r="J220">
        <v>95</v>
      </c>
      <c r="K220">
        <v>95</v>
      </c>
      <c r="L220">
        <v>0.25333333333333302</v>
      </c>
      <c r="M220" t="s">
        <v>653</v>
      </c>
      <c r="N220" t="s">
        <v>653</v>
      </c>
      <c r="O220" t="s">
        <v>653</v>
      </c>
      <c r="P220" t="s">
        <v>653</v>
      </c>
    </row>
    <row r="221" spans="1:16" x14ac:dyDescent="0.25">
      <c r="A221" t="s">
        <v>199</v>
      </c>
      <c r="B221" t="s">
        <v>200</v>
      </c>
      <c r="D221">
        <v>0</v>
      </c>
      <c r="F221">
        <v>49</v>
      </c>
      <c r="G221">
        <v>0</v>
      </c>
      <c r="H221">
        <v>15751</v>
      </c>
      <c r="I221">
        <v>1468</v>
      </c>
      <c r="J221">
        <v>1517</v>
      </c>
      <c r="K221">
        <v>1517</v>
      </c>
      <c r="L221">
        <v>9.6311345311408794E-2</v>
      </c>
      <c r="M221" t="s">
        <v>653</v>
      </c>
      <c r="N221" t="s">
        <v>88</v>
      </c>
      <c r="O221" t="s">
        <v>653</v>
      </c>
      <c r="P221" t="s">
        <v>653</v>
      </c>
    </row>
    <row r="222" spans="1:16" x14ac:dyDescent="0.25">
      <c r="A222" t="s">
        <v>201</v>
      </c>
      <c r="B222" t="s">
        <v>202</v>
      </c>
      <c r="D222">
        <v>0</v>
      </c>
      <c r="F222">
        <v>6</v>
      </c>
      <c r="G222">
        <v>0</v>
      </c>
      <c r="H222">
        <v>4165</v>
      </c>
      <c r="I222">
        <v>157</v>
      </c>
      <c r="J222">
        <v>163</v>
      </c>
      <c r="K222">
        <v>163</v>
      </c>
      <c r="L222">
        <v>3.9135654261704698E-2</v>
      </c>
      <c r="M222" t="s">
        <v>653</v>
      </c>
      <c r="N222" t="s">
        <v>88</v>
      </c>
      <c r="O222" t="s">
        <v>88</v>
      </c>
      <c r="P222" t="s">
        <v>88</v>
      </c>
    </row>
    <row r="223" spans="1:16" x14ac:dyDescent="0.25">
      <c r="A223" t="s">
        <v>203</v>
      </c>
      <c r="B223" t="s">
        <v>204</v>
      </c>
      <c r="D223">
        <v>0</v>
      </c>
      <c r="F223">
        <v>1</v>
      </c>
      <c r="G223">
        <v>0</v>
      </c>
      <c r="H223">
        <v>414</v>
      </c>
      <c r="I223">
        <v>47</v>
      </c>
      <c r="J223">
        <v>48</v>
      </c>
      <c r="K223">
        <v>48</v>
      </c>
      <c r="L223">
        <v>0.115942028985507</v>
      </c>
      <c r="M223" t="s">
        <v>653</v>
      </c>
      <c r="N223" t="s">
        <v>88</v>
      </c>
      <c r="O223" t="s">
        <v>653</v>
      </c>
      <c r="P223" t="s">
        <v>653</v>
      </c>
    </row>
    <row r="224" spans="1:16" x14ac:dyDescent="0.25">
      <c r="A224" t="s">
        <v>296</v>
      </c>
      <c r="B224" t="s">
        <v>297</v>
      </c>
      <c r="D224">
        <v>0</v>
      </c>
      <c r="F224">
        <v>15</v>
      </c>
      <c r="G224">
        <v>0</v>
      </c>
      <c r="H224">
        <v>2057</v>
      </c>
      <c r="I224">
        <v>227</v>
      </c>
      <c r="J224">
        <v>242</v>
      </c>
      <c r="K224">
        <v>242</v>
      </c>
      <c r="L224">
        <v>0.11764705882352899</v>
      </c>
      <c r="M224" t="s">
        <v>653</v>
      </c>
      <c r="N224" t="s">
        <v>88</v>
      </c>
      <c r="O224" t="s">
        <v>653</v>
      </c>
      <c r="P224" t="s">
        <v>653</v>
      </c>
    </row>
    <row r="225" spans="1:16" x14ac:dyDescent="0.25">
      <c r="A225" t="s">
        <v>205</v>
      </c>
      <c r="B225" t="s">
        <v>206</v>
      </c>
      <c r="D225">
        <v>0</v>
      </c>
      <c r="F225">
        <v>1</v>
      </c>
      <c r="G225">
        <v>0</v>
      </c>
      <c r="H225">
        <v>3824</v>
      </c>
      <c r="I225">
        <v>127</v>
      </c>
      <c r="J225">
        <v>128</v>
      </c>
      <c r="K225">
        <v>128</v>
      </c>
      <c r="L225">
        <v>3.3472803347280297E-2</v>
      </c>
      <c r="M225" t="s">
        <v>653</v>
      </c>
      <c r="N225" t="s">
        <v>88</v>
      </c>
      <c r="O225" t="s">
        <v>88</v>
      </c>
      <c r="P225" t="s">
        <v>88</v>
      </c>
    </row>
    <row r="226" spans="1:16" x14ac:dyDescent="0.25">
      <c r="A226" t="s">
        <v>566</v>
      </c>
      <c r="B226" t="s">
        <v>567</v>
      </c>
      <c r="D226">
        <v>0</v>
      </c>
      <c r="F226">
        <v>16</v>
      </c>
      <c r="G226">
        <v>0</v>
      </c>
      <c r="H226">
        <v>2480</v>
      </c>
      <c r="I226">
        <v>241</v>
      </c>
      <c r="J226">
        <v>257</v>
      </c>
      <c r="K226">
        <v>257</v>
      </c>
      <c r="L226">
        <v>0.103629032258065</v>
      </c>
      <c r="M226" t="s">
        <v>653</v>
      </c>
      <c r="N226" t="s">
        <v>88</v>
      </c>
      <c r="O226" t="s">
        <v>653</v>
      </c>
      <c r="P226" t="s">
        <v>653</v>
      </c>
    </row>
    <row r="227" spans="1:16" x14ac:dyDescent="0.25">
      <c r="A227" t="s">
        <v>298</v>
      </c>
      <c r="B227" t="s">
        <v>299</v>
      </c>
      <c r="D227">
        <v>0</v>
      </c>
      <c r="F227">
        <v>0</v>
      </c>
      <c r="G227">
        <v>0</v>
      </c>
      <c r="H227">
        <v>43</v>
      </c>
      <c r="I227">
        <v>4</v>
      </c>
      <c r="J227">
        <v>4</v>
      </c>
      <c r="K227">
        <v>4</v>
      </c>
      <c r="L227">
        <v>9.3023255813953501E-2</v>
      </c>
      <c r="M227" t="s">
        <v>88</v>
      </c>
      <c r="N227" t="s">
        <v>88</v>
      </c>
      <c r="O227" t="s">
        <v>88</v>
      </c>
      <c r="P227" t="s">
        <v>88</v>
      </c>
    </row>
    <row r="228" spans="1:16" x14ac:dyDescent="0.25">
      <c r="A228" t="s">
        <v>1422</v>
      </c>
      <c r="B228" t="s">
        <v>1427</v>
      </c>
      <c r="C228" t="s">
        <v>63</v>
      </c>
      <c r="D228">
        <v>0</v>
      </c>
      <c r="E228">
        <v>0</v>
      </c>
      <c r="F228">
        <v>0</v>
      </c>
      <c r="G228">
        <v>0</v>
      </c>
      <c r="H228">
        <v>118.20081227436822</v>
      </c>
      <c r="I228">
        <v>16.635272727272721</v>
      </c>
      <c r="J228">
        <v>16.635272727272721</v>
      </c>
      <c r="K228">
        <v>0</v>
      </c>
      <c r="L228">
        <v>0.14073738079446399</v>
      </c>
      <c r="M228" t="s">
        <v>653</v>
      </c>
      <c r="N228" t="s">
        <v>88</v>
      </c>
      <c r="O228" t="s">
        <v>653</v>
      </c>
      <c r="P228" t="s">
        <v>653</v>
      </c>
    </row>
    <row r="229" spans="1:16" x14ac:dyDescent="0.25">
      <c r="A229" t="s">
        <v>568</v>
      </c>
      <c r="B229" t="s">
        <v>569</v>
      </c>
      <c r="D229">
        <v>0</v>
      </c>
      <c r="F229">
        <v>0</v>
      </c>
      <c r="G229">
        <v>0</v>
      </c>
      <c r="H229">
        <v>247</v>
      </c>
      <c r="I229">
        <v>47</v>
      </c>
      <c r="J229">
        <v>47</v>
      </c>
      <c r="K229">
        <v>47</v>
      </c>
      <c r="L229">
        <v>0.19028340080971701</v>
      </c>
      <c r="M229" t="s">
        <v>653</v>
      </c>
      <c r="N229" t="s">
        <v>653</v>
      </c>
      <c r="O229" t="s">
        <v>653</v>
      </c>
      <c r="P229" t="s">
        <v>653</v>
      </c>
    </row>
    <row r="230" spans="1:16" x14ac:dyDescent="0.25">
      <c r="A230" t="s">
        <v>570</v>
      </c>
      <c r="B230" t="s">
        <v>571</v>
      </c>
      <c r="D230">
        <v>0</v>
      </c>
      <c r="F230">
        <v>8</v>
      </c>
      <c r="G230">
        <v>0</v>
      </c>
      <c r="H230">
        <v>1647</v>
      </c>
      <c r="I230">
        <v>230</v>
      </c>
      <c r="J230">
        <v>238</v>
      </c>
      <c r="K230">
        <v>238</v>
      </c>
      <c r="L230">
        <v>0.14450516089860399</v>
      </c>
      <c r="M230" t="s">
        <v>653</v>
      </c>
      <c r="N230" t="s">
        <v>88</v>
      </c>
      <c r="O230" t="s">
        <v>653</v>
      </c>
      <c r="P230" t="s">
        <v>653</v>
      </c>
    </row>
    <row r="231" spans="1:16" x14ac:dyDescent="0.25">
      <c r="A231" t="s">
        <v>207</v>
      </c>
      <c r="B231" t="s">
        <v>208</v>
      </c>
      <c r="D231">
        <v>0</v>
      </c>
      <c r="F231">
        <v>0</v>
      </c>
      <c r="G231">
        <v>0</v>
      </c>
      <c r="H231">
        <v>870</v>
      </c>
      <c r="I231">
        <v>86</v>
      </c>
      <c r="J231">
        <v>86</v>
      </c>
      <c r="K231">
        <v>86</v>
      </c>
      <c r="L231">
        <v>9.8850574712643705E-2</v>
      </c>
      <c r="M231" t="s">
        <v>653</v>
      </c>
      <c r="N231" t="s">
        <v>88</v>
      </c>
      <c r="O231" t="s">
        <v>653</v>
      </c>
      <c r="P231" t="s">
        <v>653</v>
      </c>
    </row>
    <row r="232" spans="1:16" x14ac:dyDescent="0.25">
      <c r="A232" t="s">
        <v>572</v>
      </c>
      <c r="B232" t="s">
        <v>573</v>
      </c>
      <c r="D232">
        <v>0</v>
      </c>
      <c r="F232">
        <v>0</v>
      </c>
      <c r="G232">
        <v>0</v>
      </c>
      <c r="H232">
        <v>110</v>
      </c>
      <c r="I232">
        <v>15</v>
      </c>
      <c r="J232">
        <v>15</v>
      </c>
      <c r="K232">
        <v>15</v>
      </c>
      <c r="L232">
        <v>0.13636363636363599</v>
      </c>
      <c r="M232" t="s">
        <v>653</v>
      </c>
      <c r="N232" t="s">
        <v>88</v>
      </c>
      <c r="O232" t="s">
        <v>653</v>
      </c>
      <c r="P232" t="s">
        <v>653</v>
      </c>
    </row>
    <row r="233" spans="1:16" x14ac:dyDescent="0.25">
      <c r="A233" t="s">
        <v>82</v>
      </c>
      <c r="B233" t="s">
        <v>51</v>
      </c>
      <c r="C233" t="s">
        <v>63</v>
      </c>
      <c r="D233">
        <v>0</v>
      </c>
      <c r="E233">
        <v>0</v>
      </c>
      <c r="F233">
        <v>0</v>
      </c>
      <c r="G233">
        <v>0</v>
      </c>
      <c r="H233">
        <v>144.09241877256326</v>
      </c>
      <c r="I233">
        <v>20.01054545454544</v>
      </c>
      <c r="J233">
        <v>20.01054545454544</v>
      </c>
      <c r="K233">
        <v>0</v>
      </c>
      <c r="L233">
        <v>0.13887299293747199</v>
      </c>
      <c r="M233" t="s">
        <v>653</v>
      </c>
      <c r="N233" t="s">
        <v>88</v>
      </c>
      <c r="O233" t="s">
        <v>653</v>
      </c>
      <c r="P233" t="s">
        <v>653</v>
      </c>
    </row>
    <row r="234" spans="1:16" x14ac:dyDescent="0.25">
      <c r="A234" t="s">
        <v>81</v>
      </c>
      <c r="B234" t="s">
        <v>47</v>
      </c>
      <c r="C234" t="s">
        <v>63</v>
      </c>
      <c r="D234">
        <v>0</v>
      </c>
      <c r="E234">
        <v>0</v>
      </c>
      <c r="F234">
        <v>0</v>
      </c>
      <c r="G234">
        <v>0</v>
      </c>
      <c r="H234">
        <v>56.286101083032591</v>
      </c>
      <c r="I234">
        <v>3.8574545454545333</v>
      </c>
      <c r="J234">
        <v>3.8574545454545333</v>
      </c>
      <c r="K234">
        <v>0</v>
      </c>
      <c r="L234">
        <v>6.8532985430347401E-2</v>
      </c>
      <c r="M234" t="s">
        <v>88</v>
      </c>
      <c r="N234" t="s">
        <v>88</v>
      </c>
      <c r="O234" t="s">
        <v>88</v>
      </c>
      <c r="P234" t="s">
        <v>88</v>
      </c>
    </row>
    <row r="235" spans="1:16" x14ac:dyDescent="0.25">
      <c r="A235" t="s">
        <v>59</v>
      </c>
      <c r="B235" t="s">
        <v>23</v>
      </c>
      <c r="C235" t="s">
        <v>59</v>
      </c>
      <c r="D235">
        <v>0</v>
      </c>
      <c r="F235">
        <v>111</v>
      </c>
      <c r="G235">
        <v>0</v>
      </c>
      <c r="H235">
        <v>68438.473280958293</v>
      </c>
      <c r="I235">
        <v>6390.8542880932537</v>
      </c>
      <c r="J235">
        <v>6501.8542880932537</v>
      </c>
      <c r="K235">
        <v>6663</v>
      </c>
      <c r="L235">
        <v>9.5002912490484606E-2</v>
      </c>
      <c r="M235" t="s">
        <v>653</v>
      </c>
      <c r="N235" t="s">
        <v>653</v>
      </c>
      <c r="O235" t="s">
        <v>653</v>
      </c>
      <c r="P235" t="s">
        <v>653</v>
      </c>
    </row>
    <row r="236" spans="1:16" x14ac:dyDescent="0.25">
      <c r="A236" t="s">
        <v>300</v>
      </c>
      <c r="B236" t="s">
        <v>301</v>
      </c>
      <c r="D236">
        <v>0</v>
      </c>
      <c r="F236">
        <v>15</v>
      </c>
      <c r="G236">
        <v>0</v>
      </c>
      <c r="H236">
        <v>5072</v>
      </c>
      <c r="I236">
        <v>557</v>
      </c>
      <c r="J236">
        <v>572</v>
      </c>
      <c r="K236">
        <v>572</v>
      </c>
      <c r="L236">
        <v>0.112776025236593</v>
      </c>
      <c r="M236" t="s">
        <v>653</v>
      </c>
      <c r="N236" t="s">
        <v>88</v>
      </c>
      <c r="O236" t="s">
        <v>653</v>
      </c>
      <c r="P236" t="s">
        <v>653</v>
      </c>
    </row>
    <row r="237" spans="1:16" x14ac:dyDescent="0.25">
      <c r="A237" t="s">
        <v>574</v>
      </c>
      <c r="B237" t="s">
        <v>575</v>
      </c>
      <c r="D237">
        <v>0</v>
      </c>
      <c r="F237">
        <v>7</v>
      </c>
      <c r="G237">
        <v>0</v>
      </c>
      <c r="H237">
        <v>4178</v>
      </c>
      <c r="I237">
        <v>499</v>
      </c>
      <c r="J237">
        <v>506</v>
      </c>
      <c r="K237">
        <v>506</v>
      </c>
      <c r="L237">
        <v>0.121110579224509</v>
      </c>
      <c r="M237" t="s">
        <v>653</v>
      </c>
      <c r="N237" t="s">
        <v>88</v>
      </c>
      <c r="O237" t="s">
        <v>653</v>
      </c>
      <c r="P237" t="s">
        <v>653</v>
      </c>
    </row>
    <row r="238" spans="1:16" x14ac:dyDescent="0.25">
      <c r="A238" t="s">
        <v>576</v>
      </c>
      <c r="B238" t="s">
        <v>577</v>
      </c>
      <c r="D238">
        <v>0</v>
      </c>
      <c r="F238">
        <v>0</v>
      </c>
      <c r="G238">
        <v>0</v>
      </c>
      <c r="H238">
        <v>320</v>
      </c>
      <c r="I238">
        <v>83</v>
      </c>
      <c r="J238">
        <v>83</v>
      </c>
      <c r="K238">
        <v>83</v>
      </c>
      <c r="L238">
        <v>0.25937500000000002</v>
      </c>
      <c r="M238" t="s">
        <v>653</v>
      </c>
      <c r="N238" t="s">
        <v>653</v>
      </c>
      <c r="O238" t="s">
        <v>653</v>
      </c>
      <c r="P238" t="s">
        <v>653</v>
      </c>
    </row>
    <row r="239" spans="1:16" x14ac:dyDescent="0.25">
      <c r="A239" t="s">
        <v>578</v>
      </c>
      <c r="B239" t="s">
        <v>579</v>
      </c>
      <c r="D239">
        <v>0</v>
      </c>
      <c r="F239">
        <v>2</v>
      </c>
      <c r="G239">
        <v>0</v>
      </c>
      <c r="H239">
        <v>3126</v>
      </c>
      <c r="I239">
        <v>458</v>
      </c>
      <c r="J239">
        <v>460</v>
      </c>
      <c r="K239">
        <v>460</v>
      </c>
      <c r="L239">
        <v>0.14715291106845799</v>
      </c>
      <c r="M239" t="s">
        <v>653</v>
      </c>
      <c r="N239" t="s">
        <v>88</v>
      </c>
      <c r="O239" t="s">
        <v>653</v>
      </c>
      <c r="P239" t="s">
        <v>653</v>
      </c>
    </row>
    <row r="240" spans="1:16" x14ac:dyDescent="0.25">
      <c r="A240" t="s">
        <v>209</v>
      </c>
      <c r="B240" t="s">
        <v>210</v>
      </c>
      <c r="D240">
        <v>0</v>
      </c>
      <c r="F240">
        <v>0</v>
      </c>
      <c r="G240">
        <v>0</v>
      </c>
      <c r="H240">
        <v>22</v>
      </c>
      <c r="I240">
        <v>4</v>
      </c>
      <c r="J240">
        <v>4</v>
      </c>
      <c r="K240">
        <v>4</v>
      </c>
      <c r="L240">
        <v>0.18181818181818199</v>
      </c>
      <c r="M240" t="s">
        <v>88</v>
      </c>
      <c r="N240" t="s">
        <v>88</v>
      </c>
      <c r="O240" t="s">
        <v>88</v>
      </c>
      <c r="P240" t="s">
        <v>88</v>
      </c>
    </row>
    <row r="241" spans="1:16" x14ac:dyDescent="0.25">
      <c r="A241" t="s">
        <v>580</v>
      </c>
      <c r="B241" t="s">
        <v>581</v>
      </c>
      <c r="D241">
        <v>0</v>
      </c>
      <c r="F241">
        <v>31</v>
      </c>
      <c r="G241">
        <v>0</v>
      </c>
      <c r="H241">
        <v>4182</v>
      </c>
      <c r="I241">
        <v>726</v>
      </c>
      <c r="J241">
        <v>757</v>
      </c>
      <c r="K241">
        <v>757</v>
      </c>
      <c r="L241">
        <v>0.18101386896221899</v>
      </c>
      <c r="M241" t="s">
        <v>653</v>
      </c>
      <c r="N241" t="s">
        <v>653</v>
      </c>
      <c r="O241" t="s">
        <v>653</v>
      </c>
      <c r="P241" t="s">
        <v>653</v>
      </c>
    </row>
    <row r="242" spans="1:16" x14ac:dyDescent="0.25">
      <c r="A242" t="s">
        <v>211</v>
      </c>
      <c r="B242" t="s">
        <v>212</v>
      </c>
      <c r="D242">
        <v>0</v>
      </c>
      <c r="F242">
        <v>6</v>
      </c>
      <c r="G242">
        <v>0</v>
      </c>
      <c r="H242">
        <v>10363</v>
      </c>
      <c r="I242">
        <v>668</v>
      </c>
      <c r="J242">
        <v>674</v>
      </c>
      <c r="K242">
        <v>674</v>
      </c>
      <c r="L242">
        <v>6.5039081347100305E-2</v>
      </c>
      <c r="M242" t="s">
        <v>653</v>
      </c>
      <c r="N242" t="s">
        <v>88</v>
      </c>
      <c r="O242" t="s">
        <v>653</v>
      </c>
      <c r="P242" t="s">
        <v>653</v>
      </c>
    </row>
    <row r="243" spans="1:16" x14ac:dyDescent="0.25">
      <c r="A243" t="s">
        <v>302</v>
      </c>
      <c r="B243" t="s">
        <v>303</v>
      </c>
      <c r="D243">
        <v>0</v>
      </c>
      <c r="F243">
        <v>0</v>
      </c>
      <c r="G243">
        <v>0</v>
      </c>
      <c r="H243">
        <v>126</v>
      </c>
      <c r="I243">
        <v>16</v>
      </c>
      <c r="J243">
        <v>16</v>
      </c>
      <c r="K243">
        <v>16</v>
      </c>
      <c r="L243">
        <v>0.126984126984127</v>
      </c>
      <c r="M243" t="s">
        <v>653</v>
      </c>
      <c r="N243" t="s">
        <v>88</v>
      </c>
      <c r="O243" t="s">
        <v>653</v>
      </c>
      <c r="P243" t="s">
        <v>653</v>
      </c>
    </row>
    <row r="244" spans="1:16" x14ac:dyDescent="0.25">
      <c r="A244" t="s">
        <v>213</v>
      </c>
      <c r="B244" t="s">
        <v>214</v>
      </c>
      <c r="D244">
        <v>0</v>
      </c>
      <c r="F244">
        <v>0</v>
      </c>
      <c r="G244">
        <v>0</v>
      </c>
      <c r="H244">
        <v>68</v>
      </c>
      <c r="I244">
        <v>5</v>
      </c>
      <c r="J244">
        <v>5</v>
      </c>
      <c r="K244">
        <v>5</v>
      </c>
      <c r="L244">
        <v>7.3529411764705899E-2</v>
      </c>
      <c r="M244" t="s">
        <v>88</v>
      </c>
      <c r="N244" t="s">
        <v>88</v>
      </c>
      <c r="O244" t="s">
        <v>88</v>
      </c>
      <c r="P244" t="s">
        <v>88</v>
      </c>
    </row>
    <row r="245" spans="1:16" x14ac:dyDescent="0.25">
      <c r="A245" t="s">
        <v>215</v>
      </c>
      <c r="B245" t="s">
        <v>216</v>
      </c>
      <c r="D245">
        <v>0</v>
      </c>
      <c r="F245">
        <v>20</v>
      </c>
      <c r="G245">
        <v>0</v>
      </c>
      <c r="H245">
        <v>10791</v>
      </c>
      <c r="I245">
        <v>556</v>
      </c>
      <c r="J245">
        <v>576</v>
      </c>
      <c r="K245">
        <v>576</v>
      </c>
      <c r="L245">
        <v>5.33778148457048E-2</v>
      </c>
      <c r="M245" t="s">
        <v>653</v>
      </c>
      <c r="N245" t="s">
        <v>88</v>
      </c>
      <c r="O245" t="s">
        <v>653</v>
      </c>
      <c r="P245" t="s">
        <v>653</v>
      </c>
    </row>
    <row r="246" spans="1:16" x14ac:dyDescent="0.25">
      <c r="A246" t="s">
        <v>217</v>
      </c>
      <c r="B246" t="s">
        <v>218</v>
      </c>
      <c r="D246">
        <v>0</v>
      </c>
      <c r="F246">
        <v>10</v>
      </c>
      <c r="G246">
        <v>0</v>
      </c>
      <c r="H246">
        <v>7767</v>
      </c>
      <c r="I246">
        <v>238</v>
      </c>
      <c r="J246">
        <v>248</v>
      </c>
      <c r="K246">
        <v>248</v>
      </c>
      <c r="L246">
        <v>3.1929960087549898E-2</v>
      </c>
      <c r="M246" t="s">
        <v>653</v>
      </c>
      <c r="N246" t="s">
        <v>88</v>
      </c>
      <c r="O246" t="s">
        <v>88</v>
      </c>
      <c r="P246" t="s">
        <v>88</v>
      </c>
    </row>
    <row r="247" spans="1:16" x14ac:dyDescent="0.25">
      <c r="A247" t="s">
        <v>582</v>
      </c>
      <c r="B247" t="s">
        <v>583</v>
      </c>
      <c r="D247">
        <v>0</v>
      </c>
      <c r="F247">
        <v>1</v>
      </c>
      <c r="G247">
        <v>0</v>
      </c>
      <c r="H247">
        <v>610</v>
      </c>
      <c r="I247">
        <v>204</v>
      </c>
      <c r="J247">
        <v>205</v>
      </c>
      <c r="K247">
        <v>205</v>
      </c>
      <c r="L247">
        <v>0.33606557377049201</v>
      </c>
      <c r="M247" t="s">
        <v>653</v>
      </c>
      <c r="N247" t="s">
        <v>653</v>
      </c>
      <c r="O247" t="s">
        <v>653</v>
      </c>
      <c r="P247" t="s">
        <v>653</v>
      </c>
    </row>
    <row r="248" spans="1:16" x14ac:dyDescent="0.25">
      <c r="A248" t="s">
        <v>584</v>
      </c>
      <c r="B248" t="s">
        <v>585</v>
      </c>
      <c r="D248">
        <v>0</v>
      </c>
      <c r="F248">
        <v>4</v>
      </c>
      <c r="G248">
        <v>0</v>
      </c>
      <c r="H248">
        <v>375</v>
      </c>
      <c r="I248">
        <v>64</v>
      </c>
      <c r="J248">
        <v>68</v>
      </c>
      <c r="K248">
        <v>68</v>
      </c>
      <c r="L248">
        <v>0.18133333333333301</v>
      </c>
      <c r="M248" t="s">
        <v>653</v>
      </c>
      <c r="N248" t="s">
        <v>653</v>
      </c>
      <c r="O248" t="s">
        <v>653</v>
      </c>
      <c r="P248" t="s">
        <v>653</v>
      </c>
    </row>
    <row r="249" spans="1:16" x14ac:dyDescent="0.25">
      <c r="A249" t="s">
        <v>219</v>
      </c>
      <c r="B249" t="s">
        <v>220</v>
      </c>
      <c r="D249">
        <v>0</v>
      </c>
      <c r="F249">
        <v>25</v>
      </c>
      <c r="G249">
        <v>0</v>
      </c>
      <c r="H249">
        <v>11662</v>
      </c>
      <c r="I249">
        <v>966</v>
      </c>
      <c r="J249">
        <v>991</v>
      </c>
      <c r="K249">
        <v>991</v>
      </c>
      <c r="L249">
        <v>8.4976847882010001E-2</v>
      </c>
      <c r="M249" t="s">
        <v>653</v>
      </c>
      <c r="N249" t="s">
        <v>88</v>
      </c>
      <c r="O249" t="s">
        <v>653</v>
      </c>
      <c r="P249" t="s">
        <v>653</v>
      </c>
    </row>
    <row r="250" spans="1:16" x14ac:dyDescent="0.25">
      <c r="A250" t="s">
        <v>221</v>
      </c>
      <c r="B250" t="s">
        <v>222</v>
      </c>
      <c r="D250">
        <v>0</v>
      </c>
      <c r="F250">
        <v>6</v>
      </c>
      <c r="G250">
        <v>0</v>
      </c>
      <c r="H250">
        <v>1742</v>
      </c>
      <c r="I250">
        <v>144</v>
      </c>
      <c r="J250">
        <v>150</v>
      </c>
      <c r="K250">
        <v>150</v>
      </c>
      <c r="L250">
        <v>8.6107921928817402E-2</v>
      </c>
      <c r="M250" t="s">
        <v>653</v>
      </c>
      <c r="N250" t="s">
        <v>88</v>
      </c>
      <c r="O250" t="s">
        <v>653</v>
      </c>
      <c r="P250" t="s">
        <v>653</v>
      </c>
    </row>
    <row r="251" spans="1:16" x14ac:dyDescent="0.25">
      <c r="A251" t="s">
        <v>586</v>
      </c>
      <c r="B251" t="s">
        <v>587</v>
      </c>
      <c r="D251">
        <v>0</v>
      </c>
      <c r="F251">
        <v>4</v>
      </c>
      <c r="G251">
        <v>0</v>
      </c>
      <c r="H251">
        <v>357</v>
      </c>
      <c r="I251">
        <v>65</v>
      </c>
      <c r="J251">
        <v>69</v>
      </c>
      <c r="K251">
        <v>69</v>
      </c>
      <c r="L251">
        <v>0.19327731092437</v>
      </c>
      <c r="M251" t="s">
        <v>653</v>
      </c>
      <c r="N251" t="s">
        <v>653</v>
      </c>
      <c r="O251" t="s">
        <v>653</v>
      </c>
      <c r="P251" t="s">
        <v>653</v>
      </c>
    </row>
    <row r="252" spans="1:16" x14ac:dyDescent="0.25">
      <c r="A252" t="s">
        <v>61</v>
      </c>
      <c r="B252" t="s">
        <v>31</v>
      </c>
      <c r="C252" t="s">
        <v>61</v>
      </c>
      <c r="D252">
        <v>0</v>
      </c>
      <c r="F252">
        <v>145</v>
      </c>
      <c r="G252">
        <v>0</v>
      </c>
      <c r="H252">
        <v>34150.900190613916</v>
      </c>
      <c r="I252">
        <v>4697.0432747862251</v>
      </c>
      <c r="J252">
        <v>4842.0432747862251</v>
      </c>
      <c r="K252">
        <v>4970</v>
      </c>
      <c r="L252">
        <v>0.14178376698008699</v>
      </c>
      <c r="M252" t="s">
        <v>653</v>
      </c>
      <c r="N252" t="s">
        <v>88</v>
      </c>
      <c r="O252" t="s">
        <v>653</v>
      </c>
      <c r="P252" t="s">
        <v>653</v>
      </c>
    </row>
    <row r="253" spans="1:16" x14ac:dyDescent="0.25">
      <c r="A253" t="s">
        <v>78</v>
      </c>
      <c r="B253" t="s">
        <v>36</v>
      </c>
      <c r="C253" t="s">
        <v>61</v>
      </c>
      <c r="D253">
        <v>0</v>
      </c>
      <c r="E253">
        <v>0</v>
      </c>
      <c r="F253">
        <v>0</v>
      </c>
      <c r="G253">
        <v>0</v>
      </c>
      <c r="H253">
        <v>970.01738530300918</v>
      </c>
      <c r="I253">
        <v>95.340305061243185</v>
      </c>
      <c r="J253">
        <v>95.340305061243185</v>
      </c>
      <c r="K253">
        <v>0</v>
      </c>
      <c r="L253">
        <v>9.8287212688936795E-2</v>
      </c>
      <c r="M253" t="s">
        <v>653</v>
      </c>
      <c r="N253" t="s">
        <v>88</v>
      </c>
      <c r="O253" t="s">
        <v>653</v>
      </c>
      <c r="P253" t="s">
        <v>653</v>
      </c>
    </row>
    <row r="254" spans="1:16" x14ac:dyDescent="0.25">
      <c r="A254" t="s">
        <v>588</v>
      </c>
      <c r="B254" t="s">
        <v>589</v>
      </c>
      <c r="D254">
        <v>0</v>
      </c>
      <c r="F254">
        <v>0</v>
      </c>
      <c r="G254">
        <v>0</v>
      </c>
      <c r="H254">
        <v>129</v>
      </c>
      <c r="I254">
        <v>20</v>
      </c>
      <c r="J254">
        <v>20</v>
      </c>
      <c r="K254">
        <v>20</v>
      </c>
      <c r="L254">
        <v>0.15503875968992201</v>
      </c>
      <c r="M254" t="s">
        <v>653</v>
      </c>
      <c r="N254" t="s">
        <v>653</v>
      </c>
      <c r="O254" t="s">
        <v>653</v>
      </c>
      <c r="P254" t="s">
        <v>653</v>
      </c>
    </row>
    <row r="255" spans="1:16" x14ac:dyDescent="0.25">
      <c r="A255" t="s">
        <v>590</v>
      </c>
      <c r="B255" t="s">
        <v>591</v>
      </c>
      <c r="D255">
        <v>0</v>
      </c>
      <c r="F255">
        <v>7</v>
      </c>
      <c r="G255">
        <v>0</v>
      </c>
      <c r="H255">
        <v>162</v>
      </c>
      <c r="I255">
        <v>17</v>
      </c>
      <c r="J255">
        <v>24</v>
      </c>
      <c r="K255">
        <v>24</v>
      </c>
      <c r="L255">
        <v>0.148148148148148</v>
      </c>
      <c r="M255" t="s">
        <v>653</v>
      </c>
      <c r="N255" t="s">
        <v>88</v>
      </c>
      <c r="O255" t="s">
        <v>653</v>
      </c>
      <c r="P255" t="s">
        <v>653</v>
      </c>
    </row>
    <row r="256" spans="1:16" x14ac:dyDescent="0.25">
      <c r="A256" t="s">
        <v>223</v>
      </c>
      <c r="B256" t="s">
        <v>224</v>
      </c>
      <c r="D256">
        <v>0</v>
      </c>
      <c r="F256">
        <v>8</v>
      </c>
      <c r="G256">
        <v>0</v>
      </c>
      <c r="H256">
        <v>5421</v>
      </c>
      <c r="I256">
        <v>420</v>
      </c>
      <c r="J256">
        <v>428</v>
      </c>
      <c r="K256">
        <v>428</v>
      </c>
      <c r="L256">
        <v>7.8952222837114894E-2</v>
      </c>
      <c r="M256" t="s">
        <v>653</v>
      </c>
      <c r="N256" t="s">
        <v>88</v>
      </c>
      <c r="O256" t="s">
        <v>653</v>
      </c>
      <c r="P256" t="s">
        <v>653</v>
      </c>
    </row>
    <row r="257" spans="1:16" x14ac:dyDescent="0.25">
      <c r="A257" t="s">
        <v>225</v>
      </c>
      <c r="B257" t="s">
        <v>226</v>
      </c>
      <c r="D257">
        <v>0</v>
      </c>
      <c r="F257">
        <v>0</v>
      </c>
      <c r="G257">
        <v>0</v>
      </c>
      <c r="H257">
        <v>25</v>
      </c>
      <c r="I257">
        <v>1</v>
      </c>
      <c r="J257">
        <v>1</v>
      </c>
      <c r="K257">
        <v>1</v>
      </c>
      <c r="L257">
        <v>0.04</v>
      </c>
      <c r="M257" t="s">
        <v>88</v>
      </c>
      <c r="N257" t="s">
        <v>88</v>
      </c>
      <c r="O257" t="s">
        <v>88</v>
      </c>
      <c r="P257" t="s">
        <v>88</v>
      </c>
    </row>
    <row r="258" spans="1:16" x14ac:dyDescent="0.25">
      <c r="A258" t="s">
        <v>592</v>
      </c>
      <c r="B258" t="s">
        <v>593</v>
      </c>
      <c r="D258">
        <v>0</v>
      </c>
      <c r="F258">
        <v>3</v>
      </c>
      <c r="G258">
        <v>0</v>
      </c>
      <c r="H258">
        <v>16</v>
      </c>
      <c r="I258">
        <v>2</v>
      </c>
      <c r="J258">
        <v>5</v>
      </c>
      <c r="K258">
        <v>5</v>
      </c>
      <c r="L258">
        <v>0.3125</v>
      </c>
      <c r="M258" t="s">
        <v>88</v>
      </c>
      <c r="N258" t="s">
        <v>88</v>
      </c>
      <c r="O258" t="s">
        <v>88</v>
      </c>
      <c r="P258" t="s">
        <v>88</v>
      </c>
    </row>
    <row r="259" spans="1:16" x14ac:dyDescent="0.25">
      <c r="A259" t="s">
        <v>227</v>
      </c>
      <c r="B259" t="s">
        <v>228</v>
      </c>
      <c r="D259">
        <v>0</v>
      </c>
      <c r="F259">
        <v>0</v>
      </c>
      <c r="G259">
        <v>0</v>
      </c>
      <c r="H259">
        <v>15</v>
      </c>
      <c r="I259">
        <v>2</v>
      </c>
      <c r="J259">
        <v>2</v>
      </c>
      <c r="K259">
        <v>2</v>
      </c>
      <c r="L259">
        <v>0.133333333333333</v>
      </c>
      <c r="M259" t="s">
        <v>88</v>
      </c>
      <c r="N259" t="s">
        <v>88</v>
      </c>
      <c r="O259" t="s">
        <v>88</v>
      </c>
      <c r="P259" t="s">
        <v>88</v>
      </c>
    </row>
    <row r="260" spans="1:16" x14ac:dyDescent="0.25">
      <c r="A260" t="s">
        <v>229</v>
      </c>
      <c r="B260" t="s">
        <v>230</v>
      </c>
      <c r="D260">
        <v>0</v>
      </c>
      <c r="F260">
        <v>11</v>
      </c>
      <c r="G260">
        <v>0</v>
      </c>
      <c r="H260">
        <v>3984</v>
      </c>
      <c r="I260">
        <v>239</v>
      </c>
      <c r="J260">
        <v>250</v>
      </c>
      <c r="K260">
        <v>250</v>
      </c>
      <c r="L260">
        <v>6.2751004016064302E-2</v>
      </c>
      <c r="M260" t="s">
        <v>653</v>
      </c>
      <c r="N260" t="s">
        <v>88</v>
      </c>
      <c r="O260" t="s">
        <v>653</v>
      </c>
      <c r="P260" t="s">
        <v>653</v>
      </c>
    </row>
    <row r="261" spans="1:16" x14ac:dyDescent="0.25">
      <c r="A261" t="s">
        <v>594</v>
      </c>
      <c r="B261" t="s">
        <v>595</v>
      </c>
      <c r="D261">
        <v>0</v>
      </c>
      <c r="F261">
        <v>0</v>
      </c>
      <c r="G261">
        <v>0</v>
      </c>
      <c r="H261">
        <v>53</v>
      </c>
      <c r="I261">
        <v>8</v>
      </c>
      <c r="J261">
        <v>8</v>
      </c>
      <c r="K261">
        <v>8</v>
      </c>
      <c r="L261">
        <v>0.15094339622641501</v>
      </c>
      <c r="M261" t="s">
        <v>88</v>
      </c>
      <c r="N261" t="s">
        <v>88</v>
      </c>
      <c r="O261" t="s">
        <v>88</v>
      </c>
      <c r="P261" t="s">
        <v>88</v>
      </c>
    </row>
    <row r="262" spans="1:16" x14ac:dyDescent="0.25">
      <c r="A262" t="s">
        <v>596</v>
      </c>
      <c r="B262" t="s">
        <v>597</v>
      </c>
      <c r="D262">
        <v>0</v>
      </c>
      <c r="F262">
        <v>5</v>
      </c>
      <c r="G262">
        <v>0</v>
      </c>
      <c r="H262">
        <v>910</v>
      </c>
      <c r="I262">
        <v>137</v>
      </c>
      <c r="J262">
        <v>142</v>
      </c>
      <c r="K262">
        <v>142</v>
      </c>
      <c r="L262">
        <v>0.15604395604395599</v>
      </c>
      <c r="M262" t="s">
        <v>653</v>
      </c>
      <c r="N262" t="s">
        <v>653</v>
      </c>
      <c r="O262" t="s">
        <v>653</v>
      </c>
      <c r="P262" t="s">
        <v>653</v>
      </c>
    </row>
    <row r="263" spans="1:16" x14ac:dyDescent="0.25">
      <c r="A263" t="s">
        <v>231</v>
      </c>
      <c r="B263" t="s">
        <v>232</v>
      </c>
      <c r="D263">
        <v>0</v>
      </c>
      <c r="F263">
        <v>8</v>
      </c>
      <c r="G263">
        <v>0</v>
      </c>
      <c r="H263">
        <v>2515</v>
      </c>
      <c r="I263">
        <v>208</v>
      </c>
      <c r="J263">
        <v>216</v>
      </c>
      <c r="K263">
        <v>216</v>
      </c>
      <c r="L263">
        <v>8.5884691848906597E-2</v>
      </c>
      <c r="M263" t="s">
        <v>653</v>
      </c>
      <c r="N263" t="s">
        <v>88</v>
      </c>
      <c r="O263" t="s">
        <v>653</v>
      </c>
      <c r="P263" t="s">
        <v>653</v>
      </c>
    </row>
    <row r="264" spans="1:16" x14ac:dyDescent="0.25">
      <c r="A264" t="s">
        <v>598</v>
      </c>
      <c r="B264" t="s">
        <v>599</v>
      </c>
      <c r="D264">
        <v>0</v>
      </c>
      <c r="F264">
        <v>0</v>
      </c>
      <c r="G264">
        <v>0</v>
      </c>
      <c r="H264">
        <v>114</v>
      </c>
      <c r="I264">
        <v>26</v>
      </c>
      <c r="J264">
        <v>26</v>
      </c>
      <c r="K264">
        <v>26</v>
      </c>
      <c r="L264">
        <v>0.22807017543859601</v>
      </c>
      <c r="M264" t="s">
        <v>653</v>
      </c>
      <c r="N264" t="s">
        <v>653</v>
      </c>
      <c r="O264" t="s">
        <v>653</v>
      </c>
      <c r="P264" t="s">
        <v>653</v>
      </c>
    </row>
    <row r="265" spans="1:16" x14ac:dyDescent="0.25">
      <c r="A265" t="s">
        <v>72</v>
      </c>
      <c r="B265" t="s">
        <v>26</v>
      </c>
      <c r="C265" t="s">
        <v>59</v>
      </c>
      <c r="D265">
        <v>0</v>
      </c>
      <c r="E265">
        <v>0</v>
      </c>
      <c r="F265">
        <v>0</v>
      </c>
      <c r="G265">
        <v>0</v>
      </c>
      <c r="H265">
        <v>769.53484754200304</v>
      </c>
      <c r="I265">
        <v>101.13572023313915</v>
      </c>
      <c r="J265">
        <v>101.13572023313915</v>
      </c>
      <c r="K265">
        <v>0</v>
      </c>
      <c r="L265">
        <v>0.131424483967399</v>
      </c>
      <c r="M265" t="s">
        <v>653</v>
      </c>
      <c r="N265" t="s">
        <v>88</v>
      </c>
      <c r="O265" t="s">
        <v>653</v>
      </c>
      <c r="P265" t="s">
        <v>653</v>
      </c>
    </row>
    <row r="266" spans="1:16" x14ac:dyDescent="0.25">
      <c r="A266" t="s">
        <v>73</v>
      </c>
      <c r="B266" t="s">
        <v>28</v>
      </c>
      <c r="C266" t="s">
        <v>59</v>
      </c>
      <c r="D266">
        <v>0</v>
      </c>
      <c r="E266">
        <v>0</v>
      </c>
      <c r="F266">
        <v>0</v>
      </c>
      <c r="G266">
        <v>0</v>
      </c>
      <c r="H266">
        <v>292.64001244555078</v>
      </c>
      <c r="I266">
        <v>35.67027477102414</v>
      </c>
      <c r="J266">
        <v>35.67027477102414</v>
      </c>
      <c r="K266">
        <v>0</v>
      </c>
      <c r="L266">
        <v>0.121891311010182</v>
      </c>
      <c r="M266" t="s">
        <v>653</v>
      </c>
      <c r="N266" t="s">
        <v>88</v>
      </c>
      <c r="O266" t="s">
        <v>653</v>
      </c>
      <c r="P266" t="s">
        <v>653</v>
      </c>
    </row>
    <row r="267" spans="1:16" x14ac:dyDescent="0.25">
      <c r="A267" t="s">
        <v>233</v>
      </c>
      <c r="B267" t="s">
        <v>234</v>
      </c>
      <c r="D267">
        <v>0</v>
      </c>
      <c r="F267">
        <v>12</v>
      </c>
      <c r="G267">
        <v>0</v>
      </c>
      <c r="H267">
        <v>10698</v>
      </c>
      <c r="I267">
        <v>548</v>
      </c>
      <c r="J267">
        <v>560</v>
      </c>
      <c r="K267">
        <v>560</v>
      </c>
      <c r="L267">
        <v>5.2346232940736599E-2</v>
      </c>
      <c r="M267" t="s">
        <v>653</v>
      </c>
      <c r="N267" t="s">
        <v>88</v>
      </c>
      <c r="O267" t="s">
        <v>653</v>
      </c>
      <c r="P267" t="s">
        <v>653</v>
      </c>
    </row>
    <row r="268" spans="1:16" x14ac:dyDescent="0.25">
      <c r="A268" t="s">
        <v>600</v>
      </c>
      <c r="B268" t="s">
        <v>601</v>
      </c>
      <c r="D268">
        <v>0</v>
      </c>
      <c r="F268">
        <v>13</v>
      </c>
      <c r="G268">
        <v>0</v>
      </c>
      <c r="H268">
        <v>6203</v>
      </c>
      <c r="I268">
        <v>1299</v>
      </c>
      <c r="J268">
        <v>1312</v>
      </c>
      <c r="K268">
        <v>1312</v>
      </c>
      <c r="L268">
        <v>0.21151055940673899</v>
      </c>
      <c r="M268" t="s">
        <v>653</v>
      </c>
      <c r="N268" t="s">
        <v>653</v>
      </c>
      <c r="O268" t="s">
        <v>653</v>
      </c>
      <c r="P268" t="s">
        <v>653</v>
      </c>
    </row>
    <row r="269" spans="1:16" x14ac:dyDescent="0.25">
      <c r="A269" t="s">
        <v>67</v>
      </c>
      <c r="B269" t="s">
        <v>12</v>
      </c>
      <c r="C269" t="s">
        <v>55</v>
      </c>
      <c r="D269">
        <v>0</v>
      </c>
      <c r="E269">
        <v>0</v>
      </c>
      <c r="F269">
        <v>0</v>
      </c>
      <c r="G269">
        <v>0</v>
      </c>
      <c r="H269">
        <v>82.095827510481215</v>
      </c>
      <c r="I269">
        <v>15.938783128032831</v>
      </c>
      <c r="J269">
        <v>15.938783128032831</v>
      </c>
      <c r="K269">
        <v>0</v>
      </c>
      <c r="L269">
        <v>0.194148516573487</v>
      </c>
      <c r="M269" t="s">
        <v>653</v>
      </c>
      <c r="N269" t="s">
        <v>653</v>
      </c>
      <c r="O269" t="s">
        <v>653</v>
      </c>
      <c r="P269" t="s">
        <v>653</v>
      </c>
    </row>
    <row r="270" spans="1:16" x14ac:dyDescent="0.25">
      <c r="A270" t="s">
        <v>62</v>
      </c>
      <c r="B270" t="s">
        <v>38</v>
      </c>
      <c r="C270" t="s">
        <v>62</v>
      </c>
      <c r="D270">
        <v>0</v>
      </c>
      <c r="F270">
        <v>123</v>
      </c>
      <c r="G270">
        <v>0</v>
      </c>
      <c r="H270">
        <v>33073.124094994921</v>
      </c>
      <c r="I270">
        <v>4283.1417556721235</v>
      </c>
      <c r="J270">
        <v>4406.1417556721235</v>
      </c>
      <c r="K270">
        <v>4451</v>
      </c>
      <c r="L270">
        <v>0.13322423799507099</v>
      </c>
      <c r="M270" t="s">
        <v>653</v>
      </c>
      <c r="N270" t="s">
        <v>88</v>
      </c>
      <c r="O270" t="s">
        <v>653</v>
      </c>
      <c r="P270" t="s">
        <v>653</v>
      </c>
    </row>
    <row r="271" spans="1:16" x14ac:dyDescent="0.25">
      <c r="A271" t="s">
        <v>602</v>
      </c>
      <c r="B271" t="s">
        <v>603</v>
      </c>
      <c r="D271">
        <v>0</v>
      </c>
      <c r="F271">
        <v>0</v>
      </c>
      <c r="G271">
        <v>0</v>
      </c>
      <c r="H271">
        <v>347</v>
      </c>
      <c r="I271">
        <v>54</v>
      </c>
      <c r="J271">
        <v>54</v>
      </c>
      <c r="K271">
        <v>54</v>
      </c>
      <c r="L271">
        <v>0.155619596541787</v>
      </c>
      <c r="M271" t="s">
        <v>653</v>
      </c>
      <c r="N271" t="s">
        <v>653</v>
      </c>
      <c r="O271" t="s">
        <v>653</v>
      </c>
      <c r="P271" t="s">
        <v>653</v>
      </c>
    </row>
    <row r="272" spans="1:16" x14ac:dyDescent="0.25">
      <c r="A272" t="s">
        <v>235</v>
      </c>
      <c r="B272" t="s">
        <v>236</v>
      </c>
      <c r="D272">
        <v>0</v>
      </c>
      <c r="F272">
        <v>10</v>
      </c>
      <c r="G272">
        <v>0</v>
      </c>
      <c r="H272">
        <v>9095</v>
      </c>
      <c r="I272">
        <v>406</v>
      </c>
      <c r="J272">
        <v>416</v>
      </c>
      <c r="K272">
        <v>416</v>
      </c>
      <c r="L272">
        <v>4.5739417262231997E-2</v>
      </c>
      <c r="M272" t="s">
        <v>653</v>
      </c>
      <c r="N272" t="s">
        <v>88</v>
      </c>
      <c r="O272" t="s">
        <v>88</v>
      </c>
      <c r="P272" t="s">
        <v>88</v>
      </c>
    </row>
    <row r="273" spans="1:16" x14ac:dyDescent="0.25">
      <c r="A273" t="s">
        <v>237</v>
      </c>
      <c r="B273" t="s">
        <v>238</v>
      </c>
      <c r="D273">
        <v>0</v>
      </c>
      <c r="F273">
        <v>2</v>
      </c>
      <c r="G273">
        <v>0</v>
      </c>
      <c r="H273">
        <v>169</v>
      </c>
      <c r="I273">
        <v>19</v>
      </c>
      <c r="J273">
        <v>21</v>
      </c>
      <c r="K273">
        <v>21</v>
      </c>
      <c r="L273">
        <v>0.124260355029586</v>
      </c>
      <c r="M273" t="s">
        <v>653</v>
      </c>
      <c r="N273" t="s">
        <v>88</v>
      </c>
      <c r="O273" t="s">
        <v>653</v>
      </c>
      <c r="P273" t="s">
        <v>653</v>
      </c>
    </row>
    <row r="274" spans="1:16" x14ac:dyDescent="0.25">
      <c r="A274" t="s">
        <v>304</v>
      </c>
      <c r="B274" t="s">
        <v>305</v>
      </c>
      <c r="D274">
        <v>0</v>
      </c>
      <c r="F274">
        <v>5</v>
      </c>
      <c r="G274">
        <v>0</v>
      </c>
      <c r="H274">
        <v>1511</v>
      </c>
      <c r="I274">
        <v>122</v>
      </c>
      <c r="J274">
        <v>127</v>
      </c>
      <c r="K274">
        <v>127</v>
      </c>
      <c r="L274">
        <v>8.4050297816015904E-2</v>
      </c>
      <c r="M274" t="s">
        <v>653</v>
      </c>
      <c r="N274" t="s">
        <v>88</v>
      </c>
      <c r="O274" t="s">
        <v>653</v>
      </c>
      <c r="P274" t="s">
        <v>653</v>
      </c>
    </row>
    <row r="275" spans="1:16" x14ac:dyDescent="0.25">
      <c r="A275" t="s">
        <v>239</v>
      </c>
      <c r="B275" t="s">
        <v>240</v>
      </c>
      <c r="D275">
        <v>0</v>
      </c>
      <c r="F275">
        <v>0</v>
      </c>
      <c r="G275">
        <v>0</v>
      </c>
      <c r="H275">
        <v>208</v>
      </c>
      <c r="I275">
        <v>31</v>
      </c>
      <c r="J275">
        <v>31</v>
      </c>
      <c r="K275">
        <v>31</v>
      </c>
      <c r="L275">
        <v>0.14903846153846201</v>
      </c>
      <c r="M275" t="s">
        <v>653</v>
      </c>
      <c r="N275" t="s">
        <v>88</v>
      </c>
      <c r="O275" t="s">
        <v>653</v>
      </c>
      <c r="P275" t="s">
        <v>653</v>
      </c>
    </row>
    <row r="276" spans="1:16" x14ac:dyDescent="0.25">
      <c r="A276" t="s">
        <v>241</v>
      </c>
      <c r="B276" t="s">
        <v>242</v>
      </c>
      <c r="D276">
        <v>0</v>
      </c>
      <c r="F276">
        <v>8</v>
      </c>
      <c r="G276">
        <v>0</v>
      </c>
      <c r="H276">
        <v>864</v>
      </c>
      <c r="I276">
        <v>68</v>
      </c>
      <c r="J276">
        <v>76</v>
      </c>
      <c r="K276">
        <v>76</v>
      </c>
      <c r="L276">
        <v>8.7962962962963007E-2</v>
      </c>
      <c r="M276" t="s">
        <v>653</v>
      </c>
      <c r="N276" t="s">
        <v>88</v>
      </c>
      <c r="O276" t="s">
        <v>653</v>
      </c>
      <c r="P276" t="s">
        <v>653</v>
      </c>
    </row>
    <row r="277" spans="1:16" x14ac:dyDescent="0.25">
      <c r="A277" t="s">
        <v>604</v>
      </c>
      <c r="B277" t="s">
        <v>605</v>
      </c>
      <c r="D277">
        <v>0</v>
      </c>
      <c r="F277">
        <v>4</v>
      </c>
      <c r="G277">
        <v>0</v>
      </c>
      <c r="H277">
        <v>1100</v>
      </c>
      <c r="I277">
        <v>265</v>
      </c>
      <c r="J277">
        <v>269</v>
      </c>
      <c r="K277">
        <v>269</v>
      </c>
      <c r="L277">
        <v>0.24454545454545501</v>
      </c>
      <c r="M277" t="s">
        <v>653</v>
      </c>
      <c r="N277" t="s">
        <v>653</v>
      </c>
      <c r="O277" t="s">
        <v>653</v>
      </c>
      <c r="P277" t="s">
        <v>653</v>
      </c>
    </row>
    <row r="278" spans="1:16" x14ac:dyDescent="0.25">
      <c r="A278" t="s">
        <v>606</v>
      </c>
      <c r="B278" t="s">
        <v>607</v>
      </c>
      <c r="D278">
        <v>0</v>
      </c>
      <c r="F278">
        <v>14</v>
      </c>
      <c r="G278">
        <v>0</v>
      </c>
      <c r="H278">
        <v>3472</v>
      </c>
      <c r="I278">
        <v>660</v>
      </c>
      <c r="J278">
        <v>674</v>
      </c>
      <c r="K278">
        <v>674</v>
      </c>
      <c r="L278">
        <v>0.19412442396313401</v>
      </c>
      <c r="M278" t="s">
        <v>653</v>
      </c>
      <c r="N278" t="s">
        <v>653</v>
      </c>
      <c r="O278" t="s">
        <v>653</v>
      </c>
      <c r="P278" t="s">
        <v>653</v>
      </c>
    </row>
    <row r="279" spans="1:16" x14ac:dyDescent="0.25">
      <c r="A279" t="s">
        <v>243</v>
      </c>
      <c r="B279" t="s">
        <v>244</v>
      </c>
      <c r="D279">
        <v>0</v>
      </c>
      <c r="F279">
        <v>0</v>
      </c>
      <c r="G279">
        <v>0</v>
      </c>
      <c r="H279">
        <v>219</v>
      </c>
      <c r="I279">
        <v>24</v>
      </c>
      <c r="J279">
        <v>24</v>
      </c>
      <c r="K279">
        <v>24</v>
      </c>
      <c r="L279">
        <v>0.10958904109589</v>
      </c>
      <c r="M279" t="s">
        <v>653</v>
      </c>
      <c r="N279" t="s">
        <v>88</v>
      </c>
      <c r="O279" t="s">
        <v>653</v>
      </c>
      <c r="P279" t="s">
        <v>653</v>
      </c>
    </row>
    <row r="280" spans="1:16" x14ac:dyDescent="0.25">
      <c r="A280" t="s">
        <v>245</v>
      </c>
      <c r="B280" t="s">
        <v>246</v>
      </c>
      <c r="D280">
        <v>0</v>
      </c>
      <c r="F280">
        <v>2</v>
      </c>
      <c r="G280">
        <v>0</v>
      </c>
      <c r="H280">
        <v>780</v>
      </c>
      <c r="I280">
        <v>71</v>
      </c>
      <c r="J280">
        <v>73</v>
      </c>
      <c r="K280">
        <v>73</v>
      </c>
      <c r="L280">
        <v>9.3589743589743604E-2</v>
      </c>
      <c r="M280" t="s">
        <v>653</v>
      </c>
      <c r="N280" t="s">
        <v>88</v>
      </c>
      <c r="O280" t="s">
        <v>653</v>
      </c>
      <c r="P280" t="s">
        <v>653</v>
      </c>
    </row>
    <row r="281" spans="1:16" x14ac:dyDescent="0.25">
      <c r="A281" t="s">
        <v>608</v>
      </c>
      <c r="B281" t="s">
        <v>609</v>
      </c>
      <c r="D281">
        <v>0</v>
      </c>
      <c r="F281">
        <v>4</v>
      </c>
      <c r="G281">
        <v>0</v>
      </c>
      <c r="H281">
        <v>202</v>
      </c>
      <c r="I281">
        <v>41</v>
      </c>
      <c r="J281">
        <v>45</v>
      </c>
      <c r="K281">
        <v>45</v>
      </c>
      <c r="L281">
        <v>0.222772277227723</v>
      </c>
      <c r="M281" t="s">
        <v>653</v>
      </c>
      <c r="N281" t="s">
        <v>653</v>
      </c>
      <c r="O281" t="s">
        <v>653</v>
      </c>
      <c r="P281" t="s">
        <v>653</v>
      </c>
    </row>
    <row r="282" spans="1:16" x14ac:dyDescent="0.25">
      <c r="A282" t="s">
        <v>60</v>
      </c>
      <c r="B282" t="s">
        <v>42</v>
      </c>
      <c r="C282" t="s">
        <v>60</v>
      </c>
      <c r="D282">
        <v>0</v>
      </c>
      <c r="F282">
        <v>3</v>
      </c>
      <c r="G282">
        <v>0</v>
      </c>
      <c r="H282">
        <v>2257.117885082278</v>
      </c>
      <c r="I282">
        <v>501.88758958883432</v>
      </c>
      <c r="J282">
        <v>504.88758958883432</v>
      </c>
      <c r="K282">
        <v>647</v>
      </c>
      <c r="L282">
        <v>0.223686849909671</v>
      </c>
      <c r="M282" t="s">
        <v>653</v>
      </c>
      <c r="N282" t="s">
        <v>653</v>
      </c>
      <c r="O282" t="s">
        <v>653</v>
      </c>
      <c r="P282" t="s">
        <v>653</v>
      </c>
    </row>
    <row r="283" spans="1:16" x14ac:dyDescent="0.25">
      <c r="A283" t="s">
        <v>247</v>
      </c>
      <c r="B283" t="s">
        <v>248</v>
      </c>
      <c r="D283">
        <v>0</v>
      </c>
      <c r="F283">
        <v>19</v>
      </c>
      <c r="G283">
        <v>0</v>
      </c>
      <c r="H283">
        <v>6882</v>
      </c>
      <c r="I283">
        <v>621</v>
      </c>
      <c r="J283">
        <v>640</v>
      </c>
      <c r="K283">
        <v>640</v>
      </c>
      <c r="L283">
        <v>9.2996222028480097E-2</v>
      </c>
      <c r="M283" t="s">
        <v>653</v>
      </c>
      <c r="N283" t="s">
        <v>88</v>
      </c>
      <c r="O283" t="s">
        <v>653</v>
      </c>
      <c r="P283" t="s">
        <v>653</v>
      </c>
    </row>
    <row r="284" spans="1:16" x14ac:dyDescent="0.25">
      <c r="A284" t="s">
        <v>610</v>
      </c>
      <c r="B284" t="s">
        <v>611</v>
      </c>
      <c r="D284">
        <v>0</v>
      </c>
      <c r="F284">
        <v>2</v>
      </c>
      <c r="G284">
        <v>0</v>
      </c>
      <c r="H284">
        <v>810</v>
      </c>
      <c r="I284">
        <v>252</v>
      </c>
      <c r="J284">
        <v>254</v>
      </c>
      <c r="K284">
        <v>254</v>
      </c>
      <c r="L284">
        <v>0.31358024691358</v>
      </c>
      <c r="M284" t="s">
        <v>653</v>
      </c>
      <c r="N284" t="s">
        <v>653</v>
      </c>
      <c r="O284" t="s">
        <v>653</v>
      </c>
      <c r="P284" t="s">
        <v>653</v>
      </c>
    </row>
    <row r="285" spans="1:16" x14ac:dyDescent="0.25">
      <c r="A285" t="s">
        <v>249</v>
      </c>
      <c r="B285" t="s">
        <v>250</v>
      </c>
      <c r="D285">
        <v>0</v>
      </c>
      <c r="F285">
        <v>6</v>
      </c>
      <c r="G285">
        <v>0</v>
      </c>
      <c r="H285">
        <v>5730</v>
      </c>
      <c r="I285">
        <v>469</v>
      </c>
      <c r="J285">
        <v>475</v>
      </c>
      <c r="K285">
        <v>475</v>
      </c>
      <c r="L285">
        <v>8.2897033158813305E-2</v>
      </c>
      <c r="M285" t="s">
        <v>653</v>
      </c>
      <c r="N285" t="s">
        <v>88</v>
      </c>
      <c r="O285" t="s">
        <v>653</v>
      </c>
      <c r="P285" t="s">
        <v>653</v>
      </c>
    </row>
    <row r="286" spans="1:16" x14ac:dyDescent="0.25">
      <c r="A286" t="s">
        <v>612</v>
      </c>
      <c r="B286" t="s">
        <v>613</v>
      </c>
      <c r="D286">
        <v>0</v>
      </c>
      <c r="F286">
        <v>1</v>
      </c>
      <c r="G286">
        <v>0</v>
      </c>
      <c r="H286">
        <v>290</v>
      </c>
      <c r="I286">
        <v>76</v>
      </c>
      <c r="J286">
        <v>77</v>
      </c>
      <c r="K286">
        <v>77</v>
      </c>
      <c r="L286">
        <v>0.26551724137930999</v>
      </c>
      <c r="M286" t="s">
        <v>653</v>
      </c>
      <c r="N286" t="s">
        <v>653</v>
      </c>
      <c r="O286" t="s">
        <v>653</v>
      </c>
      <c r="P286" t="s">
        <v>653</v>
      </c>
    </row>
    <row r="287" spans="1:16" x14ac:dyDescent="0.25">
      <c r="A287" t="s">
        <v>63</v>
      </c>
      <c r="B287" t="s">
        <v>48</v>
      </c>
      <c r="C287" t="s">
        <v>63</v>
      </c>
      <c r="D287">
        <v>0</v>
      </c>
      <c r="F287">
        <v>104</v>
      </c>
      <c r="G287">
        <v>0</v>
      </c>
      <c r="H287">
        <v>24627.420667870028</v>
      </c>
      <c r="I287">
        <v>2611.4967272727281</v>
      </c>
      <c r="J287">
        <v>2715.4967272727281</v>
      </c>
      <c r="K287">
        <v>2756</v>
      </c>
      <c r="L287">
        <v>0.11026313976987</v>
      </c>
      <c r="M287" t="s">
        <v>653</v>
      </c>
      <c r="N287" t="s">
        <v>88</v>
      </c>
      <c r="O287" t="s">
        <v>653</v>
      </c>
      <c r="P287" t="s">
        <v>653</v>
      </c>
    </row>
    <row r="288" spans="1:16" x14ac:dyDescent="0.25">
      <c r="A288" t="s">
        <v>251</v>
      </c>
      <c r="B288" t="s">
        <v>252</v>
      </c>
      <c r="D288">
        <v>0</v>
      </c>
      <c r="F288">
        <v>3</v>
      </c>
      <c r="G288">
        <v>0</v>
      </c>
      <c r="H288">
        <v>1416</v>
      </c>
      <c r="I288">
        <v>111</v>
      </c>
      <c r="J288">
        <v>114</v>
      </c>
      <c r="K288">
        <v>114</v>
      </c>
      <c r="L288">
        <v>8.0508474576271194E-2</v>
      </c>
      <c r="M288" t="s">
        <v>653</v>
      </c>
      <c r="N288" t="s">
        <v>88</v>
      </c>
      <c r="O288" t="s">
        <v>653</v>
      </c>
      <c r="P288" t="s">
        <v>653</v>
      </c>
    </row>
    <row r="289" spans="1:16" x14ac:dyDescent="0.25">
      <c r="A289" t="s">
        <v>614</v>
      </c>
      <c r="B289" t="s">
        <v>615</v>
      </c>
      <c r="D289">
        <v>0</v>
      </c>
      <c r="F289">
        <v>2</v>
      </c>
      <c r="G289">
        <v>0</v>
      </c>
      <c r="H289">
        <v>504</v>
      </c>
      <c r="I289">
        <v>90</v>
      </c>
      <c r="J289">
        <v>92</v>
      </c>
      <c r="K289">
        <v>92</v>
      </c>
      <c r="L289">
        <v>0.182539682539683</v>
      </c>
      <c r="M289" t="s">
        <v>653</v>
      </c>
      <c r="N289" t="s">
        <v>653</v>
      </c>
      <c r="O289" t="s">
        <v>653</v>
      </c>
      <c r="P289" t="s">
        <v>653</v>
      </c>
    </row>
    <row r="290" spans="1:16" x14ac:dyDescent="0.25">
      <c r="A290" t="s">
        <v>616</v>
      </c>
      <c r="B290" t="s">
        <v>617</v>
      </c>
      <c r="D290">
        <v>0</v>
      </c>
      <c r="F290">
        <v>6</v>
      </c>
      <c r="G290">
        <v>0</v>
      </c>
      <c r="H290">
        <v>2014</v>
      </c>
      <c r="I290">
        <v>300</v>
      </c>
      <c r="J290">
        <v>306</v>
      </c>
      <c r="K290">
        <v>306</v>
      </c>
      <c r="L290">
        <v>0.15193644488579899</v>
      </c>
      <c r="M290" t="s">
        <v>653</v>
      </c>
      <c r="N290" t="s">
        <v>653</v>
      </c>
      <c r="O290" t="s">
        <v>653</v>
      </c>
      <c r="P290" t="s">
        <v>653</v>
      </c>
    </row>
    <row r="291" spans="1:16" x14ac:dyDescent="0.25">
      <c r="A291" t="s">
        <v>618</v>
      </c>
      <c r="B291" t="s">
        <v>619</v>
      </c>
      <c r="D291">
        <v>0</v>
      </c>
      <c r="F291">
        <v>0</v>
      </c>
      <c r="G291">
        <v>0</v>
      </c>
      <c r="H291">
        <v>275</v>
      </c>
      <c r="I291">
        <v>37</v>
      </c>
      <c r="J291">
        <v>37</v>
      </c>
      <c r="K291">
        <v>37</v>
      </c>
      <c r="L291">
        <v>0.134545454545455</v>
      </c>
      <c r="M291" t="s">
        <v>653</v>
      </c>
      <c r="N291" t="s">
        <v>88</v>
      </c>
      <c r="O291" t="s">
        <v>653</v>
      </c>
      <c r="P291" t="s">
        <v>653</v>
      </c>
    </row>
    <row r="292" spans="1:16" x14ac:dyDescent="0.25">
      <c r="A292" t="s">
        <v>620</v>
      </c>
      <c r="B292" t="s">
        <v>1399</v>
      </c>
      <c r="D292">
        <v>0</v>
      </c>
      <c r="F292">
        <v>26</v>
      </c>
      <c r="G292">
        <v>0</v>
      </c>
      <c r="H292">
        <v>5939</v>
      </c>
      <c r="I292">
        <v>1038</v>
      </c>
      <c r="J292">
        <v>1064</v>
      </c>
      <c r="K292">
        <v>1064</v>
      </c>
      <c r="L292">
        <v>0.17915473985519401</v>
      </c>
      <c r="M292" t="s">
        <v>653</v>
      </c>
      <c r="N292" t="s">
        <v>653</v>
      </c>
      <c r="O292" t="s">
        <v>653</v>
      </c>
      <c r="P292" t="s">
        <v>653</v>
      </c>
    </row>
    <row r="293" spans="1:16" x14ac:dyDescent="0.25">
      <c r="A293" t="s">
        <v>621</v>
      </c>
      <c r="B293" t="s">
        <v>622</v>
      </c>
      <c r="D293">
        <v>0</v>
      </c>
      <c r="F293">
        <v>16</v>
      </c>
      <c r="G293">
        <v>0</v>
      </c>
      <c r="H293">
        <v>3491</v>
      </c>
      <c r="I293">
        <v>733</v>
      </c>
      <c r="J293">
        <v>749</v>
      </c>
      <c r="K293">
        <v>749</v>
      </c>
      <c r="L293">
        <v>0.21455170438269799</v>
      </c>
      <c r="M293" t="s">
        <v>653</v>
      </c>
      <c r="N293" t="s">
        <v>653</v>
      </c>
      <c r="O293" t="s">
        <v>653</v>
      </c>
      <c r="P293" t="s">
        <v>653</v>
      </c>
    </row>
    <row r="294" spans="1:16" x14ac:dyDescent="0.25">
      <c r="A294" t="s">
        <v>623</v>
      </c>
      <c r="B294" t="s">
        <v>624</v>
      </c>
      <c r="D294">
        <v>0</v>
      </c>
      <c r="F294">
        <v>1</v>
      </c>
      <c r="G294">
        <v>0</v>
      </c>
      <c r="H294">
        <v>867</v>
      </c>
      <c r="I294">
        <v>201</v>
      </c>
      <c r="J294">
        <v>202</v>
      </c>
      <c r="K294">
        <v>202</v>
      </c>
      <c r="L294">
        <v>0.23298731257208799</v>
      </c>
      <c r="M294" t="s">
        <v>653</v>
      </c>
      <c r="N294" t="s">
        <v>653</v>
      </c>
      <c r="O294" t="s">
        <v>653</v>
      </c>
      <c r="P294" t="s">
        <v>653</v>
      </c>
    </row>
    <row r="295" spans="1:16" x14ac:dyDescent="0.25">
      <c r="A295" t="s">
        <v>253</v>
      </c>
      <c r="B295" t="s">
        <v>254</v>
      </c>
      <c r="D295">
        <v>0</v>
      </c>
      <c r="F295">
        <v>14</v>
      </c>
      <c r="G295">
        <v>0</v>
      </c>
      <c r="H295">
        <v>3759</v>
      </c>
      <c r="I295">
        <v>241</v>
      </c>
      <c r="J295">
        <v>255</v>
      </c>
      <c r="K295">
        <v>255</v>
      </c>
      <c r="L295">
        <v>6.7837190742218695E-2</v>
      </c>
      <c r="M295" t="s">
        <v>653</v>
      </c>
      <c r="N295" t="s">
        <v>88</v>
      </c>
      <c r="O295" t="s">
        <v>653</v>
      </c>
      <c r="P295" t="s">
        <v>653</v>
      </c>
    </row>
    <row r="296" spans="1:16" x14ac:dyDescent="0.25">
      <c r="A296" t="s">
        <v>625</v>
      </c>
      <c r="B296" t="s">
        <v>626</v>
      </c>
      <c r="D296">
        <v>0</v>
      </c>
      <c r="F296">
        <v>0</v>
      </c>
      <c r="G296">
        <v>0</v>
      </c>
      <c r="H296">
        <v>66</v>
      </c>
      <c r="I296">
        <v>2</v>
      </c>
      <c r="J296">
        <v>2</v>
      </c>
      <c r="K296">
        <v>2</v>
      </c>
      <c r="L296">
        <v>3.03030303030303E-2</v>
      </c>
      <c r="M296" t="s">
        <v>88</v>
      </c>
      <c r="N296" t="s">
        <v>88</v>
      </c>
      <c r="O296" t="s">
        <v>88</v>
      </c>
      <c r="P296" t="s">
        <v>88</v>
      </c>
    </row>
    <row r="297" spans="1:16" x14ac:dyDescent="0.25">
      <c r="A297" t="s">
        <v>627</v>
      </c>
      <c r="B297" t="s">
        <v>628</v>
      </c>
      <c r="D297">
        <v>0</v>
      </c>
      <c r="F297">
        <v>0</v>
      </c>
      <c r="G297">
        <v>0</v>
      </c>
      <c r="H297">
        <v>331</v>
      </c>
      <c r="I297">
        <v>39</v>
      </c>
      <c r="J297">
        <v>39</v>
      </c>
      <c r="K297">
        <v>39</v>
      </c>
      <c r="L297">
        <v>0.11782477341389699</v>
      </c>
      <c r="M297" t="s">
        <v>653</v>
      </c>
      <c r="N297" t="s">
        <v>88</v>
      </c>
      <c r="O297" t="s">
        <v>653</v>
      </c>
      <c r="P297" t="s">
        <v>653</v>
      </c>
    </row>
    <row r="298" spans="1:16" x14ac:dyDescent="0.25">
      <c r="A298" t="s">
        <v>629</v>
      </c>
      <c r="B298" t="s">
        <v>630</v>
      </c>
      <c r="D298">
        <v>0</v>
      </c>
      <c r="F298">
        <v>12</v>
      </c>
      <c r="G298">
        <v>0</v>
      </c>
      <c r="H298">
        <v>317</v>
      </c>
      <c r="I298">
        <v>72</v>
      </c>
      <c r="J298">
        <v>84</v>
      </c>
      <c r="K298">
        <v>84</v>
      </c>
      <c r="L298">
        <v>0.264984227129338</v>
      </c>
      <c r="M298" t="s">
        <v>653</v>
      </c>
      <c r="N298" t="s">
        <v>653</v>
      </c>
      <c r="O298" t="s">
        <v>653</v>
      </c>
      <c r="P298" t="s">
        <v>653</v>
      </c>
    </row>
    <row r="299" spans="1:16" x14ac:dyDescent="0.25">
      <c r="A299" t="s">
        <v>64</v>
      </c>
      <c r="B299" t="s">
        <v>1390</v>
      </c>
      <c r="C299" t="s">
        <v>64</v>
      </c>
      <c r="D299">
        <v>0</v>
      </c>
      <c r="F299">
        <v>53</v>
      </c>
      <c r="G299">
        <v>0</v>
      </c>
      <c r="H299">
        <v>7988.4009900990113</v>
      </c>
      <c r="I299">
        <v>1015.4483416845621</v>
      </c>
      <c r="J299">
        <v>1068.4483416845621</v>
      </c>
      <c r="K299">
        <v>1092</v>
      </c>
      <c r="L299">
        <v>0.13374996360458399</v>
      </c>
      <c r="M299" t="s">
        <v>653</v>
      </c>
      <c r="N299" t="s">
        <v>88</v>
      </c>
      <c r="O299" t="s">
        <v>653</v>
      </c>
      <c r="P299" t="s">
        <v>653</v>
      </c>
    </row>
    <row r="300" spans="1:16" x14ac:dyDescent="0.25">
      <c r="A300" t="s">
        <v>306</v>
      </c>
      <c r="B300" t="s">
        <v>1386</v>
      </c>
      <c r="D300">
        <v>0</v>
      </c>
      <c r="F300">
        <v>38</v>
      </c>
      <c r="G300">
        <v>0</v>
      </c>
      <c r="H300">
        <v>3230</v>
      </c>
      <c r="I300">
        <v>312</v>
      </c>
      <c r="J300">
        <v>350</v>
      </c>
      <c r="K300">
        <v>350</v>
      </c>
      <c r="L300">
        <v>0.108359133126935</v>
      </c>
      <c r="M300" t="s">
        <v>653</v>
      </c>
      <c r="N300" t="s">
        <v>88</v>
      </c>
      <c r="O300" t="s">
        <v>653</v>
      </c>
      <c r="P300" t="s">
        <v>653</v>
      </c>
    </row>
    <row r="301" spans="1:16" x14ac:dyDescent="0.25">
      <c r="A301" t="s">
        <v>255</v>
      </c>
      <c r="B301" t="s">
        <v>1385</v>
      </c>
      <c r="D301">
        <v>0</v>
      </c>
      <c r="F301">
        <v>21</v>
      </c>
      <c r="G301">
        <v>0</v>
      </c>
      <c r="H301">
        <v>6290</v>
      </c>
      <c r="I301">
        <v>712</v>
      </c>
      <c r="J301">
        <v>733</v>
      </c>
      <c r="K301">
        <v>733</v>
      </c>
      <c r="L301">
        <v>0.116534181240064</v>
      </c>
      <c r="M301" t="s">
        <v>653</v>
      </c>
      <c r="N301" t="s">
        <v>88</v>
      </c>
      <c r="O301" t="s">
        <v>653</v>
      </c>
      <c r="P301" t="s">
        <v>653</v>
      </c>
    </row>
    <row r="302" spans="1:16" x14ac:dyDescent="0.25">
      <c r="A302" t="s">
        <v>68</v>
      </c>
      <c r="B302" t="s">
        <v>1383</v>
      </c>
      <c r="C302" t="s">
        <v>56</v>
      </c>
      <c r="D302">
        <v>0</v>
      </c>
      <c r="E302">
        <v>0</v>
      </c>
      <c r="F302">
        <v>0</v>
      </c>
      <c r="G302">
        <v>0</v>
      </c>
      <c r="H302">
        <v>117.54758367560954</v>
      </c>
      <c r="I302">
        <v>8.2649236464599678</v>
      </c>
      <c r="J302">
        <v>8.2649236464599678</v>
      </c>
      <c r="K302">
        <v>0</v>
      </c>
      <c r="L302">
        <v>7.0311301925765499E-2</v>
      </c>
      <c r="M302" t="s">
        <v>88</v>
      </c>
      <c r="N302" t="s">
        <v>88</v>
      </c>
      <c r="O302" t="s">
        <v>88</v>
      </c>
      <c r="P302" t="s">
        <v>88</v>
      </c>
    </row>
    <row r="303" spans="1:16" x14ac:dyDescent="0.25">
      <c r="A303" t="s">
        <v>631</v>
      </c>
      <c r="B303" t="s">
        <v>632</v>
      </c>
      <c r="D303">
        <v>0</v>
      </c>
      <c r="F303">
        <v>4</v>
      </c>
      <c r="G303">
        <v>0</v>
      </c>
      <c r="H303">
        <v>475</v>
      </c>
      <c r="I303">
        <v>93</v>
      </c>
      <c r="J303">
        <v>97</v>
      </c>
      <c r="K303">
        <v>97</v>
      </c>
      <c r="L303">
        <v>0.20421052631578901</v>
      </c>
      <c r="M303" t="s">
        <v>653</v>
      </c>
      <c r="N303" t="s">
        <v>653</v>
      </c>
      <c r="O303" t="s">
        <v>653</v>
      </c>
      <c r="P303" t="s">
        <v>653</v>
      </c>
    </row>
    <row r="304" spans="1:16" x14ac:dyDescent="0.25">
      <c r="A304" t="s">
        <v>256</v>
      </c>
      <c r="B304" t="s">
        <v>257</v>
      </c>
      <c r="D304">
        <v>0</v>
      </c>
      <c r="F304">
        <v>9</v>
      </c>
      <c r="G304">
        <v>0</v>
      </c>
      <c r="H304">
        <v>4732</v>
      </c>
      <c r="I304">
        <v>190</v>
      </c>
      <c r="J304">
        <v>199</v>
      </c>
      <c r="K304">
        <v>199</v>
      </c>
      <c r="L304">
        <v>4.2054099746407399E-2</v>
      </c>
      <c r="M304" t="s">
        <v>653</v>
      </c>
      <c r="N304" t="s">
        <v>88</v>
      </c>
      <c r="O304" t="s">
        <v>88</v>
      </c>
      <c r="P304" t="s">
        <v>88</v>
      </c>
    </row>
    <row r="305" spans="1:16" x14ac:dyDescent="0.25">
      <c r="A305" t="s">
        <v>307</v>
      </c>
      <c r="B305" t="s">
        <v>308</v>
      </c>
      <c r="D305">
        <v>0</v>
      </c>
      <c r="F305">
        <v>1</v>
      </c>
      <c r="G305">
        <v>0</v>
      </c>
      <c r="H305">
        <v>1231</v>
      </c>
      <c r="I305">
        <v>150</v>
      </c>
      <c r="J305">
        <v>151</v>
      </c>
      <c r="K305">
        <v>151</v>
      </c>
      <c r="L305">
        <v>0.12266450040617401</v>
      </c>
      <c r="M305" t="s">
        <v>653</v>
      </c>
      <c r="N305" t="s">
        <v>88</v>
      </c>
      <c r="O305" t="s">
        <v>653</v>
      </c>
      <c r="P305" t="s">
        <v>653</v>
      </c>
    </row>
    <row r="306" spans="1:16" x14ac:dyDescent="0.25">
      <c r="A306" t="s">
        <v>70</v>
      </c>
      <c r="B306" t="s">
        <v>1396</v>
      </c>
      <c r="C306" t="s">
        <v>57</v>
      </c>
      <c r="D306">
        <v>0</v>
      </c>
      <c r="E306">
        <v>0</v>
      </c>
      <c r="F306">
        <v>0</v>
      </c>
      <c r="G306">
        <v>0</v>
      </c>
      <c r="H306">
        <v>146.33333333333329</v>
      </c>
      <c r="I306">
        <v>27.072058564120645</v>
      </c>
      <c r="J306">
        <v>27.072058564120645</v>
      </c>
      <c r="K306">
        <v>0</v>
      </c>
      <c r="L306">
        <v>0.18500267811471999</v>
      </c>
      <c r="M306" t="s">
        <v>653</v>
      </c>
      <c r="N306" t="s">
        <v>653</v>
      </c>
      <c r="O306" t="s">
        <v>653</v>
      </c>
      <c r="P306" t="s">
        <v>653</v>
      </c>
    </row>
    <row r="307" spans="1:16" x14ac:dyDescent="0.25">
      <c r="A307" t="s">
        <v>258</v>
      </c>
      <c r="B307" t="s">
        <v>259</v>
      </c>
      <c r="D307">
        <v>0</v>
      </c>
      <c r="F307">
        <v>0</v>
      </c>
      <c r="G307">
        <v>0</v>
      </c>
      <c r="H307">
        <v>226</v>
      </c>
      <c r="I307">
        <v>29</v>
      </c>
      <c r="J307">
        <v>29</v>
      </c>
      <c r="K307">
        <v>29</v>
      </c>
      <c r="L307">
        <v>0.12831858407079599</v>
      </c>
      <c r="M307" t="s">
        <v>653</v>
      </c>
      <c r="N307" t="s">
        <v>88</v>
      </c>
      <c r="O307" t="s">
        <v>653</v>
      </c>
      <c r="P307" t="s">
        <v>653</v>
      </c>
    </row>
    <row r="308" spans="1:16" x14ac:dyDescent="0.25">
      <c r="A308" t="s">
        <v>633</v>
      </c>
      <c r="B308" t="s">
        <v>634</v>
      </c>
      <c r="D308">
        <v>0</v>
      </c>
      <c r="F308">
        <v>0</v>
      </c>
      <c r="G308">
        <v>0</v>
      </c>
      <c r="H308">
        <v>319</v>
      </c>
      <c r="I308">
        <v>27</v>
      </c>
      <c r="J308">
        <v>27</v>
      </c>
      <c r="K308">
        <v>27</v>
      </c>
      <c r="L308">
        <v>8.4639498432601906E-2</v>
      </c>
      <c r="M308" t="s">
        <v>653</v>
      </c>
      <c r="N308" t="s">
        <v>88</v>
      </c>
      <c r="O308" t="s">
        <v>653</v>
      </c>
      <c r="P308" t="s">
        <v>653</v>
      </c>
    </row>
    <row r="309" spans="1:16" x14ac:dyDescent="0.25">
      <c r="A309" t="s">
        <v>635</v>
      </c>
      <c r="B309" t="s">
        <v>636</v>
      </c>
      <c r="D309">
        <v>0</v>
      </c>
      <c r="F309">
        <v>0</v>
      </c>
      <c r="G309">
        <v>0</v>
      </c>
      <c r="H309">
        <v>112</v>
      </c>
      <c r="I309">
        <v>16</v>
      </c>
      <c r="J309">
        <v>16</v>
      </c>
      <c r="K309">
        <v>16</v>
      </c>
      <c r="L309">
        <v>0.14285714285714299</v>
      </c>
      <c r="M309" t="s">
        <v>653</v>
      </c>
      <c r="N309" t="s">
        <v>88</v>
      </c>
      <c r="O309" t="s">
        <v>653</v>
      </c>
      <c r="P309" t="s">
        <v>653</v>
      </c>
    </row>
    <row r="310" spans="1:16" x14ac:dyDescent="0.25">
      <c r="A310" t="s">
        <v>637</v>
      </c>
      <c r="B310" t="s">
        <v>638</v>
      </c>
      <c r="D310">
        <v>0</v>
      </c>
      <c r="F310">
        <v>4</v>
      </c>
      <c r="G310">
        <v>0</v>
      </c>
      <c r="H310">
        <v>822</v>
      </c>
      <c r="I310">
        <v>96</v>
      </c>
      <c r="J310">
        <v>100</v>
      </c>
      <c r="K310">
        <v>100</v>
      </c>
      <c r="L310">
        <v>0.121654501216545</v>
      </c>
      <c r="M310" t="s">
        <v>653</v>
      </c>
      <c r="N310" t="s">
        <v>88</v>
      </c>
      <c r="O310" t="s">
        <v>653</v>
      </c>
      <c r="P310" t="s">
        <v>653</v>
      </c>
    </row>
    <row r="311" spans="1:16" x14ac:dyDescent="0.25">
      <c r="A311" t="s">
        <v>639</v>
      </c>
      <c r="B311" t="s">
        <v>640</v>
      </c>
      <c r="D311">
        <v>0</v>
      </c>
      <c r="F311">
        <v>0</v>
      </c>
      <c r="G311">
        <v>0</v>
      </c>
      <c r="H311">
        <v>147</v>
      </c>
      <c r="I311">
        <v>28</v>
      </c>
      <c r="J311">
        <v>28</v>
      </c>
      <c r="K311">
        <v>28</v>
      </c>
      <c r="L311">
        <v>0.19047619047618999</v>
      </c>
      <c r="M311" t="s">
        <v>653</v>
      </c>
      <c r="N311" t="s">
        <v>653</v>
      </c>
      <c r="O311" t="s">
        <v>653</v>
      </c>
      <c r="P311" t="s">
        <v>653</v>
      </c>
    </row>
    <row r="312" spans="1:16" x14ac:dyDescent="0.25">
      <c r="A312" t="s">
        <v>641</v>
      </c>
      <c r="B312" t="s">
        <v>642</v>
      </c>
      <c r="D312">
        <v>0</v>
      </c>
      <c r="F312">
        <v>0</v>
      </c>
      <c r="G312">
        <v>0</v>
      </c>
      <c r="H312">
        <v>44</v>
      </c>
      <c r="I312">
        <v>31</v>
      </c>
      <c r="J312">
        <v>31</v>
      </c>
      <c r="K312">
        <v>31</v>
      </c>
      <c r="L312">
        <v>0.70454545454545403</v>
      </c>
      <c r="M312" t="s">
        <v>653</v>
      </c>
      <c r="N312" t="s">
        <v>653</v>
      </c>
      <c r="O312" t="s">
        <v>653</v>
      </c>
      <c r="P312" t="s">
        <v>653</v>
      </c>
    </row>
    <row r="313" spans="1:16" x14ac:dyDescent="0.25">
      <c r="A313" t="s">
        <v>643</v>
      </c>
      <c r="B313" t="s">
        <v>644</v>
      </c>
      <c r="D313">
        <v>0</v>
      </c>
      <c r="F313">
        <v>12</v>
      </c>
      <c r="G313">
        <v>0</v>
      </c>
      <c r="H313">
        <v>2686</v>
      </c>
      <c r="I313">
        <v>255</v>
      </c>
      <c r="J313">
        <v>267</v>
      </c>
      <c r="K313">
        <v>267</v>
      </c>
      <c r="L313">
        <v>9.9404318689501101E-2</v>
      </c>
      <c r="M313" t="s">
        <v>653</v>
      </c>
      <c r="N313" t="s">
        <v>88</v>
      </c>
      <c r="O313" t="s">
        <v>653</v>
      </c>
      <c r="P313" t="s">
        <v>653</v>
      </c>
    </row>
    <row r="314" spans="1:16" x14ac:dyDescent="0.25">
      <c r="A314" t="s">
        <v>645</v>
      </c>
      <c r="B314" t="s">
        <v>646</v>
      </c>
      <c r="D314">
        <v>0</v>
      </c>
      <c r="F314">
        <v>79</v>
      </c>
      <c r="G314">
        <v>0</v>
      </c>
      <c r="H314">
        <v>16517</v>
      </c>
      <c r="I314">
        <v>4372</v>
      </c>
      <c r="J314">
        <v>4451</v>
      </c>
      <c r="K314">
        <v>4451</v>
      </c>
      <c r="L314">
        <v>0.269479929769329</v>
      </c>
      <c r="M314" t="s">
        <v>653</v>
      </c>
      <c r="N314" t="s">
        <v>653</v>
      </c>
      <c r="O314" t="s">
        <v>653</v>
      </c>
      <c r="P314" t="s">
        <v>653</v>
      </c>
    </row>
    <row r="315" spans="1:16" x14ac:dyDescent="0.25">
      <c r="A315" t="s">
        <v>647</v>
      </c>
      <c r="B315" t="s">
        <v>648</v>
      </c>
      <c r="D315">
        <v>0</v>
      </c>
      <c r="F315">
        <v>33</v>
      </c>
      <c r="G315">
        <v>0</v>
      </c>
      <c r="H315">
        <v>6541</v>
      </c>
      <c r="I315">
        <v>506</v>
      </c>
      <c r="J315">
        <v>539</v>
      </c>
      <c r="K315">
        <v>539</v>
      </c>
      <c r="L315">
        <v>8.2403302247362795E-2</v>
      </c>
      <c r="M315" t="s">
        <v>653</v>
      </c>
      <c r="N315" t="s">
        <v>88</v>
      </c>
      <c r="O315" t="s">
        <v>653</v>
      </c>
      <c r="P315" t="s">
        <v>653</v>
      </c>
    </row>
    <row r="316" spans="1:16" x14ac:dyDescent="0.25">
      <c r="A316" t="s">
        <v>649</v>
      </c>
      <c r="B316" t="s">
        <v>650</v>
      </c>
      <c r="D316">
        <v>0</v>
      </c>
      <c r="F316">
        <v>12</v>
      </c>
      <c r="G316">
        <v>0</v>
      </c>
      <c r="H316">
        <v>1203</v>
      </c>
      <c r="I316">
        <v>148</v>
      </c>
      <c r="J316">
        <v>160</v>
      </c>
      <c r="K316">
        <v>160</v>
      </c>
      <c r="L316">
        <v>0.13300083125519499</v>
      </c>
      <c r="M316" t="s">
        <v>653</v>
      </c>
      <c r="N316" t="s">
        <v>88</v>
      </c>
      <c r="O316" t="s">
        <v>653</v>
      </c>
      <c r="P316" t="s">
        <v>653</v>
      </c>
    </row>
  </sheetData>
  <sheetProtection algorithmName="SHA-512" hashValue="yMGdC3GILqmU8gVmMK7LlDJAfgm1C/wQIdDt4rnlHE7NmxyThZHCoknGBSKnk7OMDCOi1z0dY/h7zl1wC/aRPA==" saltValue="gba+DAiEoyiuGTT1TU8iJw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4C182-92C9-430D-B4F1-923CD86FD3EA}">
  <sheetPr>
    <tabColor rgb="FF7030A0"/>
  </sheetPr>
  <dimension ref="A1:AH40"/>
  <sheetViews>
    <sheetView topLeftCell="G1" workbookViewId="0">
      <selection activeCell="U24" sqref="U24"/>
    </sheetView>
  </sheetViews>
  <sheetFormatPr defaultRowHeight="15" x14ac:dyDescent="0.25"/>
  <cols>
    <col min="1" max="1" width="9.42578125" bestFit="1" customWidth="1"/>
    <col min="2" max="2" width="47.5703125" bestFit="1" customWidth="1"/>
    <col min="3" max="3" width="15.42578125" bestFit="1" customWidth="1"/>
    <col min="4" max="4" width="8.140625" bestFit="1" customWidth="1"/>
    <col min="5" max="5" width="8.85546875" bestFit="1" customWidth="1"/>
    <col min="6" max="6" width="13.42578125" bestFit="1" customWidth="1"/>
    <col min="7" max="8" width="52" bestFit="1" customWidth="1"/>
    <col min="9" max="9" width="57.28515625" bestFit="1" customWidth="1"/>
    <col min="10" max="10" width="29.5703125" bestFit="1" customWidth="1"/>
    <col min="11" max="11" width="74.5703125" bestFit="1" customWidth="1"/>
    <col min="12" max="12" width="76.140625" bestFit="1" customWidth="1"/>
    <col min="13" max="13" width="66.85546875" bestFit="1" customWidth="1"/>
    <col min="14" max="14" width="74.28515625" bestFit="1" customWidth="1"/>
    <col min="15" max="15" width="50.5703125" bestFit="1" customWidth="1"/>
    <col min="16" max="16" width="45.5703125" bestFit="1" customWidth="1"/>
    <col min="17" max="17" width="46" bestFit="1" customWidth="1"/>
    <col min="18" max="18" width="48.85546875" bestFit="1" customWidth="1"/>
    <col min="19" max="19" width="45.140625" bestFit="1" customWidth="1"/>
    <col min="20" max="20" width="51.140625" bestFit="1" customWidth="1"/>
    <col min="21" max="21" width="30" bestFit="1" customWidth="1"/>
    <col min="22" max="22" width="30.28515625" bestFit="1" customWidth="1"/>
    <col min="23" max="23" width="34" bestFit="1" customWidth="1"/>
    <col min="24" max="24" width="29.5703125" bestFit="1" customWidth="1"/>
    <col min="25" max="25" width="29.28515625" bestFit="1" customWidth="1"/>
    <col min="26" max="26" width="45.140625" bestFit="1" customWidth="1"/>
    <col min="27" max="27" width="51.140625" bestFit="1" customWidth="1"/>
    <col min="28" max="28" width="30" bestFit="1" customWidth="1"/>
    <col min="29" max="29" width="30.28515625" bestFit="1" customWidth="1"/>
    <col min="30" max="30" width="34" bestFit="1" customWidth="1"/>
    <col min="31" max="31" width="29.5703125" bestFit="1" customWidth="1"/>
    <col min="32" max="32" width="29.28515625" customWidth="1"/>
    <col min="33" max="33" width="29.28515625" bestFit="1" customWidth="1"/>
    <col min="34" max="34" width="41.5703125" bestFit="1" customWidth="1"/>
    <col min="35" max="35" width="32" bestFit="1" customWidth="1"/>
    <col min="36" max="36" width="31.7109375" bestFit="1" customWidth="1"/>
    <col min="37" max="37" width="35.42578125" bestFit="1" customWidth="1"/>
    <col min="38" max="38" width="31.42578125" bestFit="1" customWidth="1"/>
    <col min="39" max="39" width="37.28515625" bestFit="1" customWidth="1"/>
    <col min="40" max="40" width="28.42578125" bestFit="1" customWidth="1"/>
    <col min="41" max="41" width="28.28515625" bestFit="1" customWidth="1"/>
    <col min="42" max="42" width="32" bestFit="1" customWidth="1"/>
    <col min="43" max="44" width="28" bestFit="1" customWidth="1"/>
    <col min="45" max="45" width="22.140625" bestFit="1" customWidth="1"/>
  </cols>
  <sheetData>
    <row r="1" spans="1:25" x14ac:dyDescent="0.25">
      <c r="A1" t="s">
        <v>0</v>
      </c>
      <c r="B1" t="s">
        <v>1312</v>
      </c>
      <c r="C1" t="s">
        <v>1313</v>
      </c>
      <c r="D1" t="s">
        <v>65</v>
      </c>
      <c r="E1" t="s">
        <v>5</v>
      </c>
      <c r="F1" t="s">
        <v>655</v>
      </c>
      <c r="G1" t="s">
        <v>1340</v>
      </c>
      <c r="H1" t="s">
        <v>1341</v>
      </c>
      <c r="I1" t="s">
        <v>1380</v>
      </c>
      <c r="J1" t="s">
        <v>1342</v>
      </c>
      <c r="K1" t="s">
        <v>1343</v>
      </c>
      <c r="L1" t="s">
        <v>1344</v>
      </c>
      <c r="M1" t="s">
        <v>1362</v>
      </c>
      <c r="N1" t="s">
        <v>1345</v>
      </c>
      <c r="O1" t="s">
        <v>1363</v>
      </c>
      <c r="P1" t="s">
        <v>1346</v>
      </c>
      <c r="Q1" t="s">
        <v>1347</v>
      </c>
      <c r="R1" t="s">
        <v>1348</v>
      </c>
      <c r="S1" t="s">
        <v>1349</v>
      </c>
      <c r="T1" t="s">
        <v>1350</v>
      </c>
      <c r="U1" t="s">
        <v>1351</v>
      </c>
      <c r="V1" t="s">
        <v>1352</v>
      </c>
      <c r="W1" t="s">
        <v>1353</v>
      </c>
      <c r="X1" t="s">
        <v>1354</v>
      </c>
      <c r="Y1" t="s">
        <v>1355</v>
      </c>
    </row>
    <row r="2" spans="1:25" x14ac:dyDescent="0.25">
      <c r="A2" t="s">
        <v>8</v>
      </c>
      <c r="B2" t="s">
        <v>1395</v>
      </c>
      <c r="C2" t="s">
        <v>55</v>
      </c>
      <c r="D2" t="s">
        <v>66</v>
      </c>
      <c r="E2" t="s">
        <v>88</v>
      </c>
      <c r="F2" t="s">
        <v>653</v>
      </c>
      <c r="G2">
        <v>65.667786487495334</v>
      </c>
      <c r="H2">
        <v>0.10646043117432499</v>
      </c>
      <c r="I2">
        <v>74</v>
      </c>
      <c r="J2" t="s">
        <v>1431</v>
      </c>
      <c r="K2">
        <v>63398.866922579939</v>
      </c>
      <c r="L2">
        <v>35454.923777041549</v>
      </c>
      <c r="M2">
        <v>0</v>
      </c>
      <c r="N2">
        <v>48733.432576510335</v>
      </c>
      <c r="O2">
        <v>147587.22327613182</v>
      </c>
      <c r="P2">
        <v>61063.481067522691</v>
      </c>
      <c r="Q2">
        <v>0</v>
      </c>
      <c r="R2">
        <v>34148.622546752653</v>
      </c>
      <c r="S2">
        <v>46937.897961029965</v>
      </c>
      <c r="T2">
        <v>142150.0015753053</v>
      </c>
      <c r="U2">
        <v>63398.866922579939</v>
      </c>
      <c r="V2">
        <v>0</v>
      </c>
      <c r="W2">
        <v>35454.923777041549</v>
      </c>
      <c r="X2">
        <v>48733.432576510335</v>
      </c>
      <c r="Y2">
        <v>147587.22327613182</v>
      </c>
    </row>
    <row r="3" spans="1:25" x14ac:dyDescent="0.25">
      <c r="A3" t="s">
        <v>13</v>
      </c>
      <c r="B3" t="s">
        <v>1383</v>
      </c>
      <c r="C3" t="s">
        <v>56</v>
      </c>
      <c r="D3" t="s">
        <v>68</v>
      </c>
      <c r="E3" t="s">
        <v>88</v>
      </c>
      <c r="F3" t="s">
        <v>88</v>
      </c>
      <c r="G3">
        <v>8.2649236464599678</v>
      </c>
      <c r="H3">
        <v>7.0311301925765499E-2</v>
      </c>
      <c r="I3">
        <v>8</v>
      </c>
      <c r="J3" t="s">
        <v>1432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</row>
    <row r="4" spans="1:25" x14ac:dyDescent="0.25">
      <c r="A4" t="s">
        <v>11</v>
      </c>
      <c r="B4" t="s">
        <v>12</v>
      </c>
      <c r="C4" t="s">
        <v>55</v>
      </c>
      <c r="D4" t="s">
        <v>67</v>
      </c>
      <c r="E4" t="s">
        <v>88</v>
      </c>
      <c r="F4" t="s">
        <v>88</v>
      </c>
      <c r="G4">
        <v>15.938783128032831</v>
      </c>
      <c r="H4">
        <v>0.194148516573487</v>
      </c>
      <c r="I4">
        <v>18</v>
      </c>
      <c r="J4" t="s">
        <v>1433</v>
      </c>
      <c r="K4">
        <v>15682.877607164477</v>
      </c>
      <c r="L4">
        <v>8770.4285132681543</v>
      </c>
      <c r="M4">
        <v>4132.1797824629894</v>
      </c>
      <c r="N4">
        <v>12055.112268926216</v>
      </c>
      <c r="O4">
        <v>40640.598171821839</v>
      </c>
      <c r="P4">
        <v>14821.233268816171</v>
      </c>
      <c r="Q4">
        <v>3904.5947454464667</v>
      </c>
      <c r="R4">
        <v>8288.5006181438384</v>
      </c>
      <c r="S4">
        <v>11392.69367986163</v>
      </c>
      <c r="T4">
        <v>38407.022312268105</v>
      </c>
      <c r="U4">
        <v>15682.877607164477</v>
      </c>
      <c r="V4">
        <v>4132.1797824629894</v>
      </c>
      <c r="W4">
        <v>8770.4285132681543</v>
      </c>
      <c r="X4">
        <v>12055.112268926216</v>
      </c>
      <c r="Y4">
        <v>40640.598171821839</v>
      </c>
    </row>
    <row r="5" spans="1:25" x14ac:dyDescent="0.25">
      <c r="A5" t="s">
        <v>19</v>
      </c>
      <c r="B5" t="s">
        <v>1396</v>
      </c>
      <c r="C5" t="s">
        <v>57</v>
      </c>
      <c r="D5" t="s">
        <v>70</v>
      </c>
      <c r="E5" t="s">
        <v>88</v>
      </c>
      <c r="F5" t="s">
        <v>88</v>
      </c>
      <c r="G5">
        <v>27.072058564120645</v>
      </c>
      <c r="H5">
        <v>0.18500267811471999</v>
      </c>
      <c r="I5">
        <v>36</v>
      </c>
      <c r="J5" t="s">
        <v>1434</v>
      </c>
      <c r="K5">
        <v>31042.97551993349</v>
      </c>
      <c r="L5">
        <v>22654.083780661225</v>
      </c>
      <c r="M5">
        <v>8179.312435133852</v>
      </c>
      <c r="N5">
        <v>31235.675075331794</v>
      </c>
      <c r="O5">
        <v>93112.046811060354</v>
      </c>
      <c r="P5">
        <v>23530.047380660886</v>
      </c>
      <c r="Q5">
        <v>6334.6866815684616</v>
      </c>
      <c r="R5">
        <v>17789.264362139995</v>
      </c>
      <c r="S5">
        <v>24120.709214032206</v>
      </c>
      <c r="T5">
        <v>71774.707638401553</v>
      </c>
      <c r="U5">
        <v>31042.97551993349</v>
      </c>
      <c r="V5">
        <v>8179.312435133852</v>
      </c>
      <c r="W5">
        <v>22654.083780661225</v>
      </c>
      <c r="X5">
        <v>31235.675075331794</v>
      </c>
      <c r="Y5">
        <v>93112.046811060354</v>
      </c>
    </row>
    <row r="6" spans="1:25" x14ac:dyDescent="0.25">
      <c r="A6" t="s">
        <v>21</v>
      </c>
      <c r="B6" t="s">
        <v>22</v>
      </c>
      <c r="C6" t="s">
        <v>59</v>
      </c>
      <c r="D6" t="s">
        <v>71</v>
      </c>
      <c r="E6" t="s">
        <v>88</v>
      </c>
      <c r="F6" t="s">
        <v>653</v>
      </c>
      <c r="G6">
        <v>24.339716902581181</v>
      </c>
      <c r="H6">
        <v>0.143722761819817</v>
      </c>
      <c r="I6">
        <v>56</v>
      </c>
      <c r="J6" t="s">
        <v>1435</v>
      </c>
      <c r="K6">
        <v>47951.391656929336</v>
      </c>
      <c r="L6">
        <v>40386.296278302019</v>
      </c>
      <c r="M6">
        <v>11519.321880756779</v>
      </c>
      <c r="N6">
        <v>55511.693074575538</v>
      </c>
      <c r="O6">
        <v>155368.70289056367</v>
      </c>
      <c r="P6">
        <v>21155.195516185922</v>
      </c>
      <c r="Q6">
        <v>5695.3363975162511</v>
      </c>
      <c r="R6">
        <v>18151.436812413038</v>
      </c>
      <c r="S6">
        <v>24611.783840870714</v>
      </c>
      <c r="T6">
        <v>69613.752566985931</v>
      </c>
      <c r="U6">
        <v>47951.391656929336</v>
      </c>
      <c r="V6">
        <v>11519.321880756779</v>
      </c>
      <c r="W6">
        <v>40386.296278302019</v>
      </c>
      <c r="X6">
        <v>55511.693074575538</v>
      </c>
      <c r="Y6">
        <v>155368.70289056367</v>
      </c>
    </row>
    <row r="7" spans="1:25" x14ac:dyDescent="0.25">
      <c r="A7" t="s">
        <v>15</v>
      </c>
      <c r="B7" t="s">
        <v>16</v>
      </c>
      <c r="C7" t="s">
        <v>57</v>
      </c>
      <c r="D7" t="s">
        <v>69</v>
      </c>
      <c r="E7" t="s">
        <v>88</v>
      </c>
      <c r="F7" t="s">
        <v>88</v>
      </c>
      <c r="G7">
        <v>68.721379431998514</v>
      </c>
      <c r="H7">
        <v>0.172194800399085</v>
      </c>
      <c r="I7">
        <v>57</v>
      </c>
      <c r="J7" t="s">
        <v>1436</v>
      </c>
      <c r="K7">
        <v>49429.968712509522</v>
      </c>
      <c r="L7">
        <v>36072.271866129835</v>
      </c>
      <c r="M7">
        <v>13023.982108251608</v>
      </c>
      <c r="N7">
        <v>49736.805696874522</v>
      </c>
      <c r="O7">
        <v>148263.02838376549</v>
      </c>
      <c r="P7">
        <v>59730.120273985282</v>
      </c>
      <c r="Q7">
        <v>16080.358499366084</v>
      </c>
      <c r="R7">
        <v>45157.363380816882</v>
      </c>
      <c r="S7">
        <v>61229.492620235556</v>
      </c>
      <c r="T7">
        <v>182197.3347744038</v>
      </c>
      <c r="U7">
        <v>49429.968712509522</v>
      </c>
      <c r="V7">
        <v>13023.982108251608</v>
      </c>
      <c r="W7">
        <v>36072.271866129835</v>
      </c>
      <c r="X7">
        <v>49736.805696874522</v>
      </c>
      <c r="Y7">
        <v>148263.02838376549</v>
      </c>
    </row>
    <row r="8" spans="1:25" x14ac:dyDescent="0.25">
      <c r="A8" t="s">
        <v>40</v>
      </c>
      <c r="B8" t="s">
        <v>41</v>
      </c>
      <c r="C8" t="s">
        <v>60</v>
      </c>
      <c r="D8" t="s">
        <v>74</v>
      </c>
      <c r="E8" t="s">
        <v>88</v>
      </c>
      <c r="F8" t="s">
        <v>88</v>
      </c>
      <c r="G8">
        <v>81.866465484722823</v>
      </c>
      <c r="H8">
        <v>0.20059580587053799</v>
      </c>
      <c r="I8">
        <v>72</v>
      </c>
      <c r="J8" t="s">
        <v>1437</v>
      </c>
      <c r="K8">
        <v>64396.362361819156</v>
      </c>
      <c r="L8">
        <v>39718.924816680737</v>
      </c>
      <c r="M8">
        <v>16865.763689402575</v>
      </c>
      <c r="N8">
        <v>54769.762478472476</v>
      </c>
      <c r="O8">
        <v>175750.81334637495</v>
      </c>
      <c r="P8">
        <v>71155.350346935753</v>
      </c>
      <c r="Q8">
        <v>19156.223651956443</v>
      </c>
      <c r="R8">
        <v>41576.182652716219</v>
      </c>
      <c r="S8">
        <v>56373.72021577054</v>
      </c>
      <c r="T8">
        <v>188261.47686737895</v>
      </c>
      <c r="U8">
        <v>64396.362361819156</v>
      </c>
      <c r="V8">
        <v>16865.763689402575</v>
      </c>
      <c r="W8">
        <v>39718.924816680737</v>
      </c>
      <c r="X8">
        <v>54769.762478472476</v>
      </c>
      <c r="Y8">
        <v>175750.81334637495</v>
      </c>
    </row>
    <row r="9" spans="1:25" x14ac:dyDescent="0.25">
      <c r="A9" t="s">
        <v>1428</v>
      </c>
      <c r="B9" t="s">
        <v>1424</v>
      </c>
      <c r="C9" t="s">
        <v>563</v>
      </c>
      <c r="D9" t="s">
        <v>1420</v>
      </c>
      <c r="E9" t="s">
        <v>88</v>
      </c>
      <c r="F9" t="s">
        <v>653</v>
      </c>
      <c r="G9">
        <v>61.950812598878109</v>
      </c>
      <c r="H9">
        <v>0.176337460229611</v>
      </c>
      <c r="I9">
        <v>34</v>
      </c>
      <c r="J9" t="s">
        <v>1438</v>
      </c>
      <c r="K9">
        <v>29246.750870120228</v>
      </c>
      <c r="L9">
        <v>19092.552458220234</v>
      </c>
      <c r="M9">
        <v>0</v>
      </c>
      <c r="N9">
        <v>26243.057911709915</v>
      </c>
      <c r="O9">
        <v>74582.361240050377</v>
      </c>
      <c r="P9">
        <v>53845.390156402173</v>
      </c>
      <c r="Q9">
        <v>0</v>
      </c>
      <c r="R9">
        <v>35887.620691544231</v>
      </c>
      <c r="S9">
        <v>48660.520494962759</v>
      </c>
      <c r="T9">
        <v>138393.53134290915</v>
      </c>
      <c r="U9">
        <v>53289.999478849808</v>
      </c>
      <c r="V9">
        <v>0</v>
      </c>
      <c r="W9">
        <v>34788.209981572094</v>
      </c>
      <c r="X9">
        <v>47817.022432642545</v>
      </c>
      <c r="Y9">
        <v>135895.23189306445</v>
      </c>
    </row>
    <row r="10" spans="1:25" x14ac:dyDescent="0.25">
      <c r="A10" t="s">
        <v>44</v>
      </c>
      <c r="B10" t="s">
        <v>45</v>
      </c>
      <c r="C10" t="s">
        <v>60</v>
      </c>
      <c r="D10" t="s">
        <v>75</v>
      </c>
      <c r="E10" t="s">
        <v>88</v>
      </c>
      <c r="F10" t="s">
        <v>88</v>
      </c>
      <c r="G10">
        <v>60.245944926442846</v>
      </c>
      <c r="H10">
        <v>0.18899764894447399</v>
      </c>
      <c r="I10">
        <v>54</v>
      </c>
      <c r="J10" t="s">
        <v>1439</v>
      </c>
      <c r="K10">
        <v>48493.602144418648</v>
      </c>
      <c r="L10">
        <v>29910.287895488211</v>
      </c>
      <c r="M10">
        <v>12700.742778300097</v>
      </c>
      <c r="N10">
        <v>41244.302842020392</v>
      </c>
      <c r="O10">
        <v>132348.93566022735</v>
      </c>
      <c r="P10">
        <v>52363.58126421379</v>
      </c>
      <c r="Q10">
        <v>14097.161619243896</v>
      </c>
      <c r="R10">
        <v>30596.122545619022</v>
      </c>
      <c r="S10">
        <v>41485.70508460261</v>
      </c>
      <c r="T10">
        <v>138542.57051367933</v>
      </c>
      <c r="U10">
        <v>48493.602144418648</v>
      </c>
      <c r="V10">
        <v>12700.742778300097</v>
      </c>
      <c r="W10">
        <v>29910.287895488211</v>
      </c>
      <c r="X10">
        <v>41244.302842020392</v>
      </c>
      <c r="Y10">
        <v>132348.93566022735</v>
      </c>
    </row>
    <row r="11" spans="1:25" x14ac:dyDescent="0.25">
      <c r="A11" t="s">
        <v>37</v>
      </c>
      <c r="B11" t="s">
        <v>1397</v>
      </c>
      <c r="C11" t="s">
        <v>62</v>
      </c>
      <c r="D11" t="s">
        <v>79</v>
      </c>
      <c r="E11" t="s">
        <v>88</v>
      </c>
      <c r="F11" t="s">
        <v>653</v>
      </c>
      <c r="G11">
        <v>44.858244327876939</v>
      </c>
      <c r="H11">
        <v>0.14665504406806101</v>
      </c>
      <c r="I11">
        <v>47</v>
      </c>
      <c r="J11" t="s">
        <v>1490</v>
      </c>
      <c r="K11">
        <v>40042.388156361791</v>
      </c>
      <c r="L11">
        <v>31905.156636666343</v>
      </c>
      <c r="M11">
        <v>0</v>
      </c>
      <c r="N11">
        <v>43854.213580422482</v>
      </c>
      <c r="O11">
        <v>115801.75837345062</v>
      </c>
      <c r="P11">
        <v>38989.15230063488</v>
      </c>
      <c r="Q11">
        <v>0</v>
      </c>
      <c r="R11">
        <v>31381.641280378411</v>
      </c>
      <c r="S11">
        <v>42550.800784885192</v>
      </c>
      <c r="T11">
        <v>112921.59436589849</v>
      </c>
      <c r="U11">
        <v>40042.388156361791</v>
      </c>
      <c r="V11">
        <v>0</v>
      </c>
      <c r="W11">
        <v>31905.156636666343</v>
      </c>
      <c r="X11">
        <v>43854.213580422482</v>
      </c>
      <c r="Y11">
        <v>115801.75837345062</v>
      </c>
    </row>
    <row r="12" spans="1:25" x14ac:dyDescent="0.25">
      <c r="A12" t="s">
        <v>29</v>
      </c>
      <c r="B12" t="s">
        <v>30</v>
      </c>
      <c r="C12" t="s">
        <v>61</v>
      </c>
      <c r="D12" t="s">
        <v>76</v>
      </c>
      <c r="E12" t="s">
        <v>88</v>
      </c>
      <c r="F12" t="s">
        <v>88</v>
      </c>
      <c r="G12">
        <v>7.8056390108620333</v>
      </c>
      <c r="H12">
        <v>0.203123422714581</v>
      </c>
      <c r="I12">
        <v>9</v>
      </c>
      <c r="J12" t="s">
        <v>1440</v>
      </c>
      <c r="K12">
        <v>0</v>
      </c>
      <c r="L12">
        <v>0</v>
      </c>
      <c r="M12">
        <v>1985.2836676261206</v>
      </c>
      <c r="N12">
        <v>0</v>
      </c>
      <c r="O12">
        <v>1985.2836676261206</v>
      </c>
      <c r="P12">
        <v>0</v>
      </c>
      <c r="Q12">
        <v>1875.9511433204098</v>
      </c>
      <c r="R12">
        <v>0</v>
      </c>
      <c r="S12">
        <v>0</v>
      </c>
      <c r="T12">
        <v>1875.9511433204098</v>
      </c>
      <c r="U12">
        <v>0</v>
      </c>
      <c r="V12">
        <v>1985.2836676261206</v>
      </c>
      <c r="W12">
        <v>0</v>
      </c>
      <c r="X12">
        <v>0</v>
      </c>
      <c r="Y12">
        <v>1985.2836676261206</v>
      </c>
    </row>
    <row r="13" spans="1:25" x14ac:dyDescent="0.25">
      <c r="A13" t="s">
        <v>52</v>
      </c>
      <c r="B13" t="s">
        <v>1398</v>
      </c>
      <c r="C13" t="s">
        <v>64</v>
      </c>
      <c r="D13" t="s">
        <v>83</v>
      </c>
      <c r="E13" t="s">
        <v>88</v>
      </c>
      <c r="F13" t="s">
        <v>88</v>
      </c>
      <c r="G13">
        <v>23.551658315437798</v>
      </c>
      <c r="H13">
        <v>8.8673742888640106E-2</v>
      </c>
      <c r="I13">
        <v>19</v>
      </c>
      <c r="J13" t="s">
        <v>1441</v>
      </c>
      <c r="K13">
        <v>16501.837971525518</v>
      </c>
      <c r="L13">
        <v>9506.4184457192769</v>
      </c>
      <c r="M13">
        <v>0</v>
      </c>
      <c r="N13">
        <v>13108.720407113116</v>
      </c>
      <c r="O13">
        <v>39116.976824357916</v>
      </c>
      <c r="P13">
        <v>20470.243692138225</v>
      </c>
      <c r="Q13">
        <v>0</v>
      </c>
      <c r="R13">
        <v>11689.466183766552</v>
      </c>
      <c r="S13">
        <v>15849.908627248995</v>
      </c>
      <c r="T13">
        <v>48009.618503153775</v>
      </c>
      <c r="U13">
        <v>16501.837971525518</v>
      </c>
      <c r="V13">
        <v>0</v>
      </c>
      <c r="W13">
        <v>9506.4184457192769</v>
      </c>
      <c r="X13">
        <v>13108.720407113116</v>
      </c>
      <c r="Y13">
        <v>39116.976824357916</v>
      </c>
    </row>
    <row r="14" spans="1:25" x14ac:dyDescent="0.25">
      <c r="A14" t="s">
        <v>33</v>
      </c>
      <c r="B14" t="s">
        <v>34</v>
      </c>
      <c r="C14" t="s">
        <v>61</v>
      </c>
      <c r="D14" t="s">
        <v>77</v>
      </c>
      <c r="E14" t="s">
        <v>88</v>
      </c>
      <c r="F14" t="s">
        <v>88</v>
      </c>
      <c r="G14">
        <v>24.810781141668599</v>
      </c>
      <c r="H14">
        <v>9.0664664515611698E-2</v>
      </c>
      <c r="I14">
        <v>64</v>
      </c>
      <c r="J14" t="s">
        <v>1442</v>
      </c>
      <c r="K14">
        <v>55061.668497709215</v>
      </c>
      <c r="L14">
        <v>46405.322580160318</v>
      </c>
      <c r="M14">
        <v>14507.842186498488</v>
      </c>
      <c r="N14">
        <v>63784.953350142547</v>
      </c>
      <c r="O14">
        <v>179759.78661451058</v>
      </c>
      <c r="P14">
        <v>22630.807135887768</v>
      </c>
      <c r="Q14">
        <v>5962.8447055541583</v>
      </c>
      <c r="R14">
        <v>19072.976428855545</v>
      </c>
      <c r="S14">
        <v>26216.150306065094</v>
      </c>
      <c r="T14">
        <v>73882.778576362558</v>
      </c>
      <c r="U14">
        <v>55061.668497709215</v>
      </c>
      <c r="V14">
        <v>14507.842186498488</v>
      </c>
      <c r="W14">
        <v>46405.322580160318</v>
      </c>
      <c r="X14">
        <v>63784.953350142547</v>
      </c>
      <c r="Y14">
        <v>179759.78661451058</v>
      </c>
    </row>
    <row r="15" spans="1:25" x14ac:dyDescent="0.25">
      <c r="A15" t="s">
        <v>46</v>
      </c>
      <c r="B15" t="s">
        <v>47</v>
      </c>
      <c r="C15" t="s">
        <v>63</v>
      </c>
      <c r="D15" t="s">
        <v>81</v>
      </c>
      <c r="E15" t="s">
        <v>88</v>
      </c>
      <c r="F15" t="s">
        <v>88</v>
      </c>
      <c r="G15">
        <v>3.8574545454545333</v>
      </c>
      <c r="H15">
        <v>6.8532985430347401E-2</v>
      </c>
      <c r="I15">
        <v>4</v>
      </c>
      <c r="J15" t="s">
        <v>1443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</row>
    <row r="16" spans="1:25" x14ac:dyDescent="0.25">
      <c r="A16" t="s">
        <v>50</v>
      </c>
      <c r="B16" t="s">
        <v>51</v>
      </c>
      <c r="C16" t="s">
        <v>63</v>
      </c>
      <c r="D16" t="s">
        <v>82</v>
      </c>
      <c r="E16" t="s">
        <v>88</v>
      </c>
      <c r="F16" t="s">
        <v>88</v>
      </c>
      <c r="G16">
        <v>20.01054545454544</v>
      </c>
      <c r="H16">
        <v>0.13887299293747199</v>
      </c>
      <c r="I16">
        <v>22</v>
      </c>
      <c r="J16" t="s">
        <v>1444</v>
      </c>
      <c r="K16">
        <v>18831.618498071577</v>
      </c>
      <c r="L16">
        <v>13334.963331012223</v>
      </c>
      <c r="M16">
        <v>0</v>
      </c>
      <c r="N16">
        <v>18329.14775078238</v>
      </c>
      <c r="O16">
        <v>50495.72957986618</v>
      </c>
      <c r="P16">
        <v>17392.437355404956</v>
      </c>
      <c r="Q16">
        <v>0</v>
      </c>
      <c r="R16">
        <v>12286.900430336536</v>
      </c>
      <c r="S16">
        <v>16659.97797259461</v>
      </c>
      <c r="T16">
        <v>46339.315758336103</v>
      </c>
      <c r="U16">
        <v>18831.618498071577</v>
      </c>
      <c r="V16">
        <v>0</v>
      </c>
      <c r="W16">
        <v>13334.963331012223</v>
      </c>
      <c r="X16">
        <v>18329.14775078238</v>
      </c>
      <c r="Y16">
        <v>50495.72957986618</v>
      </c>
    </row>
    <row r="17" spans="1:34" x14ac:dyDescent="0.25">
      <c r="A17" t="s">
        <v>27</v>
      </c>
      <c r="B17" t="s">
        <v>28</v>
      </c>
      <c r="C17" t="s">
        <v>59</v>
      </c>
      <c r="D17" t="s">
        <v>73</v>
      </c>
      <c r="E17" t="s">
        <v>88</v>
      </c>
      <c r="F17" t="s">
        <v>88</v>
      </c>
      <c r="G17">
        <v>35.67027477102414</v>
      </c>
      <c r="H17">
        <v>0.121891311010182</v>
      </c>
      <c r="I17">
        <v>43</v>
      </c>
      <c r="J17" t="s">
        <v>1445</v>
      </c>
      <c r="K17">
        <v>37053.348098536313</v>
      </c>
      <c r="L17">
        <v>31207.592578687927</v>
      </c>
      <c r="M17">
        <v>0</v>
      </c>
      <c r="N17">
        <v>42895.399193990197</v>
      </c>
      <c r="O17">
        <v>111156.33987121444</v>
      </c>
      <c r="P17">
        <v>31003.303773720745</v>
      </c>
      <c r="Q17">
        <v>0</v>
      </c>
      <c r="R17">
        <v>26601.243604398413</v>
      </c>
      <c r="S17">
        <v>36068.993559896735</v>
      </c>
      <c r="T17">
        <v>93673.540938015882</v>
      </c>
      <c r="U17">
        <v>37053.348098536313</v>
      </c>
      <c r="V17">
        <v>0</v>
      </c>
      <c r="W17">
        <v>31207.592578687927</v>
      </c>
      <c r="X17">
        <v>42895.399193990197</v>
      </c>
      <c r="Y17">
        <v>111156.33987121444</v>
      </c>
    </row>
    <row r="18" spans="1:34" x14ac:dyDescent="0.25">
      <c r="A18" t="s">
        <v>1429</v>
      </c>
      <c r="B18" t="s">
        <v>1427</v>
      </c>
      <c r="C18" t="s">
        <v>63</v>
      </c>
      <c r="D18" t="s">
        <v>1422</v>
      </c>
      <c r="E18" t="s">
        <v>88</v>
      </c>
      <c r="F18" t="s">
        <v>653</v>
      </c>
      <c r="G18">
        <v>16.635272727272721</v>
      </c>
      <c r="H18">
        <v>0.14073738079446399</v>
      </c>
      <c r="I18">
        <v>11</v>
      </c>
      <c r="J18" t="s">
        <v>1446</v>
      </c>
      <c r="K18">
        <v>9792.4416189972235</v>
      </c>
      <c r="L18">
        <v>6934.1809321263581</v>
      </c>
      <c r="M18">
        <v>0</v>
      </c>
      <c r="N18">
        <v>9531.1568304068405</v>
      </c>
      <c r="O18">
        <v>26257.779381530425</v>
      </c>
      <c r="P18">
        <v>14458.77322316798</v>
      </c>
      <c r="Q18">
        <v>0</v>
      </c>
      <c r="R18">
        <v>10214.411201123148</v>
      </c>
      <c r="S18">
        <v>13849.861206132873</v>
      </c>
      <c r="T18">
        <v>38523.045630424</v>
      </c>
      <c r="U18">
        <v>14809.085181628621</v>
      </c>
      <c r="V18">
        <v>0</v>
      </c>
      <c r="W18">
        <v>10486.544631470559</v>
      </c>
      <c r="X18">
        <v>14413.944843656911</v>
      </c>
      <c r="Y18">
        <v>39709.574656756085</v>
      </c>
    </row>
    <row r="19" spans="1:34" x14ac:dyDescent="0.25">
      <c r="A19" t="s">
        <v>25</v>
      </c>
      <c r="B19" t="s">
        <v>26</v>
      </c>
      <c r="C19" t="s">
        <v>59</v>
      </c>
      <c r="D19" t="s">
        <v>72</v>
      </c>
      <c r="E19" t="s">
        <v>88</v>
      </c>
      <c r="F19" t="s">
        <v>88</v>
      </c>
      <c r="G19">
        <v>101.13572023313915</v>
      </c>
      <c r="H19">
        <v>0.131424483967399</v>
      </c>
      <c r="I19">
        <v>112</v>
      </c>
      <c r="J19" t="s">
        <v>1447</v>
      </c>
      <c r="K19">
        <v>96338.705056194289</v>
      </c>
      <c r="L19">
        <v>81139.740704588505</v>
      </c>
      <c r="M19">
        <v>23143.36486952041</v>
      </c>
      <c r="N19">
        <v>111528.03790437436</v>
      </c>
      <c r="O19">
        <v>312149.84853467753</v>
      </c>
      <c r="P19">
        <v>87903.48481725539</v>
      </c>
      <c r="Q19">
        <v>23665.104686231345</v>
      </c>
      <c r="R19">
        <v>75422.34951364735</v>
      </c>
      <c r="S19">
        <v>102266.20526982498</v>
      </c>
      <c r="T19">
        <v>289257.14428695908</v>
      </c>
      <c r="U19">
        <v>96338.705056194289</v>
      </c>
      <c r="V19">
        <v>23143.36486952041</v>
      </c>
      <c r="W19">
        <v>81139.740704588505</v>
      </c>
      <c r="X19">
        <v>111528.03790437436</v>
      </c>
      <c r="Y19">
        <v>312149.84853467753</v>
      </c>
    </row>
    <row r="20" spans="1:34" x14ac:dyDescent="0.25">
      <c r="A20" t="s">
        <v>35</v>
      </c>
      <c r="B20" t="s">
        <v>36</v>
      </c>
      <c r="C20" t="s">
        <v>61</v>
      </c>
      <c r="D20" t="s">
        <v>78</v>
      </c>
      <c r="E20" t="s">
        <v>88</v>
      </c>
      <c r="F20" t="s">
        <v>88</v>
      </c>
      <c r="G20">
        <v>95.340305061243185</v>
      </c>
      <c r="H20">
        <v>9.8287212688936795E-2</v>
      </c>
      <c r="I20">
        <v>116</v>
      </c>
      <c r="J20" t="s">
        <v>1448</v>
      </c>
      <c r="K20">
        <v>99400.801551128025</v>
      </c>
      <c r="L20">
        <v>83773.819184184438</v>
      </c>
      <c r="M20">
        <v>0</v>
      </c>
      <c r="N20">
        <v>115148.62631104719</v>
      </c>
      <c r="O20">
        <v>298323.24704635964</v>
      </c>
      <c r="P20">
        <v>86963.32629745618</v>
      </c>
      <c r="Q20">
        <v>0</v>
      </c>
      <c r="R20">
        <v>73291.662232231276</v>
      </c>
      <c r="S20">
        <v>100740.71241207015</v>
      </c>
      <c r="T20">
        <v>260995.70094175759</v>
      </c>
      <c r="U20">
        <v>99400.801551128025</v>
      </c>
      <c r="V20">
        <v>0</v>
      </c>
      <c r="W20">
        <v>83773.819184184438</v>
      </c>
      <c r="X20">
        <v>115148.62631104719</v>
      </c>
      <c r="Y20">
        <v>298323.24704635964</v>
      </c>
    </row>
    <row r="22" spans="1:34" x14ac:dyDescent="0.25">
      <c r="D22">
        <v>1</v>
      </c>
      <c r="E22">
        <v>2</v>
      </c>
      <c r="F22">
        <v>3</v>
      </c>
      <c r="G22">
        <v>4</v>
      </c>
      <c r="H22">
        <v>5</v>
      </c>
      <c r="I22">
        <v>6</v>
      </c>
      <c r="J22">
        <v>7</v>
      </c>
      <c r="K22">
        <v>8</v>
      </c>
      <c r="L22">
        <v>9</v>
      </c>
      <c r="M22">
        <v>10</v>
      </c>
      <c r="N22">
        <v>11</v>
      </c>
      <c r="O22">
        <v>12</v>
      </c>
      <c r="P22">
        <v>13</v>
      </c>
      <c r="Q22">
        <v>14</v>
      </c>
      <c r="R22">
        <v>15</v>
      </c>
      <c r="S22">
        <v>16</v>
      </c>
      <c r="T22">
        <v>17</v>
      </c>
      <c r="U22">
        <v>18</v>
      </c>
      <c r="V22">
        <v>19</v>
      </c>
      <c r="W22">
        <v>20</v>
      </c>
      <c r="X22">
        <v>21</v>
      </c>
    </row>
    <row r="24" spans="1:34" x14ac:dyDescent="0.25">
      <c r="AG24">
        <v>22</v>
      </c>
      <c r="AH24">
        <v>23</v>
      </c>
    </row>
    <row r="34" spans="11:11" x14ac:dyDescent="0.25">
      <c r="K34" s="47"/>
    </row>
    <row r="35" spans="11:11" x14ac:dyDescent="0.25">
      <c r="K35" s="47"/>
    </row>
    <row r="36" spans="11:11" x14ac:dyDescent="0.25">
      <c r="K36" s="47"/>
    </row>
    <row r="37" spans="11:11" x14ac:dyDescent="0.25">
      <c r="K37" s="47"/>
    </row>
    <row r="40" spans="11:11" x14ac:dyDescent="0.25">
      <c r="K40" s="47"/>
    </row>
  </sheetData>
  <sheetProtection algorithmName="SHA-512" hashValue="/Nalz4NTLacmQLis6fAtjB2acV+64A6tc+0R02MAjF+jULYgkqIAmGD171D1Y+PFqQv4Wu12Pr0CslTPRKyMzw==" saltValue="PB/lC2V9WPuhkyiKJ7sDCA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7B0E1-0AB5-4E1E-92C6-BF0D3D67B20F}">
  <sheetPr>
    <tabColor rgb="FF7030A0"/>
  </sheetPr>
  <dimension ref="A1:I30"/>
  <sheetViews>
    <sheetView workbookViewId="0"/>
  </sheetViews>
  <sheetFormatPr defaultRowHeight="15" x14ac:dyDescent="0.25"/>
  <cols>
    <col min="1" max="1" width="9.42578125" bestFit="1" customWidth="1"/>
    <col min="2" max="2" width="47.5703125" bestFit="1" customWidth="1"/>
    <col min="3" max="3" width="15.42578125" bestFit="1" customWidth="1"/>
    <col min="4" max="4" width="13.85546875" bestFit="1" customWidth="1"/>
    <col min="5" max="5" width="8.140625" bestFit="1" customWidth="1"/>
    <col min="6" max="6" width="8.85546875" bestFit="1" customWidth="1"/>
    <col min="7" max="7" width="13.42578125" bestFit="1" customWidth="1"/>
    <col min="8" max="8" width="19.85546875" bestFit="1" customWidth="1"/>
    <col min="9" max="9" width="22.7109375" bestFit="1" customWidth="1"/>
    <col min="10" max="14" width="12.140625" bestFit="1" customWidth="1"/>
    <col min="15" max="15" width="19.85546875" bestFit="1" customWidth="1"/>
    <col min="16" max="16" width="22.7109375" customWidth="1"/>
  </cols>
  <sheetData>
    <row r="1" spans="1:9" x14ac:dyDescent="0.25">
      <c r="A1" t="s">
        <v>0</v>
      </c>
      <c r="B1" t="s">
        <v>1312</v>
      </c>
      <c r="C1" t="s">
        <v>1313</v>
      </c>
      <c r="D1" t="s">
        <v>1314</v>
      </c>
      <c r="E1" t="s">
        <v>65</v>
      </c>
      <c r="F1" t="s">
        <v>5</v>
      </c>
      <c r="G1" t="s">
        <v>655</v>
      </c>
      <c r="H1" t="s">
        <v>1315</v>
      </c>
      <c r="I1" t="s">
        <v>1316</v>
      </c>
    </row>
    <row r="2" spans="1:9" hidden="1" x14ac:dyDescent="0.25">
      <c r="A2" t="s">
        <v>14</v>
      </c>
      <c r="B2" t="s">
        <v>1384</v>
      </c>
      <c r="C2" t="s">
        <v>56</v>
      </c>
      <c r="D2" t="s">
        <v>1317</v>
      </c>
      <c r="E2" t="s">
        <v>56</v>
      </c>
      <c r="H2" s="31">
        <v>0.99375289217954599</v>
      </c>
      <c r="I2" s="31">
        <v>0.99064930525211903</v>
      </c>
    </row>
    <row r="3" spans="1:9" x14ac:dyDescent="0.25">
      <c r="A3" t="s">
        <v>13</v>
      </c>
      <c r="B3" t="s">
        <v>1383</v>
      </c>
      <c r="C3" t="s">
        <v>56</v>
      </c>
      <c r="D3" t="s">
        <v>1</v>
      </c>
      <c r="E3" t="s">
        <v>68</v>
      </c>
      <c r="F3" t="s">
        <v>88</v>
      </c>
      <c r="G3" t="s">
        <v>88</v>
      </c>
      <c r="H3" s="31">
        <v>6.2471078204534899E-3</v>
      </c>
      <c r="I3" s="31">
        <v>9.3506947478808004E-3</v>
      </c>
    </row>
    <row r="4" spans="1:9" hidden="1" x14ac:dyDescent="0.25">
      <c r="A4" t="s">
        <v>10</v>
      </c>
      <c r="B4" t="s">
        <v>9</v>
      </c>
      <c r="C4" t="s">
        <v>55</v>
      </c>
      <c r="D4" t="s">
        <v>1317</v>
      </c>
      <c r="E4" t="s">
        <v>55</v>
      </c>
      <c r="H4" s="31">
        <v>0.90444195595371402</v>
      </c>
      <c r="I4" s="31">
        <v>0.87422639249351197</v>
      </c>
    </row>
    <row r="5" spans="1:9" x14ac:dyDescent="0.25">
      <c r="A5" t="s">
        <v>8</v>
      </c>
      <c r="B5" t="s">
        <v>1395</v>
      </c>
      <c r="C5" t="s">
        <v>55</v>
      </c>
      <c r="D5" t="s">
        <v>1</v>
      </c>
      <c r="E5" t="s">
        <v>66</v>
      </c>
      <c r="F5" t="s">
        <v>88</v>
      </c>
      <c r="G5" t="s">
        <v>653</v>
      </c>
      <c r="H5" s="31">
        <v>7.6894363568495702E-2</v>
      </c>
      <c r="I5" s="31">
        <v>0.111000199640647</v>
      </c>
    </row>
    <row r="6" spans="1:9" x14ac:dyDescent="0.25">
      <c r="A6" t="s">
        <v>11</v>
      </c>
      <c r="B6" t="s">
        <v>12</v>
      </c>
      <c r="C6" t="s">
        <v>55</v>
      </c>
      <c r="D6" t="s">
        <v>1</v>
      </c>
      <c r="E6" t="s">
        <v>67</v>
      </c>
      <c r="F6" t="s">
        <v>88</v>
      </c>
      <c r="G6" t="s">
        <v>88</v>
      </c>
      <c r="H6" s="31">
        <v>1.8663680477790202E-2</v>
      </c>
      <c r="I6" s="31">
        <v>1.47734078658415E-2</v>
      </c>
    </row>
    <row r="7" spans="1:9" hidden="1" x14ac:dyDescent="0.25">
      <c r="A7" t="s">
        <v>18</v>
      </c>
      <c r="B7" t="s">
        <v>17</v>
      </c>
      <c r="C7" t="s">
        <v>57</v>
      </c>
      <c r="D7" t="s">
        <v>1317</v>
      </c>
      <c r="E7" t="s">
        <v>57</v>
      </c>
      <c r="H7" s="31">
        <v>0.97159992944081897</v>
      </c>
      <c r="I7" s="31">
        <v>0.97299077733860395</v>
      </c>
    </row>
    <row r="8" spans="1:9" x14ac:dyDescent="0.25">
      <c r="A8" t="s">
        <v>15</v>
      </c>
      <c r="B8" t="s">
        <v>16</v>
      </c>
      <c r="C8" t="s">
        <v>57</v>
      </c>
      <c r="D8" t="s">
        <v>1</v>
      </c>
      <c r="E8" t="s">
        <v>69</v>
      </c>
      <c r="F8" t="s">
        <v>88</v>
      </c>
      <c r="G8" t="s">
        <v>88</v>
      </c>
      <c r="H8" s="31">
        <v>2.0373963662021499E-2</v>
      </c>
      <c r="I8" s="31">
        <v>1.97628458498024E-2</v>
      </c>
    </row>
    <row r="9" spans="1:9" x14ac:dyDescent="0.25">
      <c r="A9" t="s">
        <v>19</v>
      </c>
      <c r="B9" t="s">
        <v>1396</v>
      </c>
      <c r="C9" t="s">
        <v>57</v>
      </c>
      <c r="D9" t="s">
        <v>1</v>
      </c>
      <c r="E9" t="s">
        <v>70</v>
      </c>
      <c r="F9" t="s">
        <v>88</v>
      </c>
      <c r="G9" t="s">
        <v>88</v>
      </c>
      <c r="H9" s="31">
        <v>8.0261068971599903E-3</v>
      </c>
      <c r="I9" s="31">
        <v>7.2463768115942004E-3</v>
      </c>
    </row>
    <row r="10" spans="1:9" hidden="1" x14ac:dyDescent="0.25">
      <c r="A10" t="s">
        <v>1078</v>
      </c>
      <c r="B10" t="s">
        <v>1426</v>
      </c>
      <c r="C10" t="s">
        <v>563</v>
      </c>
      <c r="D10" t="s">
        <v>1317</v>
      </c>
      <c r="E10" t="s">
        <v>563</v>
      </c>
      <c r="H10" s="31">
        <v>0.97353660290522104</v>
      </c>
      <c r="I10" s="31">
        <v>0.98026183282980905</v>
      </c>
    </row>
    <row r="11" spans="1:9" x14ac:dyDescent="0.25">
      <c r="A11" t="s">
        <v>1428</v>
      </c>
      <c r="B11" t="s">
        <v>1424</v>
      </c>
      <c r="C11" t="s">
        <v>563</v>
      </c>
      <c r="D11" t="s">
        <v>1</v>
      </c>
      <c r="E11" t="s">
        <v>1420</v>
      </c>
      <c r="F11" t="s">
        <v>88</v>
      </c>
      <c r="G11" t="s">
        <v>653</v>
      </c>
      <c r="H11" s="31">
        <v>2.6463397094779201E-2</v>
      </c>
      <c r="I11" s="31">
        <v>1.9738167170191299E-2</v>
      </c>
    </row>
    <row r="12" spans="1:9" hidden="1" x14ac:dyDescent="0.25">
      <c r="A12" t="s">
        <v>24</v>
      </c>
      <c r="B12" t="s">
        <v>23</v>
      </c>
      <c r="C12" t="s">
        <v>59</v>
      </c>
      <c r="D12" t="s">
        <v>1317</v>
      </c>
      <c r="E12" t="s">
        <v>59</v>
      </c>
      <c r="H12" s="31">
        <v>0.975405111125344</v>
      </c>
      <c r="I12" s="31">
        <v>0.98232342874922196</v>
      </c>
    </row>
    <row r="13" spans="1:9" x14ac:dyDescent="0.25">
      <c r="A13" t="s">
        <v>27</v>
      </c>
      <c r="B13" t="s">
        <v>28</v>
      </c>
      <c r="C13" t="s">
        <v>59</v>
      </c>
      <c r="D13" t="s">
        <v>1</v>
      </c>
      <c r="E13" t="s">
        <v>73</v>
      </c>
      <c r="F13" t="s">
        <v>88</v>
      </c>
      <c r="G13" t="s">
        <v>88</v>
      </c>
      <c r="H13" s="31">
        <v>5.4441811311086901E-3</v>
      </c>
      <c r="I13" s="31">
        <v>4.2003733665214697E-3</v>
      </c>
    </row>
    <row r="14" spans="1:9" x14ac:dyDescent="0.25">
      <c r="A14" t="s">
        <v>25</v>
      </c>
      <c r="B14" t="s">
        <v>26</v>
      </c>
      <c r="C14" t="s">
        <v>59</v>
      </c>
      <c r="D14" t="s">
        <v>1</v>
      </c>
      <c r="E14" t="s">
        <v>72</v>
      </c>
      <c r="F14" t="s">
        <v>88</v>
      </c>
      <c r="G14" t="s">
        <v>88</v>
      </c>
      <c r="H14" s="31">
        <v>1.5435854736437601E-2</v>
      </c>
      <c r="I14" s="31">
        <v>1.1045426260112E-2</v>
      </c>
    </row>
    <row r="15" spans="1:9" x14ac:dyDescent="0.25">
      <c r="A15" t="s">
        <v>21</v>
      </c>
      <c r="B15" t="s">
        <v>22</v>
      </c>
      <c r="C15" t="s">
        <v>59</v>
      </c>
      <c r="D15" t="s">
        <v>1</v>
      </c>
      <c r="E15" t="s">
        <v>71</v>
      </c>
      <c r="F15" t="s">
        <v>88</v>
      </c>
      <c r="G15" t="s">
        <v>653</v>
      </c>
      <c r="H15" s="31">
        <v>3.7148530071094599E-3</v>
      </c>
      <c r="I15" s="31">
        <v>2.4307716241443698E-3</v>
      </c>
    </row>
    <row r="16" spans="1:9" hidden="1" x14ac:dyDescent="0.25">
      <c r="A16" t="s">
        <v>43</v>
      </c>
      <c r="B16" t="s">
        <v>42</v>
      </c>
      <c r="C16" t="s">
        <v>60</v>
      </c>
      <c r="D16" t="s">
        <v>1317</v>
      </c>
      <c r="E16" t="s">
        <v>60</v>
      </c>
      <c r="H16" s="31">
        <v>0.77932855526216505</v>
      </c>
      <c r="I16" s="31">
        <v>0.75640679794982502</v>
      </c>
    </row>
    <row r="17" spans="1:9" x14ac:dyDescent="0.25">
      <c r="A17" t="s">
        <v>40</v>
      </c>
      <c r="B17" t="s">
        <v>41</v>
      </c>
      <c r="C17" t="s">
        <v>60</v>
      </c>
      <c r="D17" t="s">
        <v>1</v>
      </c>
      <c r="E17" t="s">
        <v>74</v>
      </c>
      <c r="F17" t="s">
        <v>88</v>
      </c>
      <c r="G17" t="s">
        <v>88</v>
      </c>
      <c r="H17" s="31">
        <v>0.127121840814787</v>
      </c>
      <c r="I17" s="31">
        <v>0.136768276234152</v>
      </c>
    </row>
    <row r="18" spans="1:9" x14ac:dyDescent="0.25">
      <c r="A18" t="s">
        <v>44</v>
      </c>
      <c r="B18" t="s">
        <v>45</v>
      </c>
      <c r="C18" t="s">
        <v>60</v>
      </c>
      <c r="D18" t="s">
        <v>1</v>
      </c>
      <c r="E18" t="s">
        <v>75</v>
      </c>
      <c r="F18" t="s">
        <v>88</v>
      </c>
      <c r="G18" t="s">
        <v>88</v>
      </c>
      <c r="H18" s="31">
        <v>9.3549603923047897E-2</v>
      </c>
      <c r="I18" s="31">
        <v>0.106824925816024</v>
      </c>
    </row>
    <row r="19" spans="1:9" hidden="1" x14ac:dyDescent="0.25">
      <c r="A19" t="s">
        <v>32</v>
      </c>
      <c r="B19" t="s">
        <v>31</v>
      </c>
      <c r="C19" t="s">
        <v>61</v>
      </c>
      <c r="D19" t="s">
        <v>1317</v>
      </c>
      <c r="E19" t="s">
        <v>61</v>
      </c>
      <c r="H19" s="31">
        <v>0.97348047145828498</v>
      </c>
      <c r="I19" s="31">
        <v>0.96381622190088101</v>
      </c>
    </row>
    <row r="20" spans="1:9" x14ac:dyDescent="0.25">
      <c r="A20" t="s">
        <v>35</v>
      </c>
      <c r="B20" t="s">
        <v>36</v>
      </c>
      <c r="C20" t="s">
        <v>61</v>
      </c>
      <c r="D20" t="s">
        <v>1</v>
      </c>
      <c r="E20" t="s">
        <v>78</v>
      </c>
      <c r="F20" t="s">
        <v>88</v>
      </c>
      <c r="G20" t="s">
        <v>88</v>
      </c>
      <c r="H20" s="31">
        <v>1.9759648717356099E-2</v>
      </c>
      <c r="I20" s="31">
        <v>2.7376100959642401E-2</v>
      </c>
    </row>
    <row r="21" spans="1:9" x14ac:dyDescent="0.25">
      <c r="A21" t="s">
        <v>29</v>
      </c>
      <c r="B21" t="s">
        <v>30</v>
      </c>
      <c r="C21" t="s">
        <v>61</v>
      </c>
      <c r="D21" t="s">
        <v>1</v>
      </c>
      <c r="E21" t="s">
        <v>76</v>
      </c>
      <c r="F21" t="s">
        <v>88</v>
      </c>
      <c r="G21" t="s">
        <v>88</v>
      </c>
      <c r="H21" s="31">
        <v>1.61774901779524E-3</v>
      </c>
      <c r="I21" s="31">
        <v>1.0845274089654299E-3</v>
      </c>
    </row>
    <row r="22" spans="1:9" x14ac:dyDescent="0.25">
      <c r="A22" t="s">
        <v>33</v>
      </c>
      <c r="B22" t="s">
        <v>34</v>
      </c>
      <c r="C22" t="s">
        <v>61</v>
      </c>
      <c r="D22" t="s">
        <v>1</v>
      </c>
      <c r="E22" t="s">
        <v>77</v>
      </c>
      <c r="F22" t="s">
        <v>88</v>
      </c>
      <c r="G22" t="s">
        <v>88</v>
      </c>
      <c r="H22" s="31">
        <v>5.1421308065634401E-3</v>
      </c>
      <c r="I22" s="31">
        <v>7.7231497305113696E-3</v>
      </c>
    </row>
    <row r="23" spans="1:9" hidden="1" x14ac:dyDescent="0.25">
      <c r="A23" t="s">
        <v>39</v>
      </c>
      <c r="B23" t="s">
        <v>38</v>
      </c>
      <c r="C23" t="s">
        <v>62</v>
      </c>
      <c r="D23" t="s">
        <v>1317</v>
      </c>
      <c r="E23" t="s">
        <v>62</v>
      </c>
      <c r="H23" s="31">
        <v>0.98963534095936301</v>
      </c>
      <c r="I23" s="31">
        <v>0.99083627715015199</v>
      </c>
    </row>
    <row r="24" spans="1:9" x14ac:dyDescent="0.25">
      <c r="A24" t="s">
        <v>37</v>
      </c>
      <c r="B24" t="s">
        <v>1397</v>
      </c>
      <c r="C24" t="s">
        <v>62</v>
      </c>
      <c r="D24" t="s">
        <v>1</v>
      </c>
      <c r="E24" t="s">
        <v>79</v>
      </c>
      <c r="F24" t="s">
        <v>88</v>
      </c>
      <c r="G24" t="s">
        <v>653</v>
      </c>
      <c r="H24" s="31">
        <v>1.0364659040637001E-2</v>
      </c>
      <c r="I24" s="31">
        <v>9.1637228498478596E-3</v>
      </c>
    </row>
    <row r="25" spans="1:9" hidden="1" x14ac:dyDescent="0.25">
      <c r="A25" t="s">
        <v>49</v>
      </c>
      <c r="B25" t="s">
        <v>48</v>
      </c>
      <c r="C25" t="s">
        <v>63</v>
      </c>
      <c r="D25" t="s">
        <v>1317</v>
      </c>
      <c r="E25" t="s">
        <v>63</v>
      </c>
      <c r="H25" s="31">
        <v>0.98472727272727301</v>
      </c>
      <c r="I25" s="31">
        <v>0.98722924187725603</v>
      </c>
    </row>
    <row r="26" spans="1:9" x14ac:dyDescent="0.25">
      <c r="A26" t="s">
        <v>1429</v>
      </c>
      <c r="B26" t="s">
        <v>1427</v>
      </c>
      <c r="C26" t="s">
        <v>63</v>
      </c>
      <c r="D26" t="s">
        <v>1</v>
      </c>
      <c r="E26" t="s">
        <v>1422</v>
      </c>
      <c r="F26" t="s">
        <v>88</v>
      </c>
      <c r="G26" t="s">
        <v>653</v>
      </c>
      <c r="H26" s="31">
        <v>6.2727272727272701E-3</v>
      </c>
      <c r="I26" s="31">
        <v>4.7382671480144401E-3</v>
      </c>
    </row>
    <row r="27" spans="1:9" x14ac:dyDescent="0.25">
      <c r="A27" t="s">
        <v>46</v>
      </c>
      <c r="B27" t="s">
        <v>47</v>
      </c>
      <c r="C27" t="s">
        <v>63</v>
      </c>
      <c r="D27" t="s">
        <v>1</v>
      </c>
      <c r="E27" t="s">
        <v>81</v>
      </c>
      <c r="F27" t="s">
        <v>88</v>
      </c>
      <c r="G27" t="s">
        <v>88</v>
      </c>
      <c r="H27" s="31">
        <v>1.4545454545454499E-3</v>
      </c>
      <c r="I27" s="31">
        <v>2.2563176895306898E-3</v>
      </c>
    </row>
    <row r="28" spans="1:9" x14ac:dyDescent="0.25">
      <c r="A28" t="s">
        <v>50</v>
      </c>
      <c r="B28" t="s">
        <v>51</v>
      </c>
      <c r="C28" t="s">
        <v>63</v>
      </c>
      <c r="D28" t="s">
        <v>1</v>
      </c>
      <c r="E28" t="s">
        <v>82</v>
      </c>
      <c r="F28" t="s">
        <v>88</v>
      </c>
      <c r="G28" t="s">
        <v>88</v>
      </c>
      <c r="H28" s="31">
        <v>7.5454545454545401E-3</v>
      </c>
      <c r="I28" s="31">
        <v>5.77617328519856E-3</v>
      </c>
    </row>
    <row r="29" spans="1:9" hidden="1" x14ac:dyDescent="0.25">
      <c r="A29" t="s">
        <v>53</v>
      </c>
      <c r="B29" t="s">
        <v>1390</v>
      </c>
      <c r="C29" t="s">
        <v>64</v>
      </c>
      <c r="D29" t="s">
        <v>1317</v>
      </c>
      <c r="E29" t="s">
        <v>64</v>
      </c>
      <c r="H29" s="31">
        <v>0.97733237890718205</v>
      </c>
      <c r="I29" s="31">
        <v>0.96782178217821802</v>
      </c>
    </row>
    <row r="30" spans="1:9" x14ac:dyDescent="0.25">
      <c r="A30" t="s">
        <v>52</v>
      </c>
      <c r="B30" t="s">
        <v>1398</v>
      </c>
      <c r="C30" t="s">
        <v>64</v>
      </c>
      <c r="D30" t="s">
        <v>1</v>
      </c>
      <c r="E30" t="s">
        <v>83</v>
      </c>
      <c r="F30" t="s">
        <v>88</v>
      </c>
      <c r="G30" t="s">
        <v>88</v>
      </c>
      <c r="H30" s="31">
        <v>2.2667621092817902E-2</v>
      </c>
      <c r="I30" s="31">
        <v>3.21782178217822E-2</v>
      </c>
    </row>
  </sheetData>
  <sheetProtection algorithmName="SHA-512" hashValue="4yFyUUYEpYFNMyKZe3bbdA7KvYpyqbrVQHWSRnEubijW3ZtyMBOyFVqV9N6npmwY2uSa2gUrS0KndjoYuT4psQ==" saltValue="U42fGwpfWzkZncNSWzFGxA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39DA6-C1C7-4DC6-842C-993C6A5AB959}">
  <sheetPr codeName="Sheet8">
    <tabColor rgb="FF7030A0"/>
  </sheetPr>
  <dimension ref="A1:S20"/>
  <sheetViews>
    <sheetView workbookViewId="0"/>
  </sheetViews>
  <sheetFormatPr defaultRowHeight="15" x14ac:dyDescent="0.25"/>
  <cols>
    <col min="1" max="1" width="9.42578125" bestFit="1" customWidth="1"/>
    <col min="2" max="2" width="47.5703125" bestFit="1" customWidth="1"/>
    <col min="3" max="3" width="17.28515625" bestFit="1" customWidth="1"/>
    <col min="4" max="4" width="24.140625" bestFit="1" customWidth="1"/>
    <col min="5" max="5" width="8.28515625" bestFit="1" customWidth="1"/>
    <col min="6" max="6" width="8.85546875" bestFit="1" customWidth="1"/>
    <col min="7" max="7" width="13.42578125" bestFit="1" customWidth="1"/>
    <col min="8" max="8" width="20.5703125" bestFit="1" customWidth="1"/>
    <col min="9" max="9" width="24.5703125" bestFit="1" customWidth="1"/>
    <col min="10" max="10" width="23" bestFit="1" customWidth="1"/>
    <col min="11" max="11" width="32" bestFit="1" customWidth="1"/>
    <col min="12" max="12" width="15.42578125" bestFit="1" customWidth="1"/>
    <col min="13" max="13" width="23.28515625" bestFit="1" customWidth="1"/>
    <col min="14" max="14" width="35.28515625" bestFit="1" customWidth="1"/>
    <col min="15" max="15" width="15.140625" bestFit="1" customWidth="1"/>
    <col min="16" max="16" width="23" bestFit="1" customWidth="1"/>
    <col min="17" max="17" width="51.85546875" bestFit="1" customWidth="1"/>
    <col min="18" max="18" width="26.140625" bestFit="1" customWidth="1"/>
    <col min="19" max="19" width="34.140625" bestFit="1" customWidth="1"/>
    <col min="20" max="20" width="23.28515625" bestFit="1" customWidth="1"/>
    <col min="21" max="21" width="35.28515625" bestFit="1" customWidth="1"/>
    <col min="22" max="22" width="15.140625" bestFit="1" customWidth="1"/>
    <col min="23" max="23" width="23" bestFit="1" customWidth="1"/>
    <col min="24" max="24" width="51.85546875" bestFit="1" customWidth="1"/>
    <col min="25" max="25" width="26.140625" bestFit="1" customWidth="1"/>
    <col min="26" max="26" width="34.140625" customWidth="1"/>
    <col min="27" max="27" width="51.85546875" bestFit="1" customWidth="1"/>
    <col min="28" max="28" width="26.140625" bestFit="1" customWidth="1"/>
    <col min="29" max="29" width="34.140625" bestFit="1" customWidth="1"/>
    <col min="30" max="30" width="24.28515625" bestFit="1" customWidth="1"/>
    <col min="31" max="31" width="30.85546875" bestFit="1" customWidth="1"/>
  </cols>
  <sheetData>
    <row r="1" spans="1:1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655</v>
      </c>
      <c r="H1" t="s">
        <v>1307</v>
      </c>
      <c r="I1" t="s">
        <v>6</v>
      </c>
      <c r="J1" t="s">
        <v>1308</v>
      </c>
      <c r="K1" t="s">
        <v>7</v>
      </c>
      <c r="L1" t="s">
        <v>54</v>
      </c>
      <c r="M1" t="s">
        <v>1318</v>
      </c>
      <c r="N1" t="s">
        <v>656</v>
      </c>
      <c r="O1" t="s">
        <v>1319</v>
      </c>
      <c r="P1" t="s">
        <v>1320</v>
      </c>
      <c r="Q1" t="s">
        <v>1309</v>
      </c>
      <c r="R1" t="s">
        <v>1310</v>
      </c>
      <c r="S1" t="s">
        <v>1311</v>
      </c>
    </row>
    <row r="2" spans="1:19" x14ac:dyDescent="0.25">
      <c r="A2" t="s">
        <v>13</v>
      </c>
      <c r="B2" t="s">
        <v>1383</v>
      </c>
      <c r="C2" t="s">
        <v>1384</v>
      </c>
      <c r="D2" t="s">
        <v>14</v>
      </c>
      <c r="E2" t="s">
        <v>68</v>
      </c>
      <c r="F2" t="s">
        <v>88</v>
      </c>
      <c r="G2" t="s">
        <v>88</v>
      </c>
      <c r="H2">
        <v>107</v>
      </c>
      <c r="I2">
        <v>27</v>
      </c>
      <c r="J2">
        <v>11336</v>
      </c>
      <c r="K2">
        <v>4295</v>
      </c>
      <c r="L2" t="s">
        <v>56</v>
      </c>
      <c r="M2">
        <v>107</v>
      </c>
      <c r="N2" t="s">
        <v>1449</v>
      </c>
      <c r="O2">
        <v>6.2471078204534899E-3</v>
      </c>
      <c r="P2">
        <v>0.99375289217954599</v>
      </c>
      <c r="Q2" t="s">
        <v>1450</v>
      </c>
      <c r="R2">
        <v>9.3506947478808004E-3</v>
      </c>
      <c r="S2">
        <v>0.99064930525211903</v>
      </c>
    </row>
    <row r="3" spans="1:19" x14ac:dyDescent="0.25">
      <c r="A3" t="s">
        <v>8</v>
      </c>
      <c r="B3" t="s">
        <v>1395</v>
      </c>
      <c r="C3" t="s">
        <v>9</v>
      </c>
      <c r="D3" t="s">
        <v>10</v>
      </c>
      <c r="E3" t="s">
        <v>66</v>
      </c>
      <c r="F3" t="s">
        <v>88</v>
      </c>
      <c r="G3" t="s">
        <v>653</v>
      </c>
      <c r="H3">
        <v>556</v>
      </c>
      <c r="I3">
        <v>206</v>
      </c>
      <c r="J3">
        <v>4379</v>
      </c>
      <c r="K3">
        <v>2423</v>
      </c>
      <c r="L3" t="s">
        <v>55</v>
      </c>
      <c r="M3">
        <v>630</v>
      </c>
      <c r="N3" t="s">
        <v>1451</v>
      </c>
      <c r="O3">
        <v>7.6894363568495702E-2</v>
      </c>
      <c r="P3">
        <v>0.90444195595371402</v>
      </c>
      <c r="Q3" t="s">
        <v>1452</v>
      </c>
      <c r="R3">
        <v>0.111000199640647</v>
      </c>
      <c r="S3">
        <v>0.87422639249351197</v>
      </c>
    </row>
    <row r="4" spans="1:19" x14ac:dyDescent="0.25">
      <c r="A4" t="s">
        <v>11</v>
      </c>
      <c r="B4" t="s">
        <v>12</v>
      </c>
      <c r="C4" t="s">
        <v>9</v>
      </c>
      <c r="D4" t="s">
        <v>10</v>
      </c>
      <c r="E4" t="s">
        <v>67</v>
      </c>
      <c r="F4" t="s">
        <v>88</v>
      </c>
      <c r="G4" t="s">
        <v>88</v>
      </c>
      <c r="H4">
        <v>74</v>
      </c>
      <c r="I4">
        <v>50</v>
      </c>
      <c r="J4">
        <v>4379</v>
      </c>
      <c r="K4">
        <v>2423</v>
      </c>
      <c r="L4" t="s">
        <v>55</v>
      </c>
      <c r="M4">
        <v>630</v>
      </c>
      <c r="N4" t="s">
        <v>1451</v>
      </c>
      <c r="O4">
        <v>1.8663680477790202E-2</v>
      </c>
      <c r="P4">
        <v>0.90444195595371402</v>
      </c>
      <c r="Q4" t="s">
        <v>1452</v>
      </c>
      <c r="R4">
        <v>1.47734078658415E-2</v>
      </c>
      <c r="S4">
        <v>0.87422639249351197</v>
      </c>
    </row>
    <row r="5" spans="1:19" x14ac:dyDescent="0.25">
      <c r="A5" t="s">
        <v>15</v>
      </c>
      <c r="B5" t="s">
        <v>16</v>
      </c>
      <c r="C5" t="s">
        <v>17</v>
      </c>
      <c r="D5" t="s">
        <v>18</v>
      </c>
      <c r="E5" t="s">
        <v>69</v>
      </c>
      <c r="F5" t="s">
        <v>88</v>
      </c>
      <c r="G5" t="s">
        <v>88</v>
      </c>
      <c r="H5">
        <v>360</v>
      </c>
      <c r="I5">
        <v>231</v>
      </c>
      <c r="J5">
        <v>17724</v>
      </c>
      <c r="K5">
        <v>11016</v>
      </c>
      <c r="L5" t="s">
        <v>57</v>
      </c>
      <c r="M5">
        <v>492</v>
      </c>
      <c r="N5" t="s">
        <v>1453</v>
      </c>
      <c r="O5">
        <v>2.0373963662021499E-2</v>
      </c>
      <c r="P5">
        <v>0.97159992944081897</v>
      </c>
      <c r="Q5" t="s">
        <v>1454</v>
      </c>
      <c r="R5">
        <v>1.97628458498024E-2</v>
      </c>
      <c r="S5">
        <v>0.97299077733860395</v>
      </c>
    </row>
    <row r="6" spans="1:19" x14ac:dyDescent="0.25">
      <c r="A6" t="s">
        <v>19</v>
      </c>
      <c r="B6" t="s">
        <v>1396</v>
      </c>
      <c r="C6" t="s">
        <v>17</v>
      </c>
      <c r="D6" t="s">
        <v>18</v>
      </c>
      <c r="E6" t="s">
        <v>70</v>
      </c>
      <c r="F6" t="s">
        <v>88</v>
      </c>
      <c r="G6" t="s">
        <v>88</v>
      </c>
      <c r="H6">
        <v>132</v>
      </c>
      <c r="I6">
        <v>91</v>
      </c>
      <c r="J6">
        <v>17724</v>
      </c>
      <c r="K6">
        <v>11016</v>
      </c>
      <c r="L6" t="s">
        <v>57</v>
      </c>
      <c r="M6">
        <v>492</v>
      </c>
      <c r="N6" t="s">
        <v>1453</v>
      </c>
      <c r="O6">
        <v>8.0261068971599903E-3</v>
      </c>
      <c r="P6">
        <v>0.97159992944081897</v>
      </c>
      <c r="Q6" t="s">
        <v>1454</v>
      </c>
      <c r="R6">
        <v>7.2463768115942004E-3</v>
      </c>
      <c r="S6">
        <v>0.97299077733860395</v>
      </c>
    </row>
    <row r="7" spans="1:19" x14ac:dyDescent="0.25">
      <c r="A7" t="s">
        <v>1428</v>
      </c>
      <c r="B7" t="s">
        <v>1424</v>
      </c>
      <c r="C7" t="s">
        <v>1426</v>
      </c>
      <c r="D7" t="s">
        <v>1078</v>
      </c>
      <c r="E7" t="s">
        <v>1420</v>
      </c>
      <c r="F7" t="s">
        <v>88</v>
      </c>
      <c r="G7" t="s">
        <v>653</v>
      </c>
      <c r="H7">
        <v>294</v>
      </c>
      <c r="I7">
        <v>184</v>
      </c>
      <c r="J7">
        <v>14601</v>
      </c>
      <c r="K7">
        <v>6769</v>
      </c>
      <c r="L7" t="s">
        <v>563</v>
      </c>
      <c r="M7">
        <v>294</v>
      </c>
      <c r="N7" t="s">
        <v>1455</v>
      </c>
      <c r="O7">
        <v>2.6463397094779201E-2</v>
      </c>
      <c r="P7">
        <v>0.97353660290522104</v>
      </c>
      <c r="Q7" t="s">
        <v>1456</v>
      </c>
      <c r="R7">
        <v>1.9738167170191299E-2</v>
      </c>
      <c r="S7">
        <v>0.98026183282980905</v>
      </c>
    </row>
    <row r="8" spans="1:19" x14ac:dyDescent="0.25">
      <c r="A8" t="s">
        <v>27</v>
      </c>
      <c r="B8" t="s">
        <v>28</v>
      </c>
      <c r="C8" t="s">
        <v>23</v>
      </c>
      <c r="D8" t="s">
        <v>24</v>
      </c>
      <c r="E8" t="s">
        <v>73</v>
      </c>
      <c r="F8" t="s">
        <v>88</v>
      </c>
      <c r="G8" t="s">
        <v>88</v>
      </c>
      <c r="H8">
        <v>216</v>
      </c>
      <c r="I8">
        <v>85</v>
      </c>
      <c r="J8">
        <v>50515</v>
      </c>
      <c r="K8">
        <v>15229</v>
      </c>
      <c r="L8" t="s">
        <v>59</v>
      </c>
      <c r="M8">
        <v>909</v>
      </c>
      <c r="N8" t="s">
        <v>1457</v>
      </c>
      <c r="O8">
        <v>5.4441811311086901E-3</v>
      </c>
      <c r="P8">
        <v>0.975405111125344</v>
      </c>
      <c r="Q8" t="s">
        <v>1458</v>
      </c>
      <c r="R8">
        <v>4.2003733665214697E-3</v>
      </c>
      <c r="S8">
        <v>0.98232342874922196</v>
      </c>
    </row>
    <row r="9" spans="1:19" x14ac:dyDescent="0.25">
      <c r="A9" t="s">
        <v>25</v>
      </c>
      <c r="B9" t="s">
        <v>26</v>
      </c>
      <c r="C9" t="s">
        <v>23</v>
      </c>
      <c r="D9" t="s">
        <v>24</v>
      </c>
      <c r="E9" t="s">
        <v>72</v>
      </c>
      <c r="F9" t="s">
        <v>88</v>
      </c>
      <c r="G9" t="s">
        <v>88</v>
      </c>
      <c r="H9">
        <v>568</v>
      </c>
      <c r="I9">
        <v>241</v>
      </c>
      <c r="J9">
        <v>50515</v>
      </c>
      <c r="K9">
        <v>15229</v>
      </c>
      <c r="L9" t="s">
        <v>59</v>
      </c>
      <c r="M9">
        <v>909</v>
      </c>
      <c r="N9" t="s">
        <v>1457</v>
      </c>
      <c r="O9">
        <v>1.5435854736437601E-2</v>
      </c>
      <c r="P9">
        <v>0.975405111125344</v>
      </c>
      <c r="Q9" t="s">
        <v>1458</v>
      </c>
      <c r="R9">
        <v>1.1045426260112E-2</v>
      </c>
      <c r="S9">
        <v>0.98232342874922196</v>
      </c>
    </row>
    <row r="10" spans="1:19" x14ac:dyDescent="0.25">
      <c r="A10" t="s">
        <v>21</v>
      </c>
      <c r="B10" t="s">
        <v>22</v>
      </c>
      <c r="C10" t="s">
        <v>23</v>
      </c>
      <c r="D10" t="s">
        <v>24</v>
      </c>
      <c r="E10" t="s">
        <v>71</v>
      </c>
      <c r="F10" t="s">
        <v>88</v>
      </c>
      <c r="G10" t="s">
        <v>653</v>
      </c>
      <c r="H10">
        <v>125</v>
      </c>
      <c r="I10">
        <v>58</v>
      </c>
      <c r="J10">
        <v>50515</v>
      </c>
      <c r="K10">
        <v>15229</v>
      </c>
      <c r="L10" t="s">
        <v>59</v>
      </c>
      <c r="M10">
        <v>909</v>
      </c>
      <c r="N10" t="s">
        <v>1457</v>
      </c>
      <c r="O10">
        <v>3.7148530071094599E-3</v>
      </c>
      <c r="P10">
        <v>0.975405111125344</v>
      </c>
      <c r="Q10" t="s">
        <v>1458</v>
      </c>
      <c r="R10">
        <v>2.4307716241443698E-3</v>
      </c>
      <c r="S10">
        <v>0.98232342874922196</v>
      </c>
    </row>
    <row r="11" spans="1:19" x14ac:dyDescent="0.25">
      <c r="A11" t="s">
        <v>40</v>
      </c>
      <c r="B11" t="s">
        <v>41</v>
      </c>
      <c r="C11" t="s">
        <v>42</v>
      </c>
      <c r="D11" t="s">
        <v>43</v>
      </c>
      <c r="E11" t="s">
        <v>74</v>
      </c>
      <c r="F11" t="s">
        <v>88</v>
      </c>
      <c r="G11" t="s">
        <v>88</v>
      </c>
      <c r="H11">
        <v>507</v>
      </c>
      <c r="I11">
        <v>337</v>
      </c>
      <c r="J11">
        <v>2804</v>
      </c>
      <c r="K11">
        <v>2066</v>
      </c>
      <c r="L11" t="s">
        <v>60</v>
      </c>
      <c r="M11">
        <v>903</v>
      </c>
      <c r="N11" t="s">
        <v>1459</v>
      </c>
      <c r="O11">
        <v>0.127121840814787</v>
      </c>
      <c r="P11">
        <v>0.77932855526216505</v>
      </c>
      <c r="Q11" t="s">
        <v>1460</v>
      </c>
      <c r="R11">
        <v>0.136768276234152</v>
      </c>
      <c r="S11">
        <v>0.75640679794982502</v>
      </c>
    </row>
    <row r="12" spans="1:19" x14ac:dyDescent="0.25">
      <c r="A12" t="s">
        <v>44</v>
      </c>
      <c r="B12" t="s">
        <v>45</v>
      </c>
      <c r="C12" t="s">
        <v>42</v>
      </c>
      <c r="D12" t="s">
        <v>43</v>
      </c>
      <c r="E12" t="s">
        <v>75</v>
      </c>
      <c r="F12" t="s">
        <v>88</v>
      </c>
      <c r="G12" t="s">
        <v>88</v>
      </c>
      <c r="H12">
        <v>396</v>
      </c>
      <c r="I12">
        <v>248</v>
      </c>
      <c r="J12">
        <v>2804</v>
      </c>
      <c r="K12">
        <v>2066</v>
      </c>
      <c r="L12" t="s">
        <v>60</v>
      </c>
      <c r="M12">
        <v>903</v>
      </c>
      <c r="N12" t="s">
        <v>1459</v>
      </c>
      <c r="O12">
        <v>9.3549603923047897E-2</v>
      </c>
      <c r="P12">
        <v>0.77932855526216505</v>
      </c>
      <c r="Q12" t="s">
        <v>1460</v>
      </c>
      <c r="R12">
        <v>0.106824925816024</v>
      </c>
      <c r="S12">
        <v>0.75640679794982502</v>
      </c>
    </row>
    <row r="13" spans="1:19" x14ac:dyDescent="0.25">
      <c r="A13" t="s">
        <v>35</v>
      </c>
      <c r="B13" t="s">
        <v>36</v>
      </c>
      <c r="C13" t="s">
        <v>31</v>
      </c>
      <c r="D13" t="s">
        <v>32</v>
      </c>
      <c r="E13" t="s">
        <v>78</v>
      </c>
      <c r="F13" t="s">
        <v>88</v>
      </c>
      <c r="G13" t="s">
        <v>88</v>
      </c>
      <c r="H13">
        <v>833</v>
      </c>
      <c r="I13">
        <v>342</v>
      </c>
      <c r="J13">
        <v>29327</v>
      </c>
      <c r="K13">
        <v>16849</v>
      </c>
      <c r="L13" t="s">
        <v>61</v>
      </c>
      <c r="M13">
        <v>1101</v>
      </c>
      <c r="N13" t="s">
        <v>1461</v>
      </c>
      <c r="O13">
        <v>1.9759648717356099E-2</v>
      </c>
      <c r="P13">
        <v>0.97348047145828498</v>
      </c>
      <c r="Q13" t="s">
        <v>1462</v>
      </c>
      <c r="R13">
        <v>2.7376100959642401E-2</v>
      </c>
      <c r="S13">
        <v>0.96381622190088101</v>
      </c>
    </row>
    <row r="14" spans="1:19" x14ac:dyDescent="0.25">
      <c r="A14" t="s">
        <v>29</v>
      </c>
      <c r="B14" t="s">
        <v>30</v>
      </c>
      <c r="C14" t="s">
        <v>31</v>
      </c>
      <c r="D14" t="s">
        <v>32</v>
      </c>
      <c r="E14" t="s">
        <v>76</v>
      </c>
      <c r="F14" t="s">
        <v>88</v>
      </c>
      <c r="G14" t="s">
        <v>88</v>
      </c>
      <c r="H14">
        <v>33</v>
      </c>
      <c r="I14">
        <v>28</v>
      </c>
      <c r="J14">
        <v>29327</v>
      </c>
      <c r="K14">
        <v>16849</v>
      </c>
      <c r="L14" t="s">
        <v>61</v>
      </c>
      <c r="M14">
        <v>1101</v>
      </c>
      <c r="N14" t="s">
        <v>1461</v>
      </c>
      <c r="O14">
        <v>1.61774901779524E-3</v>
      </c>
      <c r="P14">
        <v>0.97348047145828498</v>
      </c>
      <c r="Q14" t="s">
        <v>1462</v>
      </c>
      <c r="R14">
        <v>1.0845274089654299E-3</v>
      </c>
      <c r="S14">
        <v>0.96381622190088101</v>
      </c>
    </row>
    <row r="15" spans="1:19" x14ac:dyDescent="0.25">
      <c r="A15" t="s">
        <v>33</v>
      </c>
      <c r="B15" t="s">
        <v>34</v>
      </c>
      <c r="C15" t="s">
        <v>31</v>
      </c>
      <c r="D15" t="s">
        <v>32</v>
      </c>
      <c r="E15" t="s">
        <v>77</v>
      </c>
      <c r="F15" t="s">
        <v>88</v>
      </c>
      <c r="G15" t="s">
        <v>88</v>
      </c>
      <c r="H15">
        <v>235</v>
      </c>
      <c r="I15">
        <v>89</v>
      </c>
      <c r="J15">
        <v>29327</v>
      </c>
      <c r="K15">
        <v>16849</v>
      </c>
      <c r="L15" t="s">
        <v>61</v>
      </c>
      <c r="M15">
        <v>1101</v>
      </c>
      <c r="N15" t="s">
        <v>1461</v>
      </c>
      <c r="O15">
        <v>5.1421308065634401E-3</v>
      </c>
      <c r="P15">
        <v>0.97348047145828498</v>
      </c>
      <c r="Q15" t="s">
        <v>1462</v>
      </c>
      <c r="R15">
        <v>7.7231497305113696E-3</v>
      </c>
      <c r="S15">
        <v>0.96381622190088101</v>
      </c>
    </row>
    <row r="16" spans="1:19" x14ac:dyDescent="0.25">
      <c r="A16" t="s">
        <v>37</v>
      </c>
      <c r="B16" t="s">
        <v>1397</v>
      </c>
      <c r="C16" t="s">
        <v>38</v>
      </c>
      <c r="D16" t="s">
        <v>39</v>
      </c>
      <c r="E16" t="s">
        <v>79</v>
      </c>
      <c r="F16" t="s">
        <v>88</v>
      </c>
      <c r="G16" t="s">
        <v>653</v>
      </c>
      <c r="H16">
        <v>262</v>
      </c>
      <c r="I16">
        <v>164</v>
      </c>
      <c r="J16">
        <v>28329</v>
      </c>
      <c r="K16">
        <v>15659</v>
      </c>
      <c r="L16" t="s">
        <v>62</v>
      </c>
      <c r="M16">
        <v>262</v>
      </c>
      <c r="N16" t="s">
        <v>1491</v>
      </c>
      <c r="O16">
        <v>1.0364659040637001E-2</v>
      </c>
      <c r="P16">
        <v>0.98963534095936301</v>
      </c>
      <c r="Q16" t="s">
        <v>1492</v>
      </c>
      <c r="R16">
        <v>9.1637228498478596E-3</v>
      </c>
      <c r="S16">
        <v>0.99083627715015199</v>
      </c>
    </row>
    <row r="17" spans="1:19" x14ac:dyDescent="0.25">
      <c r="A17" t="s">
        <v>1429</v>
      </c>
      <c r="B17" t="s">
        <v>1427</v>
      </c>
      <c r="C17" t="s">
        <v>48</v>
      </c>
      <c r="D17" t="s">
        <v>49</v>
      </c>
      <c r="E17" t="s">
        <v>1422</v>
      </c>
      <c r="F17" t="s">
        <v>88</v>
      </c>
      <c r="G17" t="s">
        <v>653</v>
      </c>
      <c r="H17">
        <v>105</v>
      </c>
      <c r="I17">
        <v>69</v>
      </c>
      <c r="J17">
        <v>21877</v>
      </c>
      <c r="K17">
        <v>10832</v>
      </c>
      <c r="L17" t="s">
        <v>63</v>
      </c>
      <c r="M17">
        <v>283</v>
      </c>
      <c r="N17" t="s">
        <v>1463</v>
      </c>
      <c r="O17">
        <v>6.2727272727272701E-3</v>
      </c>
      <c r="P17">
        <v>0.98472727272727301</v>
      </c>
      <c r="Q17" t="s">
        <v>1464</v>
      </c>
      <c r="R17">
        <v>4.7382671480144401E-3</v>
      </c>
      <c r="S17">
        <v>0.98722924187725603</v>
      </c>
    </row>
    <row r="18" spans="1:19" x14ac:dyDescent="0.25">
      <c r="A18" t="s">
        <v>46</v>
      </c>
      <c r="B18" t="s">
        <v>47</v>
      </c>
      <c r="C18" t="s">
        <v>48</v>
      </c>
      <c r="D18" t="s">
        <v>49</v>
      </c>
      <c r="E18" t="s">
        <v>81</v>
      </c>
      <c r="F18" t="s">
        <v>88</v>
      </c>
      <c r="G18" t="s">
        <v>88</v>
      </c>
      <c r="H18">
        <v>50</v>
      </c>
      <c r="I18">
        <v>16</v>
      </c>
      <c r="J18">
        <v>21877</v>
      </c>
      <c r="K18">
        <v>10832</v>
      </c>
      <c r="L18" t="s">
        <v>63</v>
      </c>
      <c r="M18">
        <v>283</v>
      </c>
      <c r="N18" t="s">
        <v>1463</v>
      </c>
      <c r="O18">
        <v>1.4545454545454499E-3</v>
      </c>
      <c r="P18">
        <v>0.98472727272727301</v>
      </c>
      <c r="Q18" t="s">
        <v>1464</v>
      </c>
      <c r="R18">
        <v>2.2563176895306898E-3</v>
      </c>
      <c r="S18">
        <v>0.98722924187725603</v>
      </c>
    </row>
    <row r="19" spans="1:19" x14ac:dyDescent="0.25">
      <c r="A19" t="s">
        <v>50</v>
      </c>
      <c r="B19" t="s">
        <v>51</v>
      </c>
      <c r="C19" t="s">
        <v>48</v>
      </c>
      <c r="D19" t="s">
        <v>49</v>
      </c>
      <c r="E19" t="s">
        <v>82</v>
      </c>
      <c r="F19" t="s">
        <v>88</v>
      </c>
      <c r="G19" t="s">
        <v>88</v>
      </c>
      <c r="H19">
        <v>128</v>
      </c>
      <c r="I19">
        <v>83</v>
      </c>
      <c r="J19">
        <v>21877</v>
      </c>
      <c r="K19">
        <v>10832</v>
      </c>
      <c r="L19" t="s">
        <v>63</v>
      </c>
      <c r="M19">
        <v>283</v>
      </c>
      <c r="N19" t="s">
        <v>1463</v>
      </c>
      <c r="O19">
        <v>7.5454545454545401E-3</v>
      </c>
      <c r="P19">
        <v>0.98472727272727301</v>
      </c>
      <c r="Q19" t="s">
        <v>1464</v>
      </c>
      <c r="R19">
        <v>5.77617328519856E-3</v>
      </c>
      <c r="S19">
        <v>0.98722924187725603</v>
      </c>
    </row>
    <row r="20" spans="1:19" x14ac:dyDescent="0.25">
      <c r="A20" t="s">
        <v>52</v>
      </c>
      <c r="B20" t="s">
        <v>1398</v>
      </c>
      <c r="C20" t="s">
        <v>1390</v>
      </c>
      <c r="D20" t="s">
        <v>53</v>
      </c>
      <c r="E20" t="s">
        <v>83</v>
      </c>
      <c r="F20" t="s">
        <v>88</v>
      </c>
      <c r="G20" t="s">
        <v>88</v>
      </c>
      <c r="H20">
        <v>234</v>
      </c>
      <c r="I20">
        <v>95</v>
      </c>
      <c r="J20">
        <v>7038</v>
      </c>
      <c r="K20">
        <v>4096</v>
      </c>
      <c r="L20" t="s">
        <v>64</v>
      </c>
      <c r="M20">
        <v>234</v>
      </c>
      <c r="N20" t="s">
        <v>1465</v>
      </c>
      <c r="O20">
        <v>2.2667621092817902E-2</v>
      </c>
      <c r="P20">
        <v>0.97733237890718205</v>
      </c>
      <c r="Q20" t="s">
        <v>1466</v>
      </c>
      <c r="R20">
        <v>3.21782178217822E-2</v>
      </c>
      <c r="S20">
        <v>0.96782178217821802</v>
      </c>
    </row>
  </sheetData>
  <sheetProtection algorithmName="SHA-512" hashValue="odpiPc0ss9oOnEyoiOeWRr+Zn5jjD7R+QEtoTom/DfZcDtkAvmsobevjHMhlKW71J9HjlYwK3KF60PdHttSzVQ==" saltValue="iCl35nabQhn2jfBYlC192A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8FDE4-178F-42AC-8FDA-222B0F56AF46}">
  <dimension ref="A1:Z320"/>
  <sheetViews>
    <sheetView workbookViewId="0"/>
  </sheetViews>
  <sheetFormatPr defaultRowHeight="15" x14ac:dyDescent="0.25"/>
  <cols>
    <col min="1" max="1" width="8.28515625" bestFit="1" customWidth="1"/>
    <col min="2" max="2" width="43" bestFit="1" customWidth="1"/>
    <col min="3" max="3" width="31.5703125" bestFit="1" customWidth="1"/>
    <col min="4" max="4" width="40" bestFit="1" customWidth="1"/>
    <col min="5" max="5" width="35.140625" bestFit="1" customWidth="1"/>
    <col min="6" max="6" width="31.140625" bestFit="1" customWidth="1"/>
    <col min="7" max="7" width="31.5703125" bestFit="1" customWidth="1"/>
    <col min="8" max="8" width="38.5703125" bestFit="1" customWidth="1"/>
    <col min="9" max="9" width="35" bestFit="1" customWidth="1"/>
    <col min="10" max="10" width="14.140625" bestFit="1" customWidth="1"/>
    <col min="11" max="11" width="17.140625" bestFit="1" customWidth="1"/>
    <col min="12" max="12" width="17.85546875" bestFit="1" customWidth="1"/>
    <col min="13" max="13" width="15.5703125" bestFit="1" customWidth="1"/>
    <col min="14" max="15" width="24.42578125" customWidth="1"/>
    <col min="16" max="16" width="24.42578125" bestFit="1" customWidth="1"/>
    <col min="17" max="17" width="14.140625" bestFit="1" customWidth="1"/>
    <col min="18" max="18" width="17.140625" bestFit="1" customWidth="1"/>
    <col min="19" max="19" width="17.85546875" bestFit="1" customWidth="1"/>
    <col min="20" max="20" width="15.5703125" bestFit="1" customWidth="1"/>
    <col min="21" max="22" width="24.42578125" bestFit="1" customWidth="1"/>
    <col min="23" max="23" width="48.28515625" bestFit="1" customWidth="1"/>
    <col min="24" max="25" width="57.28515625" bestFit="1" customWidth="1"/>
    <col min="26" max="26" width="17.85546875" customWidth="1"/>
    <col min="27" max="27" width="17.85546875" bestFit="1" customWidth="1"/>
    <col min="28" max="28" width="9.42578125" bestFit="1" customWidth="1"/>
    <col min="29" max="29" width="17.28515625" bestFit="1" customWidth="1"/>
    <col min="30" max="30" width="43" bestFit="1" customWidth="1"/>
    <col min="31" max="31" width="17.85546875" bestFit="1" customWidth="1"/>
    <col min="32" max="32" width="43" bestFit="1" customWidth="1"/>
    <col min="33" max="33" width="15.7109375" bestFit="1" customWidth="1"/>
  </cols>
  <sheetData>
    <row r="1" spans="1:15" x14ac:dyDescent="0.25">
      <c r="A1" t="s">
        <v>4</v>
      </c>
      <c r="B1" t="s">
        <v>1278</v>
      </c>
      <c r="C1" t="s">
        <v>1415</v>
      </c>
      <c r="D1" t="s">
        <v>1416</v>
      </c>
      <c r="E1" t="s">
        <v>1408</v>
      </c>
      <c r="F1" t="s">
        <v>1409</v>
      </c>
      <c r="G1" t="s">
        <v>1417</v>
      </c>
      <c r="H1" t="s">
        <v>1418</v>
      </c>
      <c r="I1" t="s">
        <v>1381</v>
      </c>
      <c r="J1" t="s">
        <v>1286</v>
      </c>
      <c r="K1" t="s">
        <v>1290</v>
      </c>
      <c r="L1" t="s">
        <v>1291</v>
      </c>
      <c r="M1" t="s">
        <v>1299</v>
      </c>
      <c r="N1" t="s">
        <v>1301</v>
      </c>
      <c r="O1" t="s">
        <v>1302</v>
      </c>
    </row>
    <row r="2" spans="1:15" x14ac:dyDescent="0.25">
      <c r="A2" t="s">
        <v>260</v>
      </c>
      <c r="B2" t="s">
        <v>664</v>
      </c>
      <c r="C2">
        <v>32686.112391702925</v>
      </c>
      <c r="D2">
        <v>0</v>
      </c>
      <c r="E2">
        <v>15634.329605216173</v>
      </c>
      <c r="F2">
        <v>21489.83689504107</v>
      </c>
      <c r="G2">
        <v>69810.278891960173</v>
      </c>
      <c r="H2">
        <v>69810.278891960173</v>
      </c>
      <c r="I2">
        <v>0</v>
      </c>
      <c r="J2">
        <v>538.68521424114203</v>
      </c>
      <c r="K2">
        <v>0</v>
      </c>
      <c r="L2">
        <v>69271.593677719036</v>
      </c>
      <c r="M2">
        <v>737</v>
      </c>
      <c r="N2">
        <v>38</v>
      </c>
      <c r="O2">
        <v>5.1560379918588903E-2</v>
      </c>
    </row>
    <row r="3" spans="1:15" x14ac:dyDescent="0.25">
      <c r="A3" t="s">
        <v>262</v>
      </c>
      <c r="B3" t="s">
        <v>666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98</v>
      </c>
      <c r="N3">
        <v>6</v>
      </c>
      <c r="O3">
        <v>6.1224489795918401E-2</v>
      </c>
    </row>
    <row r="4" spans="1:15" x14ac:dyDescent="0.25">
      <c r="A4" t="s">
        <v>89</v>
      </c>
      <c r="B4" t="s">
        <v>668</v>
      </c>
      <c r="C4">
        <v>229662.94759433364</v>
      </c>
      <c r="D4">
        <v>0</v>
      </c>
      <c r="E4">
        <v>109851.73696296627</v>
      </c>
      <c r="F4">
        <v>150994.38028884117</v>
      </c>
      <c r="G4">
        <v>490509.06484614115</v>
      </c>
      <c r="H4">
        <v>444858.98876338545</v>
      </c>
      <c r="I4">
        <v>45650.076082755695</v>
      </c>
      <c r="J4">
        <v>3432.7174088499532</v>
      </c>
      <c r="K4">
        <v>0</v>
      </c>
      <c r="L4">
        <v>441426.27135453548</v>
      </c>
      <c r="M4">
        <v>2828</v>
      </c>
      <c r="N4">
        <v>267</v>
      </c>
      <c r="O4">
        <v>9.4413012729844398E-2</v>
      </c>
    </row>
    <row r="5" spans="1:15" x14ac:dyDescent="0.25">
      <c r="A5" t="s">
        <v>91</v>
      </c>
      <c r="B5" t="s">
        <v>670</v>
      </c>
      <c r="C5">
        <v>484270.55990865093</v>
      </c>
      <c r="D5">
        <v>0</v>
      </c>
      <c r="E5">
        <v>231634.93599307127</v>
      </c>
      <c r="F5">
        <v>318388.89926073991</v>
      </c>
      <c r="G5">
        <v>1034294.3951624621</v>
      </c>
      <c r="H5">
        <v>884982.87841095286</v>
      </c>
      <c r="I5">
        <v>149311.51675150928</v>
      </c>
      <c r="J5">
        <v>6828.8968189675852</v>
      </c>
      <c r="K5">
        <v>0</v>
      </c>
      <c r="L5">
        <v>878153.98159198533</v>
      </c>
      <c r="M5">
        <v>5915</v>
      </c>
      <c r="N5">
        <v>563</v>
      </c>
      <c r="O5">
        <v>9.5181741335587502E-2</v>
      </c>
    </row>
    <row r="6" spans="1:15" x14ac:dyDescent="0.25">
      <c r="A6" t="s">
        <v>310</v>
      </c>
      <c r="B6" t="s">
        <v>672</v>
      </c>
      <c r="C6">
        <v>43950.743131969139</v>
      </c>
      <c r="D6">
        <v>0</v>
      </c>
      <c r="E6">
        <v>21364.210085989966</v>
      </c>
      <c r="F6">
        <v>29459.828465911669</v>
      </c>
      <c r="G6">
        <v>94774.781683870766</v>
      </c>
      <c r="H6">
        <v>94774.781683870766</v>
      </c>
      <c r="I6">
        <v>0</v>
      </c>
      <c r="J6">
        <v>731.32172491453969</v>
      </c>
      <c r="K6">
        <v>0</v>
      </c>
      <c r="L6">
        <v>94043.459958956228</v>
      </c>
      <c r="M6">
        <v>493</v>
      </c>
      <c r="N6">
        <v>48</v>
      </c>
      <c r="O6">
        <v>9.7363083164300201E-2</v>
      </c>
    </row>
    <row r="7" spans="1:15" x14ac:dyDescent="0.25">
      <c r="A7" t="s">
        <v>93</v>
      </c>
      <c r="B7" t="s">
        <v>676</v>
      </c>
      <c r="C7">
        <v>122142.84104267927</v>
      </c>
      <c r="D7">
        <v>0</v>
      </c>
      <c r="E7">
        <v>0</v>
      </c>
      <c r="F7">
        <v>0</v>
      </c>
      <c r="G7">
        <v>122142.84104267927</v>
      </c>
      <c r="H7">
        <v>114194.48287721067</v>
      </c>
      <c r="I7">
        <v>7948.3581654685986</v>
      </c>
      <c r="J7">
        <v>881.17223495222481</v>
      </c>
      <c r="K7">
        <v>0</v>
      </c>
      <c r="L7">
        <v>113313.31064225844</v>
      </c>
      <c r="M7">
        <v>3975</v>
      </c>
      <c r="N7">
        <v>142</v>
      </c>
      <c r="O7">
        <v>3.57232704402516E-2</v>
      </c>
    </row>
    <row r="8" spans="1:15" x14ac:dyDescent="0.25">
      <c r="A8" t="s">
        <v>95</v>
      </c>
      <c r="B8" t="s">
        <v>678</v>
      </c>
      <c r="C8">
        <v>774631.84770095581</v>
      </c>
      <c r="D8">
        <v>0</v>
      </c>
      <c r="E8">
        <v>449482.95126227324</v>
      </c>
      <c r="F8">
        <v>619807.17233359464</v>
      </c>
      <c r="G8">
        <v>1843921.9712968238</v>
      </c>
      <c r="H8">
        <v>1843921.9712968238</v>
      </c>
      <c r="I8">
        <v>0</v>
      </c>
      <c r="J8">
        <v>14228.470619480266</v>
      </c>
      <c r="K8">
        <v>0</v>
      </c>
      <c r="L8">
        <v>1829693.5006773435</v>
      </c>
      <c r="M8">
        <v>15822</v>
      </c>
      <c r="N8">
        <v>820</v>
      </c>
      <c r="O8">
        <v>5.1826570597901703E-2</v>
      </c>
    </row>
    <row r="9" spans="1:15" x14ac:dyDescent="0.25">
      <c r="A9" t="s">
        <v>97</v>
      </c>
      <c r="B9" t="s">
        <v>680</v>
      </c>
      <c r="C9">
        <v>1159496.8290530401</v>
      </c>
      <c r="D9">
        <v>0</v>
      </c>
      <c r="E9">
        <v>690331.03840355063</v>
      </c>
      <c r="F9">
        <v>951920.70730477036</v>
      </c>
      <c r="G9">
        <v>2801748.5747613609</v>
      </c>
      <c r="H9">
        <v>2801748.5747613609</v>
      </c>
      <c r="I9">
        <v>0</v>
      </c>
      <c r="J9">
        <v>21619.459987846501</v>
      </c>
      <c r="K9">
        <v>0</v>
      </c>
      <c r="L9">
        <v>2780129.1147735142</v>
      </c>
      <c r="M9">
        <v>22393</v>
      </c>
      <c r="N9">
        <v>1348</v>
      </c>
      <c r="O9">
        <v>6.0197383110793597E-2</v>
      </c>
    </row>
    <row r="10" spans="1:15" x14ac:dyDescent="0.25">
      <c r="A10" t="s">
        <v>56</v>
      </c>
      <c r="B10" t="s">
        <v>681</v>
      </c>
      <c r="C10">
        <v>1235442.9339724761</v>
      </c>
      <c r="D10">
        <v>0</v>
      </c>
      <c r="E10">
        <v>786103.3813928935</v>
      </c>
      <c r="F10">
        <v>1083992.9248196483</v>
      </c>
      <c r="G10">
        <v>3105539.2401850177</v>
      </c>
      <c r="H10">
        <v>3105539.2401850177</v>
      </c>
      <c r="I10">
        <v>0</v>
      </c>
      <c r="J10">
        <v>23963.635405645164</v>
      </c>
      <c r="K10">
        <v>0</v>
      </c>
      <c r="L10">
        <v>3081575.6047793725</v>
      </c>
      <c r="M10">
        <v>12469</v>
      </c>
      <c r="N10">
        <v>1358</v>
      </c>
      <c r="O10">
        <v>0.108910586044083</v>
      </c>
    </row>
    <row r="11" spans="1:15" x14ac:dyDescent="0.25">
      <c r="A11" t="s">
        <v>99</v>
      </c>
      <c r="B11" t="s">
        <v>683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16</v>
      </c>
      <c r="N11">
        <v>1</v>
      </c>
      <c r="O11">
        <v>6.25E-2</v>
      </c>
    </row>
    <row r="12" spans="1:15" x14ac:dyDescent="0.25">
      <c r="A12" t="s">
        <v>264</v>
      </c>
      <c r="B12" t="s">
        <v>685</v>
      </c>
      <c r="C12">
        <v>1976649.638845613</v>
      </c>
      <c r="D12">
        <v>0</v>
      </c>
      <c r="E12">
        <v>1283455.0316703124</v>
      </c>
      <c r="F12">
        <v>1764145.9524758051</v>
      </c>
      <c r="G12">
        <v>5024250.6229917305</v>
      </c>
      <c r="H12">
        <v>4493752.136908289</v>
      </c>
      <c r="I12">
        <v>530498.48608344141</v>
      </c>
      <c r="J12">
        <v>34675.664831011272</v>
      </c>
      <c r="K12">
        <v>0</v>
      </c>
      <c r="L12">
        <v>4459076.4720772775</v>
      </c>
      <c r="M12">
        <v>24134</v>
      </c>
      <c r="N12">
        <v>2298</v>
      </c>
      <c r="O12">
        <v>9.5218364133587502E-2</v>
      </c>
    </row>
    <row r="13" spans="1:15" x14ac:dyDescent="0.25">
      <c r="A13" t="s">
        <v>101</v>
      </c>
      <c r="B13" t="s">
        <v>702</v>
      </c>
      <c r="C13">
        <v>226621.01927421574</v>
      </c>
      <c r="D13">
        <v>0</v>
      </c>
      <c r="E13">
        <v>0</v>
      </c>
      <c r="F13">
        <v>0</v>
      </c>
      <c r="G13">
        <v>226621.01927421574</v>
      </c>
      <c r="H13">
        <v>226621.01927421574</v>
      </c>
      <c r="I13">
        <v>0</v>
      </c>
      <c r="J13">
        <v>1748.702257846676</v>
      </c>
      <c r="K13">
        <v>0</v>
      </c>
      <c r="L13">
        <v>224872.31701636905</v>
      </c>
      <c r="M13">
        <v>7408</v>
      </c>
      <c r="N13">
        <v>255</v>
      </c>
      <c r="O13">
        <v>3.4422246220302398E-2</v>
      </c>
    </row>
    <row r="14" spans="1:15" x14ac:dyDescent="0.25">
      <c r="A14" t="s">
        <v>103</v>
      </c>
      <c r="B14" t="s">
        <v>706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208</v>
      </c>
      <c r="N14">
        <v>7</v>
      </c>
      <c r="O14">
        <v>3.3653846153846201E-2</v>
      </c>
    </row>
    <row r="15" spans="1:15" x14ac:dyDescent="0.25">
      <c r="A15" t="s">
        <v>330</v>
      </c>
      <c r="B15" t="s">
        <v>708</v>
      </c>
      <c r="C15">
        <v>151388.31002472932</v>
      </c>
      <c r="D15">
        <v>0</v>
      </c>
      <c r="E15">
        <v>72411.631855738116</v>
      </c>
      <c r="F15">
        <v>99531.876145453367</v>
      </c>
      <c r="G15">
        <v>323331.81802592077</v>
      </c>
      <c r="H15">
        <v>323331.81802592077</v>
      </c>
      <c r="I15">
        <v>0</v>
      </c>
      <c r="J15">
        <v>2494.9630975379214</v>
      </c>
      <c r="K15">
        <v>0</v>
      </c>
      <c r="L15">
        <v>320836.85492838285</v>
      </c>
      <c r="M15">
        <v>1554</v>
      </c>
      <c r="N15">
        <v>176</v>
      </c>
      <c r="O15">
        <v>0.113256113256113</v>
      </c>
    </row>
    <row r="16" spans="1:15" x14ac:dyDescent="0.25">
      <c r="A16" t="s">
        <v>105</v>
      </c>
      <c r="B16" t="s">
        <v>712</v>
      </c>
      <c r="C16">
        <v>159989.91854886161</v>
      </c>
      <c r="D16">
        <v>0</v>
      </c>
      <c r="E16">
        <v>76525.929120268702</v>
      </c>
      <c r="F16">
        <v>105187.09638099048</v>
      </c>
      <c r="G16">
        <v>341702.94405012077</v>
      </c>
      <c r="H16">
        <v>341702.94405012077</v>
      </c>
      <c r="I16">
        <v>0</v>
      </c>
      <c r="J16">
        <v>2636.7223644434844</v>
      </c>
      <c r="K16">
        <v>0</v>
      </c>
      <c r="L16">
        <v>339066.2216856773</v>
      </c>
      <c r="M16">
        <v>1636</v>
      </c>
      <c r="N16">
        <v>186</v>
      </c>
      <c r="O16">
        <v>0.113691931540342</v>
      </c>
    </row>
    <row r="17" spans="1:15" x14ac:dyDescent="0.25">
      <c r="A17" t="s">
        <v>66</v>
      </c>
      <c r="B17" t="s">
        <v>713</v>
      </c>
      <c r="C17">
        <v>63384.889400073451</v>
      </c>
      <c r="D17">
        <v>0</v>
      </c>
      <c r="E17">
        <v>35443.697049988994</v>
      </c>
      <c r="F17">
        <v>48718.383697589961</v>
      </c>
      <c r="G17">
        <v>147546.97014765241</v>
      </c>
      <c r="H17">
        <v>126370.95543755122</v>
      </c>
      <c r="I17">
        <v>21176.014710101183</v>
      </c>
      <c r="J17">
        <v>975.13097332110772</v>
      </c>
      <c r="K17">
        <v>0</v>
      </c>
      <c r="L17">
        <v>125395.82446423011</v>
      </c>
      <c r="M17">
        <v>572</v>
      </c>
      <c r="N17">
        <v>74</v>
      </c>
      <c r="O17">
        <v>0.12889429405648201</v>
      </c>
    </row>
    <row r="18" spans="1:15" x14ac:dyDescent="0.25">
      <c r="A18" t="s">
        <v>107</v>
      </c>
      <c r="B18" t="s">
        <v>717</v>
      </c>
      <c r="C18">
        <v>750920.4241567537</v>
      </c>
      <c r="D18">
        <v>0</v>
      </c>
      <c r="E18">
        <v>396618.2563007471</v>
      </c>
      <c r="F18">
        <v>545163.23070577846</v>
      </c>
      <c r="G18">
        <v>1692701.9111632793</v>
      </c>
      <c r="H18">
        <v>1561253.713321581</v>
      </c>
      <c r="I18">
        <v>131448.1978416983</v>
      </c>
      <c r="J18">
        <v>12047.284503002789</v>
      </c>
      <c r="K18">
        <v>0</v>
      </c>
      <c r="L18">
        <v>1549206.4288185781</v>
      </c>
      <c r="M18">
        <v>11148</v>
      </c>
      <c r="N18">
        <v>873</v>
      </c>
      <c r="O18">
        <v>7.8310010764262597E-2</v>
      </c>
    </row>
    <row r="19" spans="1:15" x14ac:dyDescent="0.25">
      <c r="A19" t="s">
        <v>266</v>
      </c>
      <c r="B19" t="s">
        <v>719</v>
      </c>
      <c r="C19">
        <v>1593878.0595217242</v>
      </c>
      <c r="D19">
        <v>0</v>
      </c>
      <c r="E19">
        <v>1001419.9541867417</v>
      </c>
      <c r="F19">
        <v>1376480.6053297359</v>
      </c>
      <c r="G19">
        <v>3971778.6190382019</v>
      </c>
      <c r="H19">
        <v>3415731.9804688077</v>
      </c>
      <c r="I19">
        <v>556046.63856939413</v>
      </c>
      <c r="J19">
        <v>26357.211901943392</v>
      </c>
      <c r="K19">
        <v>0</v>
      </c>
      <c r="L19">
        <v>3389374.7685668645</v>
      </c>
      <c r="M19">
        <v>17019</v>
      </c>
      <c r="N19">
        <v>1853</v>
      </c>
      <c r="O19">
        <v>0.108878312474293</v>
      </c>
    </row>
    <row r="20" spans="1:15" x14ac:dyDescent="0.25">
      <c r="A20" t="s">
        <v>338</v>
      </c>
      <c r="B20" t="s">
        <v>723</v>
      </c>
      <c r="C20">
        <v>247222.93011732632</v>
      </c>
      <c r="D20">
        <v>0</v>
      </c>
      <c r="E20">
        <v>120173.68173369349</v>
      </c>
      <c r="F20">
        <v>165711.53512075311</v>
      </c>
      <c r="G20">
        <v>533108.14697177289</v>
      </c>
      <c r="H20">
        <v>533108.14697177289</v>
      </c>
      <c r="I20">
        <v>0</v>
      </c>
      <c r="J20">
        <v>4113.6847026442847</v>
      </c>
      <c r="K20">
        <v>0</v>
      </c>
      <c r="L20">
        <v>528994.46226912865</v>
      </c>
      <c r="M20">
        <v>2856</v>
      </c>
      <c r="N20">
        <v>264</v>
      </c>
      <c r="O20">
        <v>9.2436974789915999E-2</v>
      </c>
    </row>
    <row r="21" spans="1:15" x14ac:dyDescent="0.25">
      <c r="A21" t="s">
        <v>268</v>
      </c>
      <c r="B21" t="s">
        <v>725</v>
      </c>
      <c r="C21">
        <v>753500.90671399352</v>
      </c>
      <c r="D21">
        <v>0</v>
      </c>
      <c r="E21">
        <v>398469.69006978604</v>
      </c>
      <c r="F21">
        <v>547708.07981177024</v>
      </c>
      <c r="G21">
        <v>1699678.6765955498</v>
      </c>
      <c r="H21">
        <v>1471568.8307735047</v>
      </c>
      <c r="I21">
        <v>228109.84582204511</v>
      </c>
      <c r="J21">
        <v>11355.238561682734</v>
      </c>
      <c r="K21">
        <v>0</v>
      </c>
      <c r="L21">
        <v>1460213.592211822</v>
      </c>
      <c r="M21">
        <v>6241</v>
      </c>
      <c r="N21">
        <v>876</v>
      </c>
      <c r="O21">
        <v>0.14036212145489499</v>
      </c>
    </row>
    <row r="22" spans="1:15" x14ac:dyDescent="0.25">
      <c r="A22" t="s">
        <v>270</v>
      </c>
      <c r="B22" t="s">
        <v>737</v>
      </c>
      <c r="C22">
        <v>38707.238358595554</v>
      </c>
      <c r="D22">
        <v>0</v>
      </c>
      <c r="E22">
        <v>18514.337690387576</v>
      </c>
      <c r="F22">
        <v>25448.491059917054</v>
      </c>
      <c r="G22">
        <v>82670.067108900184</v>
      </c>
      <c r="H22">
        <v>82670.067108900184</v>
      </c>
      <c r="I22">
        <v>0</v>
      </c>
      <c r="J22">
        <v>637.91670107503649</v>
      </c>
      <c r="K22">
        <v>0</v>
      </c>
      <c r="L22">
        <v>82032.150407825146</v>
      </c>
      <c r="M22">
        <v>597</v>
      </c>
      <c r="N22">
        <v>45</v>
      </c>
      <c r="O22">
        <v>7.5376884422110602E-2</v>
      </c>
    </row>
    <row r="23" spans="1:15" x14ac:dyDescent="0.25">
      <c r="A23" t="s">
        <v>348</v>
      </c>
      <c r="B23" t="s">
        <v>739</v>
      </c>
      <c r="C23">
        <v>186654.90497367189</v>
      </c>
      <c r="D23">
        <v>0</v>
      </c>
      <c r="E23">
        <v>89280.250640313447</v>
      </c>
      <c r="F23">
        <v>122718.27911115554</v>
      </c>
      <c r="G23">
        <v>398653.43472514086</v>
      </c>
      <c r="H23">
        <v>398653.43472514086</v>
      </c>
      <c r="I23">
        <v>0</v>
      </c>
      <c r="J23">
        <v>3076.1760918507316</v>
      </c>
      <c r="K23">
        <v>0</v>
      </c>
      <c r="L23">
        <v>395577.25863329013</v>
      </c>
      <c r="M23">
        <v>2035</v>
      </c>
      <c r="N23">
        <v>217</v>
      </c>
      <c r="O23">
        <v>0.106633906633907</v>
      </c>
    </row>
    <row r="24" spans="1:15" x14ac:dyDescent="0.25">
      <c r="A24" t="s">
        <v>350</v>
      </c>
      <c r="B24" t="s">
        <v>741</v>
      </c>
      <c r="C24">
        <v>14622.734491024985</v>
      </c>
      <c r="D24">
        <v>0</v>
      </c>
      <c r="E24">
        <v>6994.3053497019737</v>
      </c>
      <c r="F24">
        <v>9613.874400413104</v>
      </c>
      <c r="G24">
        <v>31230.914241140064</v>
      </c>
      <c r="H24">
        <v>30782.532684943802</v>
      </c>
      <c r="I24">
        <v>448.38155619626195</v>
      </c>
      <c r="J24">
        <v>237.53085473181827</v>
      </c>
      <c r="K24">
        <v>0</v>
      </c>
      <c r="L24">
        <v>30545.001830211982</v>
      </c>
      <c r="M24">
        <v>240</v>
      </c>
      <c r="N24">
        <v>17</v>
      </c>
      <c r="O24">
        <v>7.0833333333333304E-2</v>
      </c>
    </row>
    <row r="25" spans="1:15" x14ac:dyDescent="0.25">
      <c r="A25" t="s">
        <v>111</v>
      </c>
      <c r="B25" t="s">
        <v>751</v>
      </c>
      <c r="C25">
        <v>50749.490292380833</v>
      </c>
      <c r="D25">
        <v>0</v>
      </c>
      <c r="E25">
        <v>24274.353860730382</v>
      </c>
      <c r="F25">
        <v>33365.799389669024</v>
      </c>
      <c r="G25">
        <v>108389.64354278025</v>
      </c>
      <c r="H25">
        <v>91460.415316674509</v>
      </c>
      <c r="I25">
        <v>16929.228226105741</v>
      </c>
      <c r="J25">
        <v>705.74669234161627</v>
      </c>
      <c r="K25">
        <v>0</v>
      </c>
      <c r="L25">
        <v>90754.668624332888</v>
      </c>
      <c r="M25">
        <v>542</v>
      </c>
      <c r="N25">
        <v>59</v>
      </c>
      <c r="O25">
        <v>0.10885608856088599</v>
      </c>
    </row>
    <row r="26" spans="1:15" x14ac:dyDescent="0.25">
      <c r="A26" t="s">
        <v>360</v>
      </c>
      <c r="B26" t="s">
        <v>757</v>
      </c>
      <c r="C26">
        <v>84467.834456753146</v>
      </c>
      <c r="D26">
        <v>0</v>
      </c>
      <c r="E26">
        <v>41059.341259011955</v>
      </c>
      <c r="F26">
        <v>56618.107832923997</v>
      </c>
      <c r="G26">
        <v>182145.2835486891</v>
      </c>
      <c r="H26">
        <v>182145.2835486891</v>
      </c>
      <c r="I26">
        <v>0</v>
      </c>
      <c r="J26">
        <v>1405.5089400701306</v>
      </c>
      <c r="K26">
        <v>0</v>
      </c>
      <c r="L26">
        <v>180739.77460861896</v>
      </c>
      <c r="M26">
        <v>1091</v>
      </c>
      <c r="N26">
        <v>95</v>
      </c>
      <c r="O26">
        <v>8.7076076993583898E-2</v>
      </c>
    </row>
    <row r="27" spans="1:15" x14ac:dyDescent="0.25">
      <c r="A27" t="s">
        <v>115</v>
      </c>
      <c r="B27" t="s">
        <v>767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111</v>
      </c>
      <c r="N27">
        <v>2</v>
      </c>
      <c r="O27">
        <v>1.8018018018018001E-2</v>
      </c>
    </row>
    <row r="28" spans="1:15" x14ac:dyDescent="0.25">
      <c r="A28" t="s">
        <v>374</v>
      </c>
      <c r="B28" t="s">
        <v>775</v>
      </c>
      <c r="C28">
        <v>290734.36811567342</v>
      </c>
      <c r="D28">
        <v>0</v>
      </c>
      <c r="E28">
        <v>139063.24754113331</v>
      </c>
      <c r="F28">
        <v>191146.44396115461</v>
      </c>
      <c r="G28">
        <v>620944.05961796129</v>
      </c>
      <c r="H28">
        <v>580087.03907055233</v>
      </c>
      <c r="I28">
        <v>40857.02054740896</v>
      </c>
      <c r="J28">
        <v>4476.1934185055679</v>
      </c>
      <c r="K28">
        <v>0</v>
      </c>
      <c r="L28">
        <v>575610.84565204673</v>
      </c>
      <c r="M28">
        <v>2369</v>
      </c>
      <c r="N28">
        <v>338</v>
      </c>
      <c r="O28">
        <v>0.14267623469818499</v>
      </c>
    </row>
    <row r="29" spans="1:15" x14ac:dyDescent="0.25">
      <c r="A29" t="s">
        <v>274</v>
      </c>
      <c r="B29" t="s">
        <v>777</v>
      </c>
      <c r="C29">
        <v>76554.315864777862</v>
      </c>
      <c r="D29">
        <v>0</v>
      </c>
      <c r="E29">
        <v>0</v>
      </c>
      <c r="F29">
        <v>0</v>
      </c>
      <c r="G29">
        <v>76554.315864777862</v>
      </c>
      <c r="H29">
        <v>74226.413870186865</v>
      </c>
      <c r="I29">
        <v>2327.9019945909968</v>
      </c>
      <c r="J29">
        <v>572.76195271894551</v>
      </c>
      <c r="K29">
        <v>0</v>
      </c>
      <c r="L29">
        <v>73653.651917467912</v>
      </c>
      <c r="M29">
        <v>2275</v>
      </c>
      <c r="N29">
        <v>89</v>
      </c>
      <c r="O29">
        <v>3.9120879120879103E-2</v>
      </c>
    </row>
    <row r="30" spans="1:15" x14ac:dyDescent="0.25">
      <c r="A30" t="s">
        <v>380</v>
      </c>
      <c r="B30" t="s">
        <v>783</v>
      </c>
      <c r="C30">
        <v>361267.5580135585</v>
      </c>
      <c r="D30">
        <v>0</v>
      </c>
      <c r="E30">
        <v>172800.48511028409</v>
      </c>
      <c r="F30">
        <v>237519.24989255914</v>
      </c>
      <c r="G30">
        <v>771587.2930164017</v>
      </c>
      <c r="H30">
        <v>740582.18954482314</v>
      </c>
      <c r="I30">
        <v>31005.103471578564</v>
      </c>
      <c r="J30">
        <v>5714.640906327505</v>
      </c>
      <c r="K30">
        <v>0</v>
      </c>
      <c r="L30">
        <v>734867.54863849562</v>
      </c>
      <c r="M30">
        <v>3556</v>
      </c>
      <c r="N30">
        <v>420</v>
      </c>
      <c r="O30">
        <v>0.118110236220472</v>
      </c>
    </row>
    <row r="31" spans="1:15" x14ac:dyDescent="0.25">
      <c r="A31" t="s">
        <v>382</v>
      </c>
      <c r="B31" t="s">
        <v>785</v>
      </c>
      <c r="C31">
        <v>547922.46298723051</v>
      </c>
      <c r="D31">
        <v>0</v>
      </c>
      <c r="E31">
        <v>262080.73575059749</v>
      </c>
      <c r="F31">
        <v>360237.52900371462</v>
      </c>
      <c r="G31">
        <v>1170240.7277415427</v>
      </c>
      <c r="H31">
        <v>1170240.7277415427</v>
      </c>
      <c r="I31">
        <v>0</v>
      </c>
      <c r="J31">
        <v>9030.0653018844077</v>
      </c>
      <c r="K31">
        <v>0</v>
      </c>
      <c r="L31">
        <v>1161210.6624396583</v>
      </c>
      <c r="M31">
        <v>6325</v>
      </c>
      <c r="N31">
        <v>637</v>
      </c>
      <c r="O31">
        <v>0.100711462450593</v>
      </c>
    </row>
    <row r="32" spans="1:15" x14ac:dyDescent="0.25">
      <c r="A32" t="s">
        <v>117</v>
      </c>
      <c r="B32" t="s">
        <v>787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150</v>
      </c>
      <c r="N32">
        <v>7</v>
      </c>
      <c r="O32">
        <v>4.6666666666666697E-2</v>
      </c>
    </row>
    <row r="33" spans="1:15" x14ac:dyDescent="0.25">
      <c r="A33" t="s">
        <v>119</v>
      </c>
      <c r="B33" t="s">
        <v>789</v>
      </c>
      <c r="C33">
        <v>164290.72281092772</v>
      </c>
      <c r="D33">
        <v>0</v>
      </c>
      <c r="E33">
        <v>78583.077752533951</v>
      </c>
      <c r="F33">
        <v>108014.70649875901</v>
      </c>
      <c r="G33">
        <v>350888.50706222071</v>
      </c>
      <c r="H33">
        <v>333990.47963164031</v>
      </c>
      <c r="I33">
        <v>16898.027430580405</v>
      </c>
      <c r="J33">
        <v>2577.2097738402285</v>
      </c>
      <c r="K33">
        <v>0</v>
      </c>
      <c r="L33">
        <v>331413.2698578001</v>
      </c>
      <c r="M33">
        <v>2204</v>
      </c>
      <c r="N33">
        <v>191</v>
      </c>
      <c r="O33">
        <v>8.6660617059891101E-2</v>
      </c>
    </row>
    <row r="34" spans="1:15" x14ac:dyDescent="0.25">
      <c r="A34" t="s">
        <v>121</v>
      </c>
      <c r="B34" t="s">
        <v>791</v>
      </c>
      <c r="C34">
        <v>1815799.5594443385</v>
      </c>
      <c r="D34">
        <v>0</v>
      </c>
      <c r="E34">
        <v>1160643.258324075</v>
      </c>
      <c r="F34">
        <v>1595337.628445022</v>
      </c>
      <c r="G34">
        <v>4571780.4462134354</v>
      </c>
      <c r="H34">
        <v>3963888.530448575</v>
      </c>
      <c r="I34">
        <v>607891.91576486034</v>
      </c>
      <c r="J34">
        <v>30587.016355532869</v>
      </c>
      <c r="K34">
        <v>0</v>
      </c>
      <c r="L34">
        <v>3933301.5140930424</v>
      </c>
      <c r="M34">
        <v>24249</v>
      </c>
      <c r="N34">
        <v>2111</v>
      </c>
      <c r="O34">
        <v>8.7055136294280203E-2</v>
      </c>
    </row>
    <row r="35" spans="1:15" x14ac:dyDescent="0.25">
      <c r="A35" t="s">
        <v>384</v>
      </c>
      <c r="B35" t="s">
        <v>793</v>
      </c>
      <c r="C35">
        <v>340623.69755564077</v>
      </c>
      <c r="D35">
        <v>0</v>
      </c>
      <c r="E35">
        <v>162926.17167541065</v>
      </c>
      <c r="F35">
        <v>223946.72132727003</v>
      </c>
      <c r="G35">
        <v>727496.59055832145</v>
      </c>
      <c r="H35">
        <v>727496.59055832145</v>
      </c>
      <c r="I35">
        <v>0</v>
      </c>
      <c r="J35">
        <v>5613.6669694603206</v>
      </c>
      <c r="K35">
        <v>0</v>
      </c>
      <c r="L35">
        <v>721882.92358886113</v>
      </c>
      <c r="M35">
        <v>3543</v>
      </c>
      <c r="N35">
        <v>396</v>
      </c>
      <c r="O35">
        <v>0.111769686706181</v>
      </c>
    </row>
    <row r="36" spans="1:15" x14ac:dyDescent="0.25">
      <c r="A36" t="s">
        <v>123</v>
      </c>
      <c r="B36" t="s">
        <v>801</v>
      </c>
      <c r="C36">
        <v>258908.41657638355</v>
      </c>
      <c r="D36">
        <v>0</v>
      </c>
      <c r="E36">
        <v>123840.34766237024</v>
      </c>
      <c r="F36">
        <v>170222.12908966735</v>
      </c>
      <c r="G36">
        <v>552970.89332842117</v>
      </c>
      <c r="H36">
        <v>544850.82852350536</v>
      </c>
      <c r="I36">
        <v>8120.0648049158044</v>
      </c>
      <c r="J36">
        <v>4204.2961287531843</v>
      </c>
      <c r="K36">
        <v>0</v>
      </c>
      <c r="L36">
        <v>540646.53239475214</v>
      </c>
      <c r="M36">
        <v>4662</v>
      </c>
      <c r="N36">
        <v>301</v>
      </c>
      <c r="O36">
        <v>6.4564564564564594E-2</v>
      </c>
    </row>
    <row r="37" spans="1:15" x14ac:dyDescent="0.25">
      <c r="A37" t="s">
        <v>125</v>
      </c>
      <c r="B37" t="s">
        <v>807</v>
      </c>
      <c r="C37">
        <v>2019657.6814662749</v>
      </c>
      <c r="D37">
        <v>0</v>
      </c>
      <c r="E37">
        <v>1324598.004315618</v>
      </c>
      <c r="F37">
        <v>1820698.1548311764</v>
      </c>
      <c r="G37">
        <v>5164953.840613069</v>
      </c>
      <c r="H37">
        <v>4347841.9011711953</v>
      </c>
      <c r="I37">
        <v>817111.93944187369</v>
      </c>
      <c r="J37">
        <v>33549.760625419221</v>
      </c>
      <c r="K37">
        <v>0</v>
      </c>
      <c r="L37">
        <v>4314292.1405457761</v>
      </c>
      <c r="M37">
        <v>22804</v>
      </c>
      <c r="N37">
        <v>2348</v>
      </c>
      <c r="O37">
        <v>0.102964392211893</v>
      </c>
    </row>
    <row r="38" spans="1:15" x14ac:dyDescent="0.25">
      <c r="A38" t="s">
        <v>276</v>
      </c>
      <c r="B38" t="s">
        <v>809</v>
      </c>
      <c r="C38">
        <v>2276845.7763378317</v>
      </c>
      <c r="D38">
        <v>0</v>
      </c>
      <c r="E38">
        <v>1570632.9807345469</v>
      </c>
      <c r="F38">
        <v>2158880.3249162962</v>
      </c>
      <c r="G38">
        <v>6006359.0819886755</v>
      </c>
      <c r="H38">
        <v>6006359.0819886755</v>
      </c>
      <c r="I38">
        <v>0</v>
      </c>
      <c r="J38">
        <v>46347.570590538438</v>
      </c>
      <c r="K38">
        <v>0</v>
      </c>
      <c r="L38">
        <v>5960011.5113981366</v>
      </c>
      <c r="M38">
        <v>26645</v>
      </c>
      <c r="N38">
        <v>2647</v>
      </c>
      <c r="O38">
        <v>9.9343216363295198E-2</v>
      </c>
    </row>
    <row r="39" spans="1:15" x14ac:dyDescent="0.25">
      <c r="A39" t="s">
        <v>129</v>
      </c>
      <c r="B39" t="s">
        <v>817</v>
      </c>
      <c r="C39">
        <v>313958.71113083046</v>
      </c>
      <c r="D39">
        <v>0</v>
      </c>
      <c r="E39">
        <v>150171.85015536589</v>
      </c>
      <c r="F39">
        <v>206415.53859710493</v>
      </c>
      <c r="G39">
        <v>670546.0998833013</v>
      </c>
      <c r="H39">
        <v>627963.66677285358</v>
      </c>
      <c r="I39">
        <v>42582.433110447717</v>
      </c>
      <c r="J39">
        <v>4845.6294365290933</v>
      </c>
      <c r="K39">
        <v>0</v>
      </c>
      <c r="L39">
        <v>623118.03733632446</v>
      </c>
      <c r="M39">
        <v>4064</v>
      </c>
      <c r="N39">
        <v>365</v>
      </c>
      <c r="O39">
        <v>8.9812992125984203E-2</v>
      </c>
    </row>
    <row r="40" spans="1:15" x14ac:dyDescent="0.25">
      <c r="A40" t="s">
        <v>131</v>
      </c>
      <c r="B40" t="s">
        <v>823</v>
      </c>
      <c r="C40">
        <v>43008.042620661734</v>
      </c>
      <c r="D40">
        <v>0</v>
      </c>
      <c r="E40">
        <v>20571.486322652872</v>
      </c>
      <c r="F40">
        <v>28276.101177685607</v>
      </c>
      <c r="G40">
        <v>91855.630121000213</v>
      </c>
      <c r="H40">
        <v>89269.344786337009</v>
      </c>
      <c r="I40">
        <v>2586.2853346632037</v>
      </c>
      <c r="J40">
        <v>688.83947872227282</v>
      </c>
      <c r="K40">
        <v>0</v>
      </c>
      <c r="L40">
        <v>88580.505307614731</v>
      </c>
      <c r="M40">
        <v>994</v>
      </c>
      <c r="N40">
        <v>50</v>
      </c>
      <c r="O40">
        <v>5.0301810865191199E-2</v>
      </c>
    </row>
    <row r="41" spans="1:15" x14ac:dyDescent="0.25">
      <c r="A41" t="s">
        <v>135</v>
      </c>
      <c r="B41" t="s">
        <v>837</v>
      </c>
      <c r="C41">
        <v>186654.90497367189</v>
      </c>
      <c r="D41">
        <v>0</v>
      </c>
      <c r="E41">
        <v>89280.250640313447</v>
      </c>
      <c r="F41">
        <v>122718.27911115554</v>
      </c>
      <c r="G41">
        <v>398653.43472514086</v>
      </c>
      <c r="H41">
        <v>353211.21165740216</v>
      </c>
      <c r="I41">
        <v>45442.223067738698</v>
      </c>
      <c r="J41">
        <v>2725.5249548351799</v>
      </c>
      <c r="K41">
        <v>0</v>
      </c>
      <c r="L41">
        <v>350485.68670256698</v>
      </c>
      <c r="M41">
        <v>2798</v>
      </c>
      <c r="N41">
        <v>217</v>
      </c>
      <c r="O41">
        <v>7.7555396711937105E-2</v>
      </c>
    </row>
    <row r="42" spans="1:15" x14ac:dyDescent="0.25">
      <c r="A42" t="s">
        <v>137</v>
      </c>
      <c r="B42" t="s">
        <v>843</v>
      </c>
      <c r="C42">
        <v>13762.573638611757</v>
      </c>
      <c r="D42">
        <v>0</v>
      </c>
      <c r="E42">
        <v>6582.8756232489168</v>
      </c>
      <c r="F42">
        <v>9048.3523768593932</v>
      </c>
      <c r="G42">
        <v>29393.80163872007</v>
      </c>
      <c r="H42">
        <v>27704.279416449419</v>
      </c>
      <c r="I42">
        <v>1689.5222222706507</v>
      </c>
      <c r="J42">
        <v>213.77776925863643</v>
      </c>
      <c r="K42">
        <v>0</v>
      </c>
      <c r="L42">
        <v>27490.501647190784</v>
      </c>
      <c r="M42">
        <v>205</v>
      </c>
      <c r="N42">
        <v>16</v>
      </c>
      <c r="O42">
        <v>7.8048780487804906E-2</v>
      </c>
    </row>
    <row r="43" spans="1:15" x14ac:dyDescent="0.25">
      <c r="A43" t="s">
        <v>139</v>
      </c>
      <c r="B43" t="s">
        <v>845</v>
      </c>
      <c r="C43">
        <v>48757.855662028225</v>
      </c>
      <c r="D43">
        <v>0</v>
      </c>
      <c r="E43">
        <v>23700.920564145108</v>
      </c>
      <c r="F43">
        <v>32681.99720437076</v>
      </c>
      <c r="G43">
        <v>105140.7734305441</v>
      </c>
      <c r="H43">
        <v>105140.7734305441</v>
      </c>
      <c r="I43">
        <v>0</v>
      </c>
      <c r="J43">
        <v>811.3100385770673</v>
      </c>
      <c r="K43">
        <v>0</v>
      </c>
      <c r="L43">
        <v>104329.46339196703</v>
      </c>
      <c r="M43">
        <v>897</v>
      </c>
      <c r="N43">
        <v>45</v>
      </c>
      <c r="O43">
        <v>5.0167224080267601E-2</v>
      </c>
    </row>
    <row r="44" spans="1:15" x14ac:dyDescent="0.25">
      <c r="A44" t="s">
        <v>141</v>
      </c>
      <c r="B44" t="s">
        <v>852</v>
      </c>
      <c r="C44">
        <v>101636.0934926786</v>
      </c>
      <c r="D44">
        <v>0</v>
      </c>
      <c r="E44">
        <v>0</v>
      </c>
      <c r="F44">
        <v>0</v>
      </c>
      <c r="G44">
        <v>101636.0934926786</v>
      </c>
      <c r="H44">
        <v>101636.0934926786</v>
      </c>
      <c r="I44">
        <v>0</v>
      </c>
      <c r="J44">
        <v>784.26646715547918</v>
      </c>
      <c r="K44">
        <v>0</v>
      </c>
      <c r="L44">
        <v>100851.82702552312</v>
      </c>
      <c r="M44">
        <v>2170</v>
      </c>
      <c r="N44">
        <v>97</v>
      </c>
      <c r="O44">
        <v>4.4700460829493097E-2</v>
      </c>
    </row>
    <row r="45" spans="1:15" x14ac:dyDescent="0.25">
      <c r="A45" t="s">
        <v>79</v>
      </c>
      <c r="B45" t="s">
        <v>857</v>
      </c>
      <c r="C45">
        <v>40033.560027266787</v>
      </c>
      <c r="D45">
        <v>0</v>
      </c>
      <c r="E45">
        <v>31895.053935913653</v>
      </c>
      <c r="F45">
        <v>43840.671403821565</v>
      </c>
      <c r="G45">
        <v>115769.28536700201</v>
      </c>
      <c r="H45">
        <v>102338.27253980823</v>
      </c>
      <c r="I45">
        <v>13431.012827193787</v>
      </c>
      <c r="J45">
        <v>789.68477340553807</v>
      </c>
      <c r="K45">
        <v>0</v>
      </c>
      <c r="L45">
        <v>101548.58776640269</v>
      </c>
      <c r="M45">
        <v>309</v>
      </c>
      <c r="N45">
        <v>47</v>
      </c>
      <c r="O45">
        <v>0.15060682034379799</v>
      </c>
    </row>
    <row r="46" spans="1:15" x14ac:dyDescent="0.25">
      <c r="A46" t="s">
        <v>1420</v>
      </c>
      <c r="B46" t="s">
        <v>1421</v>
      </c>
      <c r="C46">
        <v>29240.302850804237</v>
      </c>
      <c r="D46">
        <v>0</v>
      </c>
      <c r="E46">
        <v>19086.506841635844</v>
      </c>
      <c r="F46">
        <v>26234.954058151194</v>
      </c>
      <c r="G46">
        <v>74561.763750591272</v>
      </c>
      <c r="H46">
        <v>61723.376774988232</v>
      </c>
      <c r="I46">
        <v>12838.38697560304</v>
      </c>
      <c r="J46">
        <v>476.2833062618019</v>
      </c>
      <c r="K46">
        <v>0</v>
      </c>
      <c r="L46">
        <v>61247.093468726431</v>
      </c>
      <c r="M46">
        <v>255</v>
      </c>
      <c r="N46">
        <v>34</v>
      </c>
      <c r="O46">
        <v>0.13353191341044701</v>
      </c>
    </row>
    <row r="47" spans="1:15" x14ac:dyDescent="0.25">
      <c r="A47" t="s">
        <v>143</v>
      </c>
      <c r="B47" t="s">
        <v>865</v>
      </c>
      <c r="C47">
        <v>736297.6896657286</v>
      </c>
      <c r="D47">
        <v>0</v>
      </c>
      <c r="E47">
        <v>0</v>
      </c>
      <c r="F47">
        <v>0</v>
      </c>
      <c r="G47">
        <v>736297.6896657286</v>
      </c>
      <c r="H47">
        <v>674461.16449352552</v>
      </c>
      <c r="I47">
        <v>61836.525172203081</v>
      </c>
      <c r="J47">
        <v>5204.4235126865779</v>
      </c>
      <c r="K47">
        <v>0</v>
      </c>
      <c r="L47">
        <v>669256.74098083889</v>
      </c>
      <c r="M47">
        <v>22715</v>
      </c>
      <c r="N47">
        <v>856</v>
      </c>
      <c r="O47">
        <v>3.7684349548756303E-2</v>
      </c>
    </row>
    <row r="48" spans="1:15" x14ac:dyDescent="0.25">
      <c r="A48" t="s">
        <v>147</v>
      </c>
      <c r="B48" t="s">
        <v>869</v>
      </c>
      <c r="C48">
        <v>98058.33717510874</v>
      </c>
      <c r="D48">
        <v>0</v>
      </c>
      <c r="E48">
        <v>46902.988815648525</v>
      </c>
      <c r="F48">
        <v>64469.510685123183</v>
      </c>
      <c r="G48">
        <v>209430.83667588045</v>
      </c>
      <c r="H48">
        <v>193929.95591514595</v>
      </c>
      <c r="I48">
        <v>15500.880760734493</v>
      </c>
      <c r="J48">
        <v>1496.4443848104552</v>
      </c>
      <c r="K48">
        <v>0</v>
      </c>
      <c r="L48">
        <v>192433.5115303355</v>
      </c>
      <c r="M48">
        <v>1354</v>
      </c>
      <c r="N48">
        <v>114</v>
      </c>
      <c r="O48">
        <v>8.4194977843426902E-2</v>
      </c>
    </row>
    <row r="49" spans="1:15" x14ac:dyDescent="0.25">
      <c r="A49" t="s">
        <v>436</v>
      </c>
      <c r="B49" t="s">
        <v>877</v>
      </c>
      <c r="C49">
        <v>3694390.8611148419</v>
      </c>
      <c r="D49">
        <v>0</v>
      </c>
      <c r="E49">
        <v>2926705.3591238237</v>
      </c>
      <c r="F49">
        <v>4022840.9145493321</v>
      </c>
      <c r="G49">
        <v>10643937.134787997</v>
      </c>
      <c r="H49">
        <v>9926183.893273484</v>
      </c>
      <c r="I49">
        <v>717753.24151451327</v>
      </c>
      <c r="J49">
        <v>76594.572919845581</v>
      </c>
      <c r="K49">
        <v>0</v>
      </c>
      <c r="L49">
        <v>9849589.3203536384</v>
      </c>
      <c r="M49">
        <v>29989</v>
      </c>
      <c r="N49">
        <v>4295</v>
      </c>
      <c r="O49">
        <v>0.14321918036613401</v>
      </c>
    </row>
    <row r="50" spans="1:15" x14ac:dyDescent="0.25">
      <c r="A50" t="s">
        <v>278</v>
      </c>
      <c r="B50" t="s">
        <v>883</v>
      </c>
      <c r="C50">
        <v>49889.329439967616</v>
      </c>
      <c r="D50">
        <v>0</v>
      </c>
      <c r="E50">
        <v>23862.924134277324</v>
      </c>
      <c r="F50">
        <v>32800.277366115311</v>
      </c>
      <c r="G50">
        <v>106552.53094036024</v>
      </c>
      <c r="H50">
        <v>98988.091631158532</v>
      </c>
      <c r="I50">
        <v>7564.4393092017126</v>
      </c>
      <c r="J50">
        <v>763.83338090049551</v>
      </c>
      <c r="K50">
        <v>0</v>
      </c>
      <c r="L50">
        <v>98224.258250258034</v>
      </c>
      <c r="M50">
        <v>736</v>
      </c>
      <c r="N50">
        <v>58</v>
      </c>
      <c r="O50">
        <v>7.8804347826087001E-2</v>
      </c>
    </row>
    <row r="51" spans="1:15" x14ac:dyDescent="0.25">
      <c r="A51" t="s">
        <v>149</v>
      </c>
      <c r="B51" t="s">
        <v>887</v>
      </c>
      <c r="C51">
        <v>108380.2674040675</v>
      </c>
      <c r="D51">
        <v>0</v>
      </c>
      <c r="E51">
        <v>52075.262084600537</v>
      </c>
      <c r="F51">
        <v>71808.331885659689</v>
      </c>
      <c r="G51">
        <v>232263.86137432774</v>
      </c>
      <c r="H51">
        <v>232263.86137432774</v>
      </c>
      <c r="I51">
        <v>0</v>
      </c>
      <c r="J51">
        <v>1792.2447798631272</v>
      </c>
      <c r="K51">
        <v>0</v>
      </c>
      <c r="L51">
        <v>230471.61659446461</v>
      </c>
      <c r="M51">
        <v>1926</v>
      </c>
      <c r="N51">
        <v>126</v>
      </c>
      <c r="O51">
        <v>6.54205607476636E-2</v>
      </c>
    </row>
    <row r="52" spans="1:15" x14ac:dyDescent="0.25">
      <c r="A52" t="s">
        <v>282</v>
      </c>
      <c r="B52" t="s">
        <v>893</v>
      </c>
      <c r="C52">
        <v>140206.21894335721</v>
      </c>
      <c r="D52">
        <v>0</v>
      </c>
      <c r="E52">
        <v>67063.045411848332</v>
      </c>
      <c r="F52">
        <v>92180.089839255073</v>
      </c>
      <c r="G52">
        <v>299449.35419446061</v>
      </c>
      <c r="H52">
        <v>269472.02204540896</v>
      </c>
      <c r="I52">
        <v>29977.332149051654</v>
      </c>
      <c r="J52">
        <v>2079.3584588335257</v>
      </c>
      <c r="K52">
        <v>0</v>
      </c>
      <c r="L52">
        <v>267392.66358657542</v>
      </c>
      <c r="M52">
        <v>1236</v>
      </c>
      <c r="N52">
        <v>163</v>
      </c>
      <c r="O52">
        <v>0.131877022653722</v>
      </c>
    </row>
    <row r="53" spans="1:15" x14ac:dyDescent="0.25">
      <c r="A53" t="s">
        <v>151</v>
      </c>
      <c r="B53" t="s">
        <v>895</v>
      </c>
      <c r="C53">
        <v>500613.61610450258</v>
      </c>
      <c r="D53">
        <v>0</v>
      </c>
      <c r="E53">
        <v>239452.10079567935</v>
      </c>
      <c r="F53">
        <v>329133.81770826073</v>
      </c>
      <c r="G53">
        <v>1069199.5346084428</v>
      </c>
      <c r="H53">
        <v>929546.44815113943</v>
      </c>
      <c r="I53">
        <v>139653.08645730338</v>
      </c>
      <c r="J53">
        <v>7172.7679006172402</v>
      </c>
      <c r="K53">
        <v>0</v>
      </c>
      <c r="L53">
        <v>922373.68025052221</v>
      </c>
      <c r="M53">
        <v>10259</v>
      </c>
      <c r="N53">
        <v>582</v>
      </c>
      <c r="O53">
        <v>5.6730675504435099E-2</v>
      </c>
    </row>
    <row r="54" spans="1:15" x14ac:dyDescent="0.25">
      <c r="A54" t="s">
        <v>153</v>
      </c>
      <c r="B54" t="s">
        <v>897</v>
      </c>
      <c r="C54">
        <v>1217987.7670171401</v>
      </c>
      <c r="D54">
        <v>0</v>
      </c>
      <c r="E54">
        <v>0</v>
      </c>
      <c r="F54">
        <v>0</v>
      </c>
      <c r="G54">
        <v>1217987.7670171401</v>
      </c>
      <c r="H54">
        <v>1106972.768390961</v>
      </c>
      <c r="I54">
        <v>111014.99862617906</v>
      </c>
      <c r="J54">
        <v>8541.8633525681289</v>
      </c>
      <c r="K54">
        <v>0</v>
      </c>
      <c r="L54">
        <v>1098430.9050383929</v>
      </c>
      <c r="M54">
        <v>35606</v>
      </c>
      <c r="N54">
        <v>1416</v>
      </c>
      <c r="O54">
        <v>3.9768578329495E-2</v>
      </c>
    </row>
    <row r="55" spans="1:15" x14ac:dyDescent="0.25">
      <c r="A55" t="s">
        <v>155</v>
      </c>
      <c r="B55" t="s">
        <v>899</v>
      </c>
      <c r="C55">
        <v>307077.42431152478</v>
      </c>
      <c r="D55">
        <v>0</v>
      </c>
      <c r="E55">
        <v>146880.41234374148</v>
      </c>
      <c r="F55">
        <v>201891.3624086752</v>
      </c>
      <c r="G55">
        <v>655849.19906394137</v>
      </c>
      <c r="H55">
        <v>561531.61135620589</v>
      </c>
      <c r="I55">
        <v>94317.587707735482</v>
      </c>
      <c r="J55">
        <v>4333.0120029276695</v>
      </c>
      <c r="K55">
        <v>0</v>
      </c>
      <c r="L55">
        <v>557198.59935327817</v>
      </c>
      <c r="M55">
        <v>2643</v>
      </c>
      <c r="N55">
        <v>357</v>
      </c>
      <c r="O55">
        <v>0.13507377979568699</v>
      </c>
    </row>
    <row r="56" spans="1:15" x14ac:dyDescent="0.25">
      <c r="A56" t="s">
        <v>157</v>
      </c>
      <c r="B56" t="s">
        <v>901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27</v>
      </c>
      <c r="N56">
        <v>9</v>
      </c>
      <c r="O56">
        <v>0.33333333333333298</v>
      </c>
    </row>
    <row r="57" spans="1:15" x14ac:dyDescent="0.25">
      <c r="A57" t="s">
        <v>159</v>
      </c>
      <c r="B57" t="s">
        <v>903</v>
      </c>
      <c r="C57">
        <v>66232.385635819053</v>
      </c>
      <c r="D57">
        <v>0</v>
      </c>
      <c r="E57">
        <v>31680.088936885408</v>
      </c>
      <c r="F57">
        <v>43545.195813635837</v>
      </c>
      <c r="G57">
        <v>141457.67038634029</v>
      </c>
      <c r="H57">
        <v>121706.4918635683</v>
      </c>
      <c r="I57">
        <v>19751.178522771996</v>
      </c>
      <c r="J57">
        <v>939.13802787592965</v>
      </c>
      <c r="K57">
        <v>0</v>
      </c>
      <c r="L57">
        <v>120767.35383569237</v>
      </c>
      <c r="M57">
        <v>827</v>
      </c>
      <c r="N57">
        <v>77</v>
      </c>
      <c r="O57">
        <v>9.3107617896009701E-2</v>
      </c>
    </row>
    <row r="58" spans="1:15" x14ac:dyDescent="0.25">
      <c r="A58" t="s">
        <v>161</v>
      </c>
      <c r="B58" t="s">
        <v>916</v>
      </c>
      <c r="C58">
        <v>288426.75180354732</v>
      </c>
      <c r="D58">
        <v>0</v>
      </c>
      <c r="E58">
        <v>140202.62868930915</v>
      </c>
      <c r="F58">
        <v>193330.12430754534</v>
      </c>
      <c r="G58">
        <v>621959.50480040186</v>
      </c>
      <c r="H58">
        <v>621959.50480040186</v>
      </c>
      <c r="I58">
        <v>0</v>
      </c>
      <c r="J58">
        <v>4799.2988197516661</v>
      </c>
      <c r="K58">
        <v>0</v>
      </c>
      <c r="L58">
        <v>617160.20598065015</v>
      </c>
      <c r="M58">
        <v>4352</v>
      </c>
      <c r="N58">
        <v>307</v>
      </c>
      <c r="O58">
        <v>7.0542279411764705E-2</v>
      </c>
    </row>
    <row r="59" spans="1:15" x14ac:dyDescent="0.25">
      <c r="A59" t="s">
        <v>163</v>
      </c>
      <c r="B59" t="s">
        <v>928</v>
      </c>
      <c r="C59">
        <v>1294542.0828819177</v>
      </c>
      <c r="D59">
        <v>0</v>
      </c>
      <c r="E59">
        <v>786653.63697824569</v>
      </c>
      <c r="F59">
        <v>1081278.1090346978</v>
      </c>
      <c r="G59">
        <v>3162473.828894861</v>
      </c>
      <c r="H59">
        <v>2669378.6721102325</v>
      </c>
      <c r="I59">
        <v>493095.15678462852</v>
      </c>
      <c r="J59">
        <v>20598.038637001358</v>
      </c>
      <c r="K59">
        <v>0</v>
      </c>
      <c r="L59">
        <v>2648780.633473231</v>
      </c>
      <c r="M59">
        <v>12544</v>
      </c>
      <c r="N59">
        <v>1505</v>
      </c>
      <c r="O59">
        <v>0.11997767857142901</v>
      </c>
    </row>
    <row r="60" spans="1:15" x14ac:dyDescent="0.25">
      <c r="A60" t="s">
        <v>465</v>
      </c>
      <c r="B60" t="s">
        <v>930</v>
      </c>
      <c r="C60">
        <v>64512.063930992575</v>
      </c>
      <c r="D60">
        <v>0</v>
      </c>
      <c r="E60">
        <v>30857.229483979296</v>
      </c>
      <c r="F60">
        <v>42414.151766528419</v>
      </c>
      <c r="G60">
        <v>137783.44518150028</v>
      </c>
      <c r="H60">
        <v>121188.37109456249</v>
      </c>
      <c r="I60">
        <v>16595.074086937791</v>
      </c>
      <c r="J60">
        <v>935.1399920295662</v>
      </c>
      <c r="K60">
        <v>0</v>
      </c>
      <c r="L60">
        <v>120253.23110253293</v>
      </c>
      <c r="M60">
        <v>572</v>
      </c>
      <c r="N60">
        <v>75</v>
      </c>
      <c r="O60">
        <v>0.13111888111888101</v>
      </c>
    </row>
    <row r="61" spans="1:15" x14ac:dyDescent="0.25">
      <c r="A61" t="s">
        <v>165</v>
      </c>
      <c r="B61" t="s">
        <v>932</v>
      </c>
      <c r="C61">
        <v>887685.99969045783</v>
      </c>
      <c r="D61">
        <v>0</v>
      </c>
      <c r="E61">
        <v>494744.24605980143</v>
      </c>
      <c r="F61">
        <v>680040.23332333902</v>
      </c>
      <c r="G61">
        <v>2062470.479073598</v>
      </c>
      <c r="H61">
        <v>1845362.7878616955</v>
      </c>
      <c r="I61">
        <v>217107.69121190254</v>
      </c>
      <c r="J61">
        <v>14239.588560738333</v>
      </c>
      <c r="K61">
        <v>0</v>
      </c>
      <c r="L61">
        <v>1831123.1993009571</v>
      </c>
      <c r="M61">
        <v>12016</v>
      </c>
      <c r="N61">
        <v>1032</v>
      </c>
      <c r="O61">
        <v>8.5885486018641793E-2</v>
      </c>
    </row>
    <row r="62" spans="1:15" x14ac:dyDescent="0.25">
      <c r="A62" t="s">
        <v>167</v>
      </c>
      <c r="B62" t="s">
        <v>934</v>
      </c>
      <c r="C62">
        <v>180633.77900677925</v>
      </c>
      <c r="D62">
        <v>0</v>
      </c>
      <c r="E62">
        <v>86400.242555142046</v>
      </c>
      <c r="F62">
        <v>118759.62494627957</v>
      </c>
      <c r="G62">
        <v>385793.64650820085</v>
      </c>
      <c r="H62">
        <v>343163.28469214559</v>
      </c>
      <c r="I62">
        <v>42630.361816055258</v>
      </c>
      <c r="J62">
        <v>2647.9909616200071</v>
      </c>
      <c r="K62">
        <v>0</v>
      </c>
      <c r="L62">
        <v>340515.29373052559</v>
      </c>
      <c r="M62">
        <v>1801</v>
      </c>
      <c r="N62">
        <v>210</v>
      </c>
      <c r="O62">
        <v>0.116601887840089</v>
      </c>
    </row>
    <row r="63" spans="1:15" x14ac:dyDescent="0.25">
      <c r="A63" t="s">
        <v>169</v>
      </c>
      <c r="B63" t="s">
        <v>936</v>
      </c>
      <c r="C63">
        <v>126358.38650441123</v>
      </c>
      <c r="D63">
        <v>0</v>
      </c>
      <c r="E63">
        <v>0</v>
      </c>
      <c r="F63">
        <v>0</v>
      </c>
      <c r="G63">
        <v>126358.38650441123</v>
      </c>
      <c r="H63">
        <v>126358.38650441123</v>
      </c>
      <c r="I63">
        <v>0</v>
      </c>
      <c r="J63">
        <v>975.03398619329846</v>
      </c>
      <c r="K63">
        <v>0</v>
      </c>
      <c r="L63">
        <v>125383.35251821793</v>
      </c>
      <c r="M63">
        <v>4878</v>
      </c>
      <c r="N63">
        <v>118</v>
      </c>
      <c r="O63">
        <v>2.4190241902418998E-2</v>
      </c>
    </row>
    <row r="64" spans="1:15" x14ac:dyDescent="0.25">
      <c r="A64" t="s">
        <v>171</v>
      </c>
      <c r="B64" t="s">
        <v>938</v>
      </c>
      <c r="C64">
        <v>178913.45730195273</v>
      </c>
      <c r="D64">
        <v>0</v>
      </c>
      <c r="E64">
        <v>85577.383102235937</v>
      </c>
      <c r="F64">
        <v>117628.5808991721</v>
      </c>
      <c r="G64">
        <v>382119.42130336078</v>
      </c>
      <c r="H64">
        <v>366312.13895083132</v>
      </c>
      <c r="I64">
        <v>15807.282352529466</v>
      </c>
      <c r="J64">
        <v>2826.6171713086383</v>
      </c>
      <c r="K64">
        <v>0</v>
      </c>
      <c r="L64">
        <v>363485.52177952265</v>
      </c>
      <c r="M64">
        <v>1705</v>
      </c>
      <c r="N64">
        <v>208</v>
      </c>
      <c r="O64">
        <v>0.121994134897361</v>
      </c>
    </row>
    <row r="65" spans="1:15" x14ac:dyDescent="0.25">
      <c r="A65" t="s">
        <v>173</v>
      </c>
      <c r="B65" t="s">
        <v>944</v>
      </c>
      <c r="C65">
        <v>374169.97079975705</v>
      </c>
      <c r="D65">
        <v>0</v>
      </c>
      <c r="E65">
        <v>178971.93100707998</v>
      </c>
      <c r="F65">
        <v>246002.08024586481</v>
      </c>
      <c r="G65">
        <v>799143.98205270187</v>
      </c>
      <c r="H65">
        <v>697993.03641485982</v>
      </c>
      <c r="I65">
        <v>101150.94563784206</v>
      </c>
      <c r="J65">
        <v>5386.0052463315205</v>
      </c>
      <c r="K65">
        <v>0</v>
      </c>
      <c r="L65">
        <v>692607.03116852825</v>
      </c>
      <c r="M65">
        <v>6648</v>
      </c>
      <c r="N65">
        <v>435</v>
      </c>
      <c r="O65">
        <v>6.5433212996389906E-2</v>
      </c>
    </row>
    <row r="66" spans="1:15" x14ac:dyDescent="0.25">
      <c r="A66" t="s">
        <v>175</v>
      </c>
      <c r="B66" t="s">
        <v>958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41</v>
      </c>
      <c r="N66">
        <v>3</v>
      </c>
      <c r="O66">
        <v>7.3170731707317097E-2</v>
      </c>
    </row>
    <row r="67" spans="1:15" x14ac:dyDescent="0.25">
      <c r="A67" t="s">
        <v>286</v>
      </c>
      <c r="B67" t="s">
        <v>962</v>
      </c>
      <c r="C67">
        <v>1996433.338451117</v>
      </c>
      <c r="D67">
        <v>0</v>
      </c>
      <c r="E67">
        <v>1302380.7990871524</v>
      </c>
      <c r="F67">
        <v>1790159.9655592758</v>
      </c>
      <c r="G67">
        <v>5088974.103097545</v>
      </c>
      <c r="H67">
        <v>4281251.2164620981</v>
      </c>
      <c r="I67">
        <v>807722.88663544692</v>
      </c>
      <c r="J67">
        <v>33035.919142068327</v>
      </c>
      <c r="K67">
        <v>0</v>
      </c>
      <c r="L67">
        <v>4248215.2973200297</v>
      </c>
      <c r="M67">
        <v>16936</v>
      </c>
      <c r="N67">
        <v>2321</v>
      </c>
      <c r="O67">
        <v>0.13704534718941899</v>
      </c>
    </row>
    <row r="68" spans="1:15" x14ac:dyDescent="0.25">
      <c r="A68" t="s">
        <v>485</v>
      </c>
      <c r="B68" t="s">
        <v>964</v>
      </c>
      <c r="C68">
        <v>188375.22667849838</v>
      </c>
      <c r="D68">
        <v>0</v>
      </c>
      <c r="E68">
        <v>90103.110093219555</v>
      </c>
      <c r="F68">
        <v>123849.32315826297</v>
      </c>
      <c r="G68">
        <v>402327.65992998087</v>
      </c>
      <c r="H68">
        <v>352100.27792206168</v>
      </c>
      <c r="I68">
        <v>50227.382007919194</v>
      </c>
      <c r="J68">
        <v>2716.9525270103927</v>
      </c>
      <c r="K68">
        <v>0</v>
      </c>
      <c r="L68">
        <v>349383.32539505127</v>
      </c>
      <c r="M68">
        <v>1613</v>
      </c>
      <c r="N68">
        <v>219</v>
      </c>
      <c r="O68">
        <v>0.135771853688779</v>
      </c>
    </row>
    <row r="69" spans="1:15" x14ac:dyDescent="0.25">
      <c r="A69" t="s">
        <v>177</v>
      </c>
      <c r="B69" t="s">
        <v>976</v>
      </c>
      <c r="C69">
        <v>207392.56915397925</v>
      </c>
      <c r="D69">
        <v>0</v>
      </c>
      <c r="E69">
        <v>100812.36634326512</v>
      </c>
      <c r="F69">
        <v>139013.56557352067</v>
      </c>
      <c r="G69">
        <v>447218.50107076502</v>
      </c>
      <c r="H69">
        <v>447218.50107076502</v>
      </c>
      <c r="I69">
        <v>0</v>
      </c>
      <c r="J69">
        <v>3450.9243894404831</v>
      </c>
      <c r="K69">
        <v>0</v>
      </c>
      <c r="L69">
        <v>443767.57668132451</v>
      </c>
      <c r="M69">
        <v>2210</v>
      </c>
      <c r="N69">
        <v>208</v>
      </c>
      <c r="O69">
        <v>9.41176470588235E-2</v>
      </c>
    </row>
    <row r="70" spans="1:15" x14ac:dyDescent="0.25">
      <c r="A70" t="s">
        <v>179</v>
      </c>
      <c r="B70" t="s">
        <v>982</v>
      </c>
      <c r="C70">
        <v>492012.00758037</v>
      </c>
      <c r="D70">
        <v>0</v>
      </c>
      <c r="E70">
        <v>235337.80353114882</v>
      </c>
      <c r="F70">
        <v>323478.59747272334</v>
      </c>
      <c r="G70">
        <v>1050828.4085842422</v>
      </c>
      <c r="H70">
        <v>969649.77957572986</v>
      </c>
      <c r="I70">
        <v>81178.629008512362</v>
      </c>
      <c r="J70">
        <v>7482.2219240522763</v>
      </c>
      <c r="K70">
        <v>0</v>
      </c>
      <c r="L70">
        <v>962167.55765167763</v>
      </c>
      <c r="M70">
        <v>7166</v>
      </c>
      <c r="N70">
        <v>572</v>
      </c>
      <c r="O70">
        <v>7.9821378732905401E-2</v>
      </c>
    </row>
    <row r="71" spans="1:15" x14ac:dyDescent="0.25">
      <c r="A71" t="s">
        <v>181</v>
      </c>
      <c r="B71" t="s">
        <v>988</v>
      </c>
      <c r="C71">
        <v>1296262.4045867445</v>
      </c>
      <c r="D71">
        <v>0</v>
      </c>
      <c r="E71">
        <v>798988.07563776523</v>
      </c>
      <c r="F71">
        <v>1101751.5536431181</v>
      </c>
      <c r="G71">
        <v>3197002.0338676278</v>
      </c>
      <c r="H71">
        <v>3197002.0338676278</v>
      </c>
      <c r="I71">
        <v>0</v>
      </c>
      <c r="J71">
        <v>24669.400450449826</v>
      </c>
      <c r="K71">
        <v>0</v>
      </c>
      <c r="L71">
        <v>3172332.6334171779</v>
      </c>
      <c r="M71">
        <v>17009</v>
      </c>
      <c r="N71">
        <v>1507</v>
      </c>
      <c r="O71">
        <v>8.86001528602504E-2</v>
      </c>
    </row>
    <row r="72" spans="1:15" x14ac:dyDescent="0.25">
      <c r="A72" t="s">
        <v>183</v>
      </c>
      <c r="B72" t="s">
        <v>992</v>
      </c>
      <c r="C72">
        <v>872203.10434701981</v>
      </c>
      <c r="D72">
        <v>0</v>
      </c>
      <c r="E72">
        <v>0</v>
      </c>
      <c r="F72">
        <v>0</v>
      </c>
      <c r="G72">
        <v>872203.10434701981</v>
      </c>
      <c r="H72">
        <v>778988.15624217771</v>
      </c>
      <c r="I72">
        <v>93214.9481048421</v>
      </c>
      <c r="J72">
        <v>6010.9973559346017</v>
      </c>
      <c r="K72">
        <v>0</v>
      </c>
      <c r="L72">
        <v>772977.15888624312</v>
      </c>
      <c r="M72">
        <v>26236</v>
      </c>
      <c r="N72">
        <v>1014</v>
      </c>
      <c r="O72">
        <v>3.8649184326879103E-2</v>
      </c>
    </row>
    <row r="73" spans="1:15" x14ac:dyDescent="0.25">
      <c r="A73" t="s">
        <v>185</v>
      </c>
      <c r="B73" t="s">
        <v>994</v>
      </c>
      <c r="C73">
        <v>384569.00240472978</v>
      </c>
      <c r="D73">
        <v>0</v>
      </c>
      <c r="E73">
        <v>186936.83825241221</v>
      </c>
      <c r="F73">
        <v>257773.49907672699</v>
      </c>
      <c r="G73">
        <v>829279.33973386895</v>
      </c>
      <c r="H73">
        <v>829279.33973386895</v>
      </c>
      <c r="I73">
        <v>0</v>
      </c>
      <c r="J73">
        <v>6399.0650930022211</v>
      </c>
      <c r="K73">
        <v>0</v>
      </c>
      <c r="L73">
        <v>822880.27464086679</v>
      </c>
      <c r="M73">
        <v>6006</v>
      </c>
      <c r="N73">
        <v>414</v>
      </c>
      <c r="O73">
        <v>6.8931068931068901E-2</v>
      </c>
    </row>
    <row r="74" spans="1:15" x14ac:dyDescent="0.25">
      <c r="A74" t="s">
        <v>187</v>
      </c>
      <c r="B74" t="s">
        <v>996</v>
      </c>
      <c r="C74">
        <v>14622.734491024985</v>
      </c>
      <c r="D74">
        <v>0</v>
      </c>
      <c r="E74">
        <v>6994.3053497019737</v>
      </c>
      <c r="F74">
        <v>9613.874400413104</v>
      </c>
      <c r="G74">
        <v>31230.914241140064</v>
      </c>
      <c r="H74">
        <v>26196.967318392428</v>
      </c>
      <c r="I74">
        <v>5033.9469227476366</v>
      </c>
      <c r="J74">
        <v>202.14672074604258</v>
      </c>
      <c r="K74">
        <v>0</v>
      </c>
      <c r="L74">
        <v>25994.820597646387</v>
      </c>
      <c r="M74">
        <v>126</v>
      </c>
      <c r="N74">
        <v>17</v>
      </c>
      <c r="O74">
        <v>0.134920634920635</v>
      </c>
    </row>
    <row r="75" spans="1:15" x14ac:dyDescent="0.25">
      <c r="A75" t="s">
        <v>288</v>
      </c>
      <c r="B75" t="s">
        <v>1004</v>
      </c>
      <c r="C75">
        <v>28155.944818917713</v>
      </c>
      <c r="D75">
        <v>0</v>
      </c>
      <c r="E75">
        <v>13686.447086337319</v>
      </c>
      <c r="F75">
        <v>18872.702610974666</v>
      </c>
      <c r="G75">
        <v>60715.094516229699</v>
      </c>
      <c r="H75">
        <v>60715.094516229699</v>
      </c>
      <c r="I75">
        <v>0</v>
      </c>
      <c r="J75">
        <v>468.50298002337689</v>
      </c>
      <c r="K75">
        <v>0</v>
      </c>
      <c r="L75">
        <v>60246.591536206324</v>
      </c>
      <c r="M75">
        <v>310</v>
      </c>
      <c r="N75">
        <v>32</v>
      </c>
      <c r="O75">
        <v>0.103225806451613</v>
      </c>
    </row>
    <row r="76" spans="1:15" x14ac:dyDescent="0.25">
      <c r="A76" t="s">
        <v>189</v>
      </c>
      <c r="B76" t="s">
        <v>1008</v>
      </c>
      <c r="C76">
        <v>938435.48998283874</v>
      </c>
      <c r="D76">
        <v>0</v>
      </c>
      <c r="E76">
        <v>531155.77685089677</v>
      </c>
      <c r="F76">
        <v>730088.93240784237</v>
      </c>
      <c r="G76">
        <v>2199680.1992415781</v>
      </c>
      <c r="H76">
        <v>2037500.76826218</v>
      </c>
      <c r="I76">
        <v>162179.43097939808</v>
      </c>
      <c r="J76">
        <v>15722.205315443996</v>
      </c>
      <c r="K76">
        <v>0</v>
      </c>
      <c r="L76">
        <v>2021778.5629467361</v>
      </c>
      <c r="M76">
        <v>10394</v>
      </c>
      <c r="N76">
        <v>1091</v>
      </c>
      <c r="O76">
        <v>0.104964402539927</v>
      </c>
    </row>
    <row r="77" spans="1:15" x14ac:dyDescent="0.25">
      <c r="A77" t="s">
        <v>521</v>
      </c>
      <c r="B77" t="s">
        <v>1016</v>
      </c>
      <c r="C77">
        <v>67952.70734064556</v>
      </c>
      <c r="D77">
        <v>0</v>
      </c>
      <c r="E77">
        <v>32502.948389791527</v>
      </c>
      <c r="F77">
        <v>44676.239860743241</v>
      </c>
      <c r="G77">
        <v>145131.89559118031</v>
      </c>
      <c r="H77">
        <v>137844.88045702191</v>
      </c>
      <c r="I77">
        <v>7287.0151341583987</v>
      </c>
      <c r="J77">
        <v>1063.6685619886155</v>
      </c>
      <c r="K77">
        <v>0</v>
      </c>
      <c r="L77">
        <v>136781.21189503328</v>
      </c>
      <c r="M77">
        <v>587</v>
      </c>
      <c r="N77">
        <v>79</v>
      </c>
      <c r="O77">
        <v>0.13458262350937</v>
      </c>
    </row>
    <row r="78" spans="1:15" x14ac:dyDescent="0.25">
      <c r="A78" t="s">
        <v>290</v>
      </c>
      <c r="B78" t="s">
        <v>1018</v>
      </c>
      <c r="C78">
        <v>18923.538753091165</v>
      </c>
      <c r="D78">
        <v>0</v>
      </c>
      <c r="E78">
        <v>9051.4539819672646</v>
      </c>
      <c r="F78">
        <v>12441.484518181671</v>
      </c>
      <c r="G78">
        <v>40416.477253240097</v>
      </c>
      <c r="H78">
        <v>40416.477253240097</v>
      </c>
      <c r="I78">
        <v>0</v>
      </c>
      <c r="J78">
        <v>311.87038719224017</v>
      </c>
      <c r="K78">
        <v>0</v>
      </c>
      <c r="L78">
        <v>40104.606866047856</v>
      </c>
      <c r="M78">
        <v>177</v>
      </c>
      <c r="N78">
        <v>22</v>
      </c>
      <c r="O78">
        <v>0.124293785310734</v>
      </c>
    </row>
    <row r="79" spans="1:15" x14ac:dyDescent="0.25">
      <c r="A79" t="s">
        <v>292</v>
      </c>
      <c r="B79" t="s">
        <v>1026</v>
      </c>
      <c r="C79">
        <v>148807.82746748955</v>
      </c>
      <c r="D79">
        <v>0</v>
      </c>
      <c r="E79">
        <v>71177.342676378932</v>
      </c>
      <c r="F79">
        <v>97835.310074792185</v>
      </c>
      <c r="G79">
        <v>317820.48021866067</v>
      </c>
      <c r="H79">
        <v>317820.48021866067</v>
      </c>
      <c r="I79">
        <v>0</v>
      </c>
      <c r="J79">
        <v>2452.4353174662515</v>
      </c>
      <c r="K79">
        <v>0</v>
      </c>
      <c r="L79">
        <v>315368.0449011944</v>
      </c>
      <c r="M79">
        <v>3249</v>
      </c>
      <c r="N79">
        <v>173</v>
      </c>
      <c r="O79">
        <v>5.32471529701447E-2</v>
      </c>
    </row>
    <row r="80" spans="1:15" x14ac:dyDescent="0.25">
      <c r="A80" t="s">
        <v>533</v>
      </c>
      <c r="B80" t="s">
        <v>1032</v>
      </c>
      <c r="C80">
        <v>15794.798313051404</v>
      </c>
      <c r="D80">
        <v>0</v>
      </c>
      <c r="E80">
        <v>0</v>
      </c>
      <c r="F80">
        <v>0</v>
      </c>
      <c r="G80">
        <v>15794.798313051404</v>
      </c>
      <c r="H80">
        <v>15794.798313051404</v>
      </c>
      <c r="I80">
        <v>0</v>
      </c>
      <c r="J80">
        <v>121.87924827416231</v>
      </c>
      <c r="K80">
        <v>0</v>
      </c>
      <c r="L80">
        <v>15672.919064777241</v>
      </c>
      <c r="M80">
        <v>237</v>
      </c>
      <c r="N80">
        <v>11</v>
      </c>
      <c r="O80">
        <v>4.6413502109704602E-2</v>
      </c>
    </row>
    <row r="81" spans="1:15" x14ac:dyDescent="0.25">
      <c r="A81" t="s">
        <v>191</v>
      </c>
      <c r="B81" t="s">
        <v>1038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87</v>
      </c>
      <c r="N81">
        <v>7</v>
      </c>
      <c r="O81">
        <v>8.04597701149425E-2</v>
      </c>
    </row>
    <row r="82" spans="1:15" x14ac:dyDescent="0.25">
      <c r="A82" t="s">
        <v>294</v>
      </c>
      <c r="B82" t="s">
        <v>1040</v>
      </c>
      <c r="C82">
        <v>28068.715943930685</v>
      </c>
      <c r="D82">
        <v>0</v>
      </c>
      <c r="E82">
        <v>12757.7724962539</v>
      </c>
      <c r="F82">
        <v>17278.449037065977</v>
      </c>
      <c r="G82">
        <v>58104.937477250562</v>
      </c>
      <c r="H82">
        <v>58104.937477250562</v>
      </c>
      <c r="I82">
        <v>0</v>
      </c>
      <c r="J82">
        <v>448.36192019576129</v>
      </c>
      <c r="K82">
        <v>0</v>
      </c>
      <c r="L82">
        <v>57656.575557054799</v>
      </c>
      <c r="M82">
        <v>249</v>
      </c>
      <c r="N82">
        <v>30</v>
      </c>
      <c r="O82">
        <v>0.120481927710843</v>
      </c>
    </row>
    <row r="83" spans="1:15" x14ac:dyDescent="0.25">
      <c r="A83" t="s">
        <v>193</v>
      </c>
      <c r="B83" t="s">
        <v>1042</v>
      </c>
      <c r="C83">
        <v>459325.89518866729</v>
      </c>
      <c r="D83">
        <v>0</v>
      </c>
      <c r="E83">
        <v>0</v>
      </c>
      <c r="F83">
        <v>0</v>
      </c>
      <c r="G83">
        <v>459325.89518866729</v>
      </c>
      <c r="H83">
        <v>459325.89518866729</v>
      </c>
      <c r="I83">
        <v>0</v>
      </c>
      <c r="J83">
        <v>3544.3500897502872</v>
      </c>
      <c r="K83">
        <v>0</v>
      </c>
      <c r="L83">
        <v>455781.54509891698</v>
      </c>
      <c r="M83">
        <v>11683</v>
      </c>
      <c r="N83">
        <v>534</v>
      </c>
      <c r="O83">
        <v>4.5707438158007402E-2</v>
      </c>
    </row>
    <row r="84" spans="1:15" x14ac:dyDescent="0.25">
      <c r="A84" t="s">
        <v>83</v>
      </c>
      <c r="B84" t="s">
        <v>1043</v>
      </c>
      <c r="C84">
        <v>22135.269524215433</v>
      </c>
      <c r="D84">
        <v>0</v>
      </c>
      <c r="E84">
        <v>12875.89906302871</v>
      </c>
      <c r="F84">
        <v>17755.010656348441</v>
      </c>
      <c r="G84">
        <v>52766.179243592589</v>
      </c>
      <c r="H84">
        <v>52766.179243592589</v>
      </c>
      <c r="I84">
        <v>0</v>
      </c>
      <c r="J84">
        <v>407.16583605848803</v>
      </c>
      <c r="K84">
        <v>0</v>
      </c>
      <c r="L84">
        <v>52359.013407534097</v>
      </c>
      <c r="M84">
        <v>261</v>
      </c>
      <c r="N84">
        <v>19</v>
      </c>
      <c r="O84">
        <v>7.3433484055390894E-2</v>
      </c>
    </row>
    <row r="85" spans="1:15" x14ac:dyDescent="0.25">
      <c r="A85" t="s">
        <v>58</v>
      </c>
      <c r="B85" t="s">
        <v>1057</v>
      </c>
      <c r="C85">
        <v>282992.92044395412</v>
      </c>
      <c r="D85">
        <v>0</v>
      </c>
      <c r="E85">
        <v>135360.38000305585</v>
      </c>
      <c r="F85">
        <v>186056.7457491713</v>
      </c>
      <c r="G85">
        <v>604410.04619618133</v>
      </c>
      <c r="H85">
        <v>547611.10793170752</v>
      </c>
      <c r="I85">
        <v>56798.938264473807</v>
      </c>
      <c r="J85">
        <v>4225.5955953643115</v>
      </c>
      <c r="K85">
        <v>0</v>
      </c>
      <c r="L85">
        <v>543385.51233634318</v>
      </c>
      <c r="M85">
        <v>3236</v>
      </c>
      <c r="N85">
        <v>329</v>
      </c>
      <c r="O85">
        <v>0.10166872682323901</v>
      </c>
    </row>
    <row r="86" spans="1:15" x14ac:dyDescent="0.25">
      <c r="A86" t="s">
        <v>195</v>
      </c>
      <c r="B86" t="s">
        <v>1059</v>
      </c>
      <c r="C86">
        <v>1586996.7727024178</v>
      </c>
      <c r="D86">
        <v>0</v>
      </c>
      <c r="E86">
        <v>996482.79746930464</v>
      </c>
      <c r="F86">
        <v>1369694.3410470914</v>
      </c>
      <c r="G86">
        <v>3953173.9112188136</v>
      </c>
      <c r="H86">
        <v>3538992.8665528246</v>
      </c>
      <c r="I86">
        <v>414181.044665989</v>
      </c>
      <c r="J86">
        <v>27308.344283615752</v>
      </c>
      <c r="K86">
        <v>0</v>
      </c>
      <c r="L86">
        <v>3511684.5222692089</v>
      </c>
      <c r="M86">
        <v>25544</v>
      </c>
      <c r="N86">
        <v>1845</v>
      </c>
      <c r="O86">
        <v>7.2228311932352005E-2</v>
      </c>
    </row>
    <row r="87" spans="1:15" x14ac:dyDescent="0.25">
      <c r="A87" t="s">
        <v>563</v>
      </c>
      <c r="B87" t="s">
        <v>1079</v>
      </c>
      <c r="C87">
        <v>1969773.5181575539</v>
      </c>
      <c r="D87">
        <v>0</v>
      </c>
      <c r="E87">
        <v>1285762.870604235</v>
      </c>
      <c r="F87">
        <v>1767318.1436424465</v>
      </c>
      <c r="G87">
        <v>5022854.5324042346</v>
      </c>
      <c r="H87">
        <v>4773064.0653591305</v>
      </c>
      <c r="I87">
        <v>249790.46704510413</v>
      </c>
      <c r="J87">
        <v>36830.952109701349</v>
      </c>
      <c r="K87">
        <v>0</v>
      </c>
      <c r="L87">
        <v>4736233.1132494295</v>
      </c>
      <c r="M87">
        <v>17463</v>
      </c>
      <c r="N87">
        <v>2290</v>
      </c>
      <c r="O87">
        <v>0.131131557023759</v>
      </c>
    </row>
    <row r="88" spans="1:15" x14ac:dyDescent="0.25">
      <c r="A88" t="s">
        <v>199</v>
      </c>
      <c r="B88" t="s">
        <v>1083</v>
      </c>
      <c r="C88">
        <v>1156056.185643387</v>
      </c>
      <c r="D88">
        <v>0</v>
      </c>
      <c r="E88">
        <v>687293.35803983232</v>
      </c>
      <c r="F88">
        <v>944704.54034647637</v>
      </c>
      <c r="G88">
        <v>2788054.0840296955</v>
      </c>
      <c r="H88">
        <v>2673798.0629778979</v>
      </c>
      <c r="I88">
        <v>114256.02105179755</v>
      </c>
      <c r="J88">
        <v>20632.14049927938</v>
      </c>
      <c r="K88">
        <v>0</v>
      </c>
      <c r="L88">
        <v>2653165.9224786186</v>
      </c>
      <c r="M88">
        <v>15487</v>
      </c>
      <c r="N88">
        <v>1344</v>
      </c>
      <c r="O88">
        <v>8.6782462710660604E-2</v>
      </c>
    </row>
    <row r="89" spans="1:15" x14ac:dyDescent="0.25">
      <c r="A89" t="s">
        <v>201</v>
      </c>
      <c r="B89" t="s">
        <v>1085</v>
      </c>
      <c r="C89">
        <v>181983.54578080957</v>
      </c>
      <c r="D89">
        <v>0</v>
      </c>
      <c r="E89">
        <v>0</v>
      </c>
      <c r="F89">
        <v>0</v>
      </c>
      <c r="G89">
        <v>181983.54578080957</v>
      </c>
      <c r="H89">
        <v>181983.54578080957</v>
      </c>
      <c r="I89">
        <v>0</v>
      </c>
      <c r="J89">
        <v>1404.2609040283912</v>
      </c>
      <c r="K89">
        <v>0</v>
      </c>
      <c r="L89">
        <v>180579.28487678117</v>
      </c>
      <c r="M89">
        <v>4134</v>
      </c>
      <c r="N89">
        <v>179</v>
      </c>
      <c r="O89">
        <v>4.3299467827769701E-2</v>
      </c>
    </row>
    <row r="90" spans="1:15" x14ac:dyDescent="0.25">
      <c r="A90" t="s">
        <v>203</v>
      </c>
      <c r="B90" t="s">
        <v>1087</v>
      </c>
      <c r="C90">
        <v>50749.490292380833</v>
      </c>
      <c r="D90">
        <v>0</v>
      </c>
      <c r="E90">
        <v>24274.353860730382</v>
      </c>
      <c r="F90">
        <v>33365.799389669024</v>
      </c>
      <c r="G90">
        <v>108389.64354278025</v>
      </c>
      <c r="H90">
        <v>95397.375332811673</v>
      </c>
      <c r="I90">
        <v>12992.268209968577</v>
      </c>
      <c r="J90">
        <v>736.12591705483965</v>
      </c>
      <c r="K90">
        <v>0</v>
      </c>
      <c r="L90">
        <v>94661.249415756829</v>
      </c>
      <c r="M90">
        <v>421</v>
      </c>
      <c r="N90">
        <v>59</v>
      </c>
      <c r="O90">
        <v>0.140142517814727</v>
      </c>
    </row>
    <row r="91" spans="1:15" x14ac:dyDescent="0.25">
      <c r="A91" t="s">
        <v>296</v>
      </c>
      <c r="B91" t="s">
        <v>1089</v>
      </c>
      <c r="C91">
        <v>234823.912708813</v>
      </c>
      <c r="D91">
        <v>0</v>
      </c>
      <c r="E91">
        <v>112320.31532168464</v>
      </c>
      <c r="F91">
        <v>154387.51243016342</v>
      </c>
      <c r="G91">
        <v>501531.74046066112</v>
      </c>
      <c r="H91">
        <v>472919.01794593176</v>
      </c>
      <c r="I91">
        <v>28612.722514729365</v>
      </c>
      <c r="J91">
        <v>3649.2402916077458</v>
      </c>
      <c r="K91">
        <v>0</v>
      </c>
      <c r="L91">
        <v>469269.77765432402</v>
      </c>
      <c r="M91">
        <v>2040</v>
      </c>
      <c r="N91">
        <v>273</v>
      </c>
      <c r="O91">
        <v>0.13382352941176501</v>
      </c>
    </row>
    <row r="92" spans="1:15" x14ac:dyDescent="0.25">
      <c r="A92" t="s">
        <v>205</v>
      </c>
      <c r="B92" t="s">
        <v>1091</v>
      </c>
      <c r="C92">
        <v>143526.64554033664</v>
      </c>
      <c r="D92">
        <v>0</v>
      </c>
      <c r="E92">
        <v>0</v>
      </c>
      <c r="F92">
        <v>0</v>
      </c>
      <c r="G92">
        <v>143526.64554033664</v>
      </c>
      <c r="H92">
        <v>143526.64554033664</v>
      </c>
      <c r="I92">
        <v>0</v>
      </c>
      <c r="J92">
        <v>1107.5114299695615</v>
      </c>
      <c r="K92">
        <v>0</v>
      </c>
      <c r="L92">
        <v>142419.13411036707</v>
      </c>
      <c r="M92">
        <v>3807</v>
      </c>
      <c r="N92">
        <v>131</v>
      </c>
      <c r="O92">
        <v>3.4410296821644301E-2</v>
      </c>
    </row>
    <row r="93" spans="1:15" x14ac:dyDescent="0.25">
      <c r="A93" t="s">
        <v>1422</v>
      </c>
      <c r="B93" t="s">
        <v>1423</v>
      </c>
      <c r="C93">
        <v>9790.2826833605595</v>
      </c>
      <c r="D93">
        <v>0</v>
      </c>
      <c r="E93">
        <v>6931.9852383167336</v>
      </c>
      <c r="F93">
        <v>9528.213610167084</v>
      </c>
      <c r="G93">
        <v>26250.481531844376</v>
      </c>
      <c r="H93">
        <v>26250.481531844376</v>
      </c>
      <c r="I93">
        <v>0</v>
      </c>
      <c r="J93">
        <v>202.5596587258911</v>
      </c>
      <c r="K93">
        <v>0</v>
      </c>
      <c r="L93">
        <v>26047.921873118485</v>
      </c>
      <c r="M93">
        <v>69</v>
      </c>
      <c r="N93">
        <v>11</v>
      </c>
      <c r="O93">
        <v>0.164258734035196</v>
      </c>
    </row>
    <row r="94" spans="1:15" x14ac:dyDescent="0.25">
      <c r="A94" t="s">
        <v>207</v>
      </c>
      <c r="B94" t="s">
        <v>1101</v>
      </c>
      <c r="C94">
        <v>82407.643372442079</v>
      </c>
      <c r="D94">
        <v>0</v>
      </c>
      <c r="E94">
        <v>40057.893911231185</v>
      </c>
      <c r="F94">
        <v>55237.178373584364</v>
      </c>
      <c r="G94">
        <v>177702.71565725765</v>
      </c>
      <c r="H94">
        <v>177702.71565725765</v>
      </c>
      <c r="I94">
        <v>0</v>
      </c>
      <c r="J94">
        <v>1371.2282342147616</v>
      </c>
      <c r="K94">
        <v>0</v>
      </c>
      <c r="L94">
        <v>176331.48742304288</v>
      </c>
      <c r="M94">
        <v>890</v>
      </c>
      <c r="N94">
        <v>80</v>
      </c>
      <c r="O94">
        <v>8.98876404494382E-2</v>
      </c>
    </row>
    <row r="95" spans="1:15" x14ac:dyDescent="0.25">
      <c r="A95" t="s">
        <v>82</v>
      </c>
      <c r="B95" t="s">
        <v>1104</v>
      </c>
      <c r="C95">
        <v>18827.466698770306</v>
      </c>
      <c r="D95">
        <v>0</v>
      </c>
      <c r="E95">
        <v>13330.740842916792</v>
      </c>
      <c r="F95">
        <v>18323.487711859776</v>
      </c>
      <c r="G95">
        <v>50481.695253546874</v>
      </c>
      <c r="H95">
        <v>44509.731700791599</v>
      </c>
      <c r="I95">
        <v>5971.9635527552746</v>
      </c>
      <c r="J95">
        <v>343.45564489383526</v>
      </c>
      <c r="K95">
        <v>0</v>
      </c>
      <c r="L95">
        <v>44166.276055897761</v>
      </c>
      <c r="M95">
        <v>135</v>
      </c>
      <c r="N95">
        <v>22</v>
      </c>
      <c r="O95">
        <v>0.161856985222221</v>
      </c>
    </row>
    <row r="96" spans="1:15" x14ac:dyDescent="0.25">
      <c r="A96" t="s">
        <v>81</v>
      </c>
      <c r="B96" t="s">
        <v>1105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60</v>
      </c>
      <c r="N96">
        <v>4</v>
      </c>
      <c r="O96">
        <v>6.2864453766556805E-2</v>
      </c>
    </row>
    <row r="97" spans="1:15" x14ac:dyDescent="0.25">
      <c r="A97" t="s">
        <v>300</v>
      </c>
      <c r="B97" t="s">
        <v>1108</v>
      </c>
      <c r="C97">
        <v>528998.92423413903</v>
      </c>
      <c r="D97">
        <v>0</v>
      </c>
      <c r="E97">
        <v>253029.28176863026</v>
      </c>
      <c r="F97">
        <v>347796.04448553291</v>
      </c>
      <c r="G97">
        <v>1129824.2504883022</v>
      </c>
      <c r="H97">
        <v>1019263.7219608976</v>
      </c>
      <c r="I97">
        <v>110560.52852740465</v>
      </c>
      <c r="J97">
        <v>7865.0637864156097</v>
      </c>
      <c r="K97">
        <v>0</v>
      </c>
      <c r="L97">
        <v>1011398.6581744819</v>
      </c>
      <c r="M97">
        <v>5146</v>
      </c>
      <c r="N97">
        <v>615</v>
      </c>
      <c r="O97">
        <v>0.11951029926156199</v>
      </c>
    </row>
    <row r="98" spans="1:15" x14ac:dyDescent="0.25">
      <c r="A98" t="s">
        <v>574</v>
      </c>
      <c r="B98" t="s">
        <v>1110</v>
      </c>
      <c r="C98">
        <v>402555.27892939385</v>
      </c>
      <c r="D98">
        <v>0</v>
      </c>
      <c r="E98">
        <v>192549.11198003078</v>
      </c>
      <c r="F98">
        <v>264664.30702313728</v>
      </c>
      <c r="G98">
        <v>859768.69793256186</v>
      </c>
      <c r="H98">
        <v>775638.29078613815</v>
      </c>
      <c r="I98">
        <v>84130.407146423706</v>
      </c>
      <c r="J98">
        <v>5985.1483975934052</v>
      </c>
      <c r="K98">
        <v>0</v>
      </c>
      <c r="L98">
        <v>769653.14238854474</v>
      </c>
      <c r="M98">
        <v>4177</v>
      </c>
      <c r="N98">
        <v>468</v>
      </c>
      <c r="O98">
        <v>0.11204213550394999</v>
      </c>
    </row>
    <row r="99" spans="1:15" x14ac:dyDescent="0.25">
      <c r="A99" t="s">
        <v>209</v>
      </c>
      <c r="B99" t="s">
        <v>1116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22</v>
      </c>
      <c r="N99">
        <v>1</v>
      </c>
      <c r="O99">
        <v>4.5454545454545497E-2</v>
      </c>
    </row>
    <row r="100" spans="1:15" x14ac:dyDescent="0.25">
      <c r="A100" t="s">
        <v>211</v>
      </c>
      <c r="B100" t="s">
        <v>1120</v>
      </c>
      <c r="C100">
        <v>556251.59276398411</v>
      </c>
      <c r="D100">
        <v>0</v>
      </c>
      <c r="E100">
        <v>290252.82296512934</v>
      </c>
      <c r="F100">
        <v>400239.38829859684</v>
      </c>
      <c r="G100">
        <v>1246743.8040277101</v>
      </c>
      <c r="H100">
        <v>1246743.8040277101</v>
      </c>
      <c r="I100">
        <v>0</v>
      </c>
      <c r="J100">
        <v>9620.3949308936189</v>
      </c>
      <c r="K100">
        <v>0</v>
      </c>
      <c r="L100">
        <v>1237123.4090968166</v>
      </c>
      <c r="M100">
        <v>10315</v>
      </c>
      <c r="N100">
        <v>620</v>
      </c>
      <c r="O100">
        <v>6.0106640814348002E-2</v>
      </c>
    </row>
    <row r="101" spans="1:15" x14ac:dyDescent="0.25">
      <c r="A101" t="s">
        <v>302</v>
      </c>
      <c r="B101" t="s">
        <v>1122</v>
      </c>
      <c r="C101">
        <v>11182.091081372046</v>
      </c>
      <c r="D101">
        <v>0</v>
      </c>
      <c r="E101">
        <v>5348.5864438897461</v>
      </c>
      <c r="F101">
        <v>7351.7863061982562</v>
      </c>
      <c r="G101">
        <v>23882.463831460049</v>
      </c>
      <c r="H101">
        <v>21649.97083862641</v>
      </c>
      <c r="I101">
        <v>2232.4929928336387</v>
      </c>
      <c r="J101">
        <v>167.06020036919065</v>
      </c>
      <c r="K101">
        <v>0</v>
      </c>
      <c r="L101">
        <v>21482.910638257221</v>
      </c>
      <c r="M101">
        <v>127</v>
      </c>
      <c r="N101">
        <v>13</v>
      </c>
      <c r="O101">
        <v>0.102362204724409</v>
      </c>
    </row>
    <row r="102" spans="1:15" x14ac:dyDescent="0.25">
      <c r="A102" t="s">
        <v>213</v>
      </c>
      <c r="B102" t="s">
        <v>1124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68</v>
      </c>
      <c r="N102">
        <v>6</v>
      </c>
      <c r="O102">
        <v>8.8235294117647106E-2</v>
      </c>
    </row>
    <row r="103" spans="1:15" x14ac:dyDescent="0.25">
      <c r="A103" t="s">
        <v>215</v>
      </c>
      <c r="B103" t="s">
        <v>1126</v>
      </c>
      <c r="C103">
        <v>477389.27308934496</v>
      </c>
      <c r="D103">
        <v>0</v>
      </c>
      <c r="E103">
        <v>228343.49818144678</v>
      </c>
      <c r="F103">
        <v>313864.72307231021</v>
      </c>
      <c r="G103">
        <v>1019597.494343102</v>
      </c>
      <c r="H103">
        <v>768516.14768992912</v>
      </c>
      <c r="I103">
        <v>251081.34665317286</v>
      </c>
      <c r="J103">
        <v>5930.1909724042716</v>
      </c>
      <c r="K103">
        <v>0</v>
      </c>
      <c r="L103">
        <v>762585.95671752479</v>
      </c>
      <c r="M103">
        <v>10714</v>
      </c>
      <c r="N103">
        <v>555</v>
      </c>
      <c r="O103">
        <v>5.1801381370169902E-2</v>
      </c>
    </row>
    <row r="104" spans="1:15" x14ac:dyDescent="0.25">
      <c r="A104" t="s">
        <v>217</v>
      </c>
      <c r="B104" t="s">
        <v>1128</v>
      </c>
      <c r="C104">
        <v>271945.22312905901</v>
      </c>
      <c r="D104">
        <v>0</v>
      </c>
      <c r="E104">
        <v>0</v>
      </c>
      <c r="F104">
        <v>0</v>
      </c>
      <c r="G104">
        <v>271945.22312905901</v>
      </c>
      <c r="H104">
        <v>271945.22312905901</v>
      </c>
      <c r="I104">
        <v>0</v>
      </c>
      <c r="J104">
        <v>2098.4427094160123</v>
      </c>
      <c r="K104">
        <v>0</v>
      </c>
      <c r="L104">
        <v>269846.78041964298</v>
      </c>
      <c r="M104">
        <v>7736</v>
      </c>
      <c r="N104">
        <v>276</v>
      </c>
      <c r="O104">
        <v>3.5677352637021702E-2</v>
      </c>
    </row>
    <row r="105" spans="1:15" x14ac:dyDescent="0.25">
      <c r="A105" t="s">
        <v>219</v>
      </c>
      <c r="B105" t="s">
        <v>1134</v>
      </c>
      <c r="C105">
        <v>990045.14112763293</v>
      </c>
      <c r="D105">
        <v>0</v>
      </c>
      <c r="E105">
        <v>568184.45223167201</v>
      </c>
      <c r="F105">
        <v>780985.91452767618</v>
      </c>
      <c r="G105">
        <v>2339215.5078869811</v>
      </c>
      <c r="H105">
        <v>2099477.4689440927</v>
      </c>
      <c r="I105">
        <v>239738.03894288838</v>
      </c>
      <c r="J105">
        <v>16200.443374576578</v>
      </c>
      <c r="K105">
        <v>0</v>
      </c>
      <c r="L105">
        <v>2083277.0255695162</v>
      </c>
      <c r="M105">
        <v>11670</v>
      </c>
      <c r="N105">
        <v>1151</v>
      </c>
      <c r="O105">
        <v>9.8628963153384805E-2</v>
      </c>
    </row>
    <row r="106" spans="1:15" x14ac:dyDescent="0.25">
      <c r="A106" t="s">
        <v>221</v>
      </c>
      <c r="B106" t="s">
        <v>1136</v>
      </c>
      <c r="C106">
        <v>122924.73469722614</v>
      </c>
      <c r="D106">
        <v>0</v>
      </c>
      <c r="E106">
        <v>59753.025084253168</v>
      </c>
      <c r="F106">
        <v>82395.457740596685</v>
      </c>
      <c r="G106">
        <v>265073.21752207598</v>
      </c>
      <c r="H106">
        <v>265073.21752207598</v>
      </c>
      <c r="I106">
        <v>0</v>
      </c>
      <c r="J106">
        <v>2045.4154493703527</v>
      </c>
      <c r="K106">
        <v>0</v>
      </c>
      <c r="L106">
        <v>263027.80207270564</v>
      </c>
      <c r="M106">
        <v>1757</v>
      </c>
      <c r="N106">
        <v>123</v>
      </c>
      <c r="O106">
        <v>7.0005691519635704E-2</v>
      </c>
    </row>
    <row r="107" spans="1:15" x14ac:dyDescent="0.25">
      <c r="A107" t="s">
        <v>78</v>
      </c>
      <c r="B107" t="s">
        <v>1140</v>
      </c>
      <c r="C107">
        <v>99378.88669667895</v>
      </c>
      <c r="D107">
        <v>0</v>
      </c>
      <c r="E107">
        <v>83747.29238051553</v>
      </c>
      <c r="F107">
        <v>115113.06842719646</v>
      </c>
      <c r="G107">
        <v>298239.24750439095</v>
      </c>
      <c r="H107">
        <v>266052.66110831359</v>
      </c>
      <c r="I107">
        <v>32186.586396077357</v>
      </c>
      <c r="J107">
        <v>2052.9732443894227</v>
      </c>
      <c r="K107">
        <v>0</v>
      </c>
      <c r="L107">
        <v>263999.68786392419</v>
      </c>
      <c r="M107">
        <v>965</v>
      </c>
      <c r="N107">
        <v>116</v>
      </c>
      <c r="O107">
        <v>0.119739117473186</v>
      </c>
    </row>
    <row r="108" spans="1:15" x14ac:dyDescent="0.25">
      <c r="A108" t="s">
        <v>590</v>
      </c>
      <c r="B108" t="s">
        <v>1144</v>
      </c>
      <c r="C108">
        <v>15482.89534343822</v>
      </c>
      <c r="D108">
        <v>0</v>
      </c>
      <c r="E108">
        <v>7405.7350761550333</v>
      </c>
      <c r="F108">
        <v>10179.396423966815</v>
      </c>
      <c r="G108">
        <v>33068.026843560066</v>
      </c>
      <c r="H108">
        <v>33068.026843560066</v>
      </c>
      <c r="I108">
        <v>0</v>
      </c>
      <c r="J108">
        <v>255.16668043001457</v>
      </c>
      <c r="K108">
        <v>0</v>
      </c>
      <c r="L108">
        <v>32812.860163130055</v>
      </c>
      <c r="M108">
        <v>155</v>
      </c>
      <c r="N108">
        <v>18</v>
      </c>
      <c r="O108">
        <v>0.11612903225806499</v>
      </c>
    </row>
    <row r="109" spans="1:15" x14ac:dyDescent="0.25">
      <c r="A109" t="s">
        <v>223</v>
      </c>
      <c r="B109" t="s">
        <v>1146</v>
      </c>
      <c r="C109">
        <v>351805.78863701288</v>
      </c>
      <c r="D109">
        <v>0</v>
      </c>
      <c r="E109">
        <v>168274.75811930044</v>
      </c>
      <c r="F109">
        <v>231298.50763346831</v>
      </c>
      <c r="G109">
        <v>751379.05438978155</v>
      </c>
      <c r="H109">
        <v>665191.65478063922</v>
      </c>
      <c r="I109">
        <v>86187.399609142332</v>
      </c>
      <c r="J109">
        <v>5132.8961114950662</v>
      </c>
      <c r="K109">
        <v>0</v>
      </c>
      <c r="L109">
        <v>660058.75866914412</v>
      </c>
      <c r="M109">
        <v>5413</v>
      </c>
      <c r="N109">
        <v>409</v>
      </c>
      <c r="O109">
        <v>7.5558839830038804E-2</v>
      </c>
    </row>
    <row r="110" spans="1:15" x14ac:dyDescent="0.25">
      <c r="A110" t="s">
        <v>225</v>
      </c>
      <c r="B110" t="s">
        <v>1148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25</v>
      </c>
      <c r="N110">
        <v>4</v>
      </c>
      <c r="O110">
        <v>0.16</v>
      </c>
    </row>
    <row r="111" spans="1:15" x14ac:dyDescent="0.25">
      <c r="A111" t="s">
        <v>227</v>
      </c>
      <c r="B111" t="s">
        <v>1152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15</v>
      </c>
      <c r="N111">
        <v>3</v>
      </c>
      <c r="O111">
        <v>0.2</v>
      </c>
    </row>
    <row r="112" spans="1:15" x14ac:dyDescent="0.25">
      <c r="A112" t="s">
        <v>229</v>
      </c>
      <c r="B112" t="s">
        <v>1154</v>
      </c>
      <c r="C112">
        <v>231383.26929916017</v>
      </c>
      <c r="D112">
        <v>0</v>
      </c>
      <c r="E112">
        <v>110674.59641587241</v>
      </c>
      <c r="F112">
        <v>152125.42433594854</v>
      </c>
      <c r="G112">
        <v>494183.2900509811</v>
      </c>
      <c r="H112">
        <v>445618.50841436733</v>
      </c>
      <c r="I112">
        <v>48564.78163661377</v>
      </c>
      <c r="J112">
        <v>3438.5781791033246</v>
      </c>
      <c r="K112">
        <v>0</v>
      </c>
      <c r="L112">
        <v>442179.93023526401</v>
      </c>
      <c r="M112">
        <v>3953</v>
      </c>
      <c r="N112">
        <v>269</v>
      </c>
      <c r="O112">
        <v>6.8049582595497093E-2</v>
      </c>
    </row>
    <row r="113" spans="1:15" x14ac:dyDescent="0.25">
      <c r="A113" t="s">
        <v>231</v>
      </c>
      <c r="B113" t="s">
        <v>1160</v>
      </c>
      <c r="C113">
        <v>187515.06582608508</v>
      </c>
      <c r="D113">
        <v>0</v>
      </c>
      <c r="E113">
        <v>89691.680366766537</v>
      </c>
      <c r="F113">
        <v>123283.80113470924</v>
      </c>
      <c r="G113">
        <v>400490.54732756084</v>
      </c>
      <c r="H113">
        <v>389399.03846453916</v>
      </c>
      <c r="I113">
        <v>11091.508863021678</v>
      </c>
      <c r="J113">
        <v>3004.7653123575019</v>
      </c>
      <c r="K113">
        <v>0</v>
      </c>
      <c r="L113">
        <v>386394.27315218165</v>
      </c>
      <c r="M113">
        <v>2497</v>
      </c>
      <c r="N113">
        <v>218</v>
      </c>
      <c r="O113">
        <v>8.7304765718862601E-2</v>
      </c>
    </row>
    <row r="114" spans="1:15" x14ac:dyDescent="0.25">
      <c r="A114" t="s">
        <v>80</v>
      </c>
      <c r="B114" t="s">
        <v>1162</v>
      </c>
      <c r="C114">
        <v>19899.722820571154</v>
      </c>
      <c r="D114">
        <v>0</v>
      </c>
      <c r="E114">
        <v>15854.266576331305</v>
      </c>
      <c r="F114">
        <v>21792.146604238733</v>
      </c>
      <c r="G114">
        <v>57546.136001141189</v>
      </c>
      <c r="H114">
        <v>57546.136001141189</v>
      </c>
      <c r="I114">
        <v>0</v>
      </c>
      <c r="J114">
        <v>444.04997505452923</v>
      </c>
      <c r="K114">
        <v>0</v>
      </c>
      <c r="L114">
        <v>57102.086026086661</v>
      </c>
      <c r="M114">
        <v>176</v>
      </c>
      <c r="N114">
        <v>23</v>
      </c>
      <c r="O114">
        <v>0.131638364498464</v>
      </c>
    </row>
    <row r="115" spans="1:15" x14ac:dyDescent="0.25">
      <c r="A115" t="s">
        <v>73</v>
      </c>
      <c r="B115" t="s">
        <v>1163</v>
      </c>
      <c r="C115">
        <v>37045.17896189195</v>
      </c>
      <c r="D115">
        <v>0</v>
      </c>
      <c r="E115">
        <v>31197.710760127236</v>
      </c>
      <c r="F115">
        <v>42882.153099172276</v>
      </c>
      <c r="G115">
        <v>111125.04282119146</v>
      </c>
      <c r="H115">
        <v>93102.756183284175</v>
      </c>
      <c r="I115">
        <v>18022.28663790728</v>
      </c>
      <c r="J115">
        <v>718.4196791227721</v>
      </c>
      <c r="K115">
        <v>0</v>
      </c>
      <c r="L115">
        <v>92384.336504161402</v>
      </c>
      <c r="M115">
        <v>300</v>
      </c>
      <c r="N115">
        <v>43</v>
      </c>
      <c r="O115">
        <v>0.14347816454064499</v>
      </c>
    </row>
    <row r="116" spans="1:15" x14ac:dyDescent="0.25">
      <c r="A116" t="s">
        <v>233</v>
      </c>
      <c r="B116" t="s">
        <v>1167</v>
      </c>
      <c r="C116">
        <v>468787.66456521297</v>
      </c>
      <c r="D116">
        <v>0</v>
      </c>
      <c r="E116">
        <v>224229.20091691625</v>
      </c>
      <c r="F116">
        <v>308209.50283677311</v>
      </c>
      <c r="G116">
        <v>1001226.3683189023</v>
      </c>
      <c r="H116">
        <v>1001226.3683189023</v>
      </c>
      <c r="I116">
        <v>0</v>
      </c>
      <c r="J116">
        <v>7725.8800463532207</v>
      </c>
      <c r="K116">
        <v>0</v>
      </c>
      <c r="L116">
        <v>993500.48827254912</v>
      </c>
      <c r="M116">
        <v>10613</v>
      </c>
      <c r="N116">
        <v>545</v>
      </c>
      <c r="O116">
        <v>5.1352115330255403E-2</v>
      </c>
    </row>
    <row r="117" spans="1:15" x14ac:dyDescent="0.25">
      <c r="A117" t="s">
        <v>62</v>
      </c>
      <c r="B117" t="s">
        <v>1171</v>
      </c>
      <c r="C117">
        <v>3738537.0414090063</v>
      </c>
      <c r="D117">
        <v>0</v>
      </c>
      <c r="E117">
        <v>2978522.03241322</v>
      </c>
      <c r="F117">
        <v>4094064.4262412712</v>
      </c>
      <c r="G117">
        <v>10811123.500063498</v>
      </c>
      <c r="H117">
        <v>10316420.056923801</v>
      </c>
      <c r="I117">
        <v>494703.44313969649</v>
      </c>
      <c r="J117">
        <v>79605.797839114923</v>
      </c>
      <c r="K117">
        <v>0</v>
      </c>
      <c r="L117">
        <v>10236814.259084687</v>
      </c>
      <c r="M117">
        <v>32613</v>
      </c>
      <c r="N117">
        <v>4346</v>
      </c>
      <c r="O117">
        <v>0.13326873378378801</v>
      </c>
    </row>
    <row r="118" spans="1:15" x14ac:dyDescent="0.25">
      <c r="A118" t="s">
        <v>235</v>
      </c>
      <c r="B118" t="s">
        <v>1175</v>
      </c>
      <c r="C118">
        <v>332022.08903150854</v>
      </c>
      <c r="D118">
        <v>0</v>
      </c>
      <c r="E118">
        <v>0</v>
      </c>
      <c r="F118">
        <v>0</v>
      </c>
      <c r="G118">
        <v>332022.08903150854</v>
      </c>
      <c r="H118">
        <v>321171.98309215502</v>
      </c>
      <c r="I118">
        <v>10850.105939353525</v>
      </c>
      <c r="J118">
        <v>2478.2969108031321</v>
      </c>
      <c r="K118">
        <v>0</v>
      </c>
      <c r="L118">
        <v>318693.68618135189</v>
      </c>
      <c r="M118">
        <v>9053</v>
      </c>
      <c r="N118">
        <v>386</v>
      </c>
      <c r="O118">
        <v>4.2637799624433897E-2</v>
      </c>
    </row>
    <row r="119" spans="1:15" x14ac:dyDescent="0.25">
      <c r="A119" t="s">
        <v>304</v>
      </c>
      <c r="B119" t="s">
        <v>1179</v>
      </c>
      <c r="C119">
        <v>167731.3662205807</v>
      </c>
      <c r="D119">
        <v>0</v>
      </c>
      <c r="E119">
        <v>80228.796658346153</v>
      </c>
      <c r="F119">
        <v>110276.79459297389</v>
      </c>
      <c r="G119">
        <v>358236.95747190074</v>
      </c>
      <c r="H119">
        <v>330912.22636314598</v>
      </c>
      <c r="I119">
        <v>27324.731108754757</v>
      </c>
      <c r="J119">
        <v>2553.4566883670473</v>
      </c>
      <c r="K119">
        <v>0</v>
      </c>
      <c r="L119">
        <v>328358.76967477892</v>
      </c>
      <c r="M119">
        <v>1509</v>
      </c>
      <c r="N119">
        <v>195</v>
      </c>
      <c r="O119">
        <v>0.12922465208747499</v>
      </c>
    </row>
    <row r="120" spans="1:15" x14ac:dyDescent="0.25">
      <c r="A120" t="s">
        <v>241</v>
      </c>
      <c r="B120" t="s">
        <v>1183</v>
      </c>
      <c r="C120">
        <v>75694.155012364659</v>
      </c>
      <c r="D120">
        <v>0</v>
      </c>
      <c r="E120">
        <v>36205.815927869058</v>
      </c>
      <c r="F120">
        <v>49765.938072726683</v>
      </c>
      <c r="G120">
        <v>161665.90901296039</v>
      </c>
      <c r="H120">
        <v>161665.90901296039</v>
      </c>
      <c r="I120">
        <v>0</v>
      </c>
      <c r="J120">
        <v>1247.4815487689607</v>
      </c>
      <c r="K120">
        <v>0</v>
      </c>
      <c r="L120">
        <v>160418.42746419142</v>
      </c>
      <c r="M120">
        <v>852</v>
      </c>
      <c r="N120">
        <v>88</v>
      </c>
      <c r="O120">
        <v>0.10328638497652599</v>
      </c>
    </row>
    <row r="121" spans="1:15" x14ac:dyDescent="0.25">
      <c r="A121" t="s">
        <v>243</v>
      </c>
      <c r="B121" t="s">
        <v>1189</v>
      </c>
      <c r="C121">
        <v>24084.503867570565</v>
      </c>
      <c r="D121">
        <v>0</v>
      </c>
      <c r="E121">
        <v>11520.032340685602</v>
      </c>
      <c r="F121">
        <v>15834.616659503943</v>
      </c>
      <c r="G121">
        <v>51439.152867760116</v>
      </c>
      <c r="H121">
        <v>42189.007941912379</v>
      </c>
      <c r="I121">
        <v>9250.1449258477369</v>
      </c>
      <c r="J121">
        <v>325.54797291359432</v>
      </c>
      <c r="K121">
        <v>0</v>
      </c>
      <c r="L121">
        <v>41863.459968998788</v>
      </c>
      <c r="M121">
        <v>218</v>
      </c>
      <c r="N121">
        <v>28</v>
      </c>
      <c r="O121">
        <v>0.12844036697247699</v>
      </c>
    </row>
    <row r="122" spans="1:15" x14ac:dyDescent="0.25">
      <c r="A122" t="s">
        <v>245</v>
      </c>
      <c r="B122" t="s">
        <v>1191</v>
      </c>
      <c r="C122">
        <v>64512.063930992575</v>
      </c>
      <c r="D122">
        <v>0</v>
      </c>
      <c r="E122">
        <v>30857.229483979296</v>
      </c>
      <c r="F122">
        <v>42414.151766528419</v>
      </c>
      <c r="G122">
        <v>137783.44518150028</v>
      </c>
      <c r="H122">
        <v>133904.01717950558</v>
      </c>
      <c r="I122">
        <v>3879.4280019947037</v>
      </c>
      <c r="J122">
        <v>1033.2592180834099</v>
      </c>
      <c r="K122">
        <v>0</v>
      </c>
      <c r="L122">
        <v>132870.75796142218</v>
      </c>
      <c r="M122">
        <v>768</v>
      </c>
      <c r="N122">
        <v>75</v>
      </c>
      <c r="O122">
        <v>9.765625E-2</v>
      </c>
    </row>
    <row r="123" spans="1:15" x14ac:dyDescent="0.25">
      <c r="A123" t="s">
        <v>247</v>
      </c>
      <c r="B123" t="s">
        <v>1196</v>
      </c>
      <c r="C123">
        <v>565125.68003549497</v>
      </c>
      <c r="D123">
        <v>0</v>
      </c>
      <c r="E123">
        <v>270309.33027965861</v>
      </c>
      <c r="F123">
        <v>371547.96947478881</v>
      </c>
      <c r="G123">
        <v>1206982.9797899423</v>
      </c>
      <c r="H123">
        <v>1155272.617306645</v>
      </c>
      <c r="I123">
        <v>51710.362483297242</v>
      </c>
      <c r="J123">
        <v>8914.5651219053743</v>
      </c>
      <c r="K123">
        <v>0</v>
      </c>
      <c r="L123">
        <v>1146358.0521847396</v>
      </c>
      <c r="M123">
        <v>6863</v>
      </c>
      <c r="N123">
        <v>657</v>
      </c>
      <c r="O123">
        <v>9.5730730001457098E-2</v>
      </c>
    </row>
    <row r="124" spans="1:15" x14ac:dyDescent="0.25">
      <c r="A124" t="s">
        <v>249</v>
      </c>
      <c r="B124" t="s">
        <v>1200</v>
      </c>
      <c r="C124">
        <v>397394.31381491438</v>
      </c>
      <c r="D124">
        <v>0</v>
      </c>
      <c r="E124">
        <v>190080.53362131256</v>
      </c>
      <c r="F124">
        <v>261271.17488181501</v>
      </c>
      <c r="G124">
        <v>848746.02231804188</v>
      </c>
      <c r="H124">
        <v>794473.7410477649</v>
      </c>
      <c r="I124">
        <v>54272.281270276988</v>
      </c>
      <c r="J124">
        <v>6130.4905838811219</v>
      </c>
      <c r="K124">
        <v>0</v>
      </c>
      <c r="L124">
        <v>788343.25046388374</v>
      </c>
      <c r="M124">
        <v>5685</v>
      </c>
      <c r="N124">
        <v>462</v>
      </c>
      <c r="O124">
        <v>8.1266490765171506E-2</v>
      </c>
    </row>
    <row r="125" spans="1:15" x14ac:dyDescent="0.25">
      <c r="A125" t="s">
        <v>63</v>
      </c>
      <c r="B125" t="s">
        <v>1203</v>
      </c>
      <c r="C125">
        <v>2411835.8047627471</v>
      </c>
      <c r="D125">
        <v>0</v>
      </c>
      <c r="E125">
        <v>1707694.3267709934</v>
      </c>
      <c r="F125">
        <v>2347275.0975297205</v>
      </c>
      <c r="G125">
        <v>6466805.2290634606</v>
      </c>
      <c r="H125">
        <v>6466805.2290634606</v>
      </c>
      <c r="I125">
        <v>0</v>
      </c>
      <c r="J125">
        <v>49900.56501084943</v>
      </c>
      <c r="K125">
        <v>0</v>
      </c>
      <c r="L125">
        <v>6416904.6640526112</v>
      </c>
      <c r="M125">
        <v>24506</v>
      </c>
      <c r="N125">
        <v>2804</v>
      </c>
      <c r="O125">
        <v>0.114417762498545</v>
      </c>
    </row>
    <row r="126" spans="1:15" x14ac:dyDescent="0.25">
      <c r="A126" t="s">
        <v>251</v>
      </c>
      <c r="B126" t="s">
        <v>1205</v>
      </c>
      <c r="C126">
        <v>103696.28457698962</v>
      </c>
      <c r="D126">
        <v>0</v>
      </c>
      <c r="E126">
        <v>50406.183171632561</v>
      </c>
      <c r="F126">
        <v>69506.782786760334</v>
      </c>
      <c r="G126">
        <v>223609.25053538251</v>
      </c>
      <c r="H126">
        <v>223609.25053538251</v>
      </c>
      <c r="I126">
        <v>0</v>
      </c>
      <c r="J126">
        <v>1725.4621947202415</v>
      </c>
      <c r="K126">
        <v>0</v>
      </c>
      <c r="L126">
        <v>221883.78834066226</v>
      </c>
      <c r="M126">
        <v>1410</v>
      </c>
      <c r="N126">
        <v>117</v>
      </c>
      <c r="O126">
        <v>8.29787234042553E-2</v>
      </c>
    </row>
    <row r="127" spans="1:15" x14ac:dyDescent="0.25">
      <c r="A127" t="s">
        <v>620</v>
      </c>
      <c r="B127" t="s">
        <v>1213</v>
      </c>
      <c r="C127">
        <v>707912.38153609214</v>
      </c>
      <c r="D127">
        <v>0</v>
      </c>
      <c r="E127">
        <v>365761.02681676799</v>
      </c>
      <c r="F127">
        <v>502749.07893925015</v>
      </c>
      <c r="G127">
        <v>1576422.4872921105</v>
      </c>
      <c r="H127">
        <v>1515574.7143018669</v>
      </c>
      <c r="I127">
        <v>60847.772990243509</v>
      </c>
      <c r="J127">
        <v>11694.80630403531</v>
      </c>
      <c r="K127">
        <v>0</v>
      </c>
      <c r="L127">
        <v>1503879.9079978317</v>
      </c>
      <c r="M127">
        <v>5917</v>
      </c>
      <c r="N127">
        <v>823</v>
      </c>
      <c r="O127">
        <v>0.13909075545039701</v>
      </c>
    </row>
    <row r="128" spans="1:15" x14ac:dyDescent="0.25">
      <c r="A128" t="s">
        <v>253</v>
      </c>
      <c r="B128" t="s">
        <v>1219</v>
      </c>
      <c r="C128">
        <v>239124.71697087921</v>
      </c>
      <c r="D128">
        <v>0</v>
      </c>
      <c r="E128">
        <v>114377.4639539499</v>
      </c>
      <c r="F128">
        <v>157215.12254793203</v>
      </c>
      <c r="G128">
        <v>510717.30347276112</v>
      </c>
      <c r="H128">
        <v>481746.63651937048</v>
      </c>
      <c r="I128">
        <v>28970.666953390639</v>
      </c>
      <c r="J128">
        <v>3717.357876552956</v>
      </c>
      <c r="K128">
        <v>0</v>
      </c>
      <c r="L128">
        <v>478029.27864281752</v>
      </c>
      <c r="M128">
        <v>3739</v>
      </c>
      <c r="N128">
        <v>278</v>
      </c>
      <c r="O128">
        <v>7.4351430863867404E-2</v>
      </c>
    </row>
    <row r="129" spans="1:15" x14ac:dyDescent="0.25">
      <c r="A129" t="s">
        <v>306</v>
      </c>
      <c r="B129" t="s">
        <v>1228</v>
      </c>
      <c r="C129">
        <v>374169.97079975705</v>
      </c>
      <c r="D129">
        <v>0</v>
      </c>
      <c r="E129">
        <v>178971.93100707998</v>
      </c>
      <c r="F129">
        <v>246002.08024586481</v>
      </c>
      <c r="G129">
        <v>799143.98205270187</v>
      </c>
      <c r="H129">
        <v>717691.70318508451</v>
      </c>
      <c r="I129">
        <v>81452.278867617366</v>
      </c>
      <c r="J129">
        <v>5538.0083710548251</v>
      </c>
      <c r="K129">
        <v>0</v>
      </c>
      <c r="L129">
        <v>712153.69481402973</v>
      </c>
      <c r="M129">
        <v>3207</v>
      </c>
      <c r="N129">
        <v>435</v>
      </c>
      <c r="O129">
        <v>0.135640785781104</v>
      </c>
    </row>
    <row r="130" spans="1:15" x14ac:dyDescent="0.25">
      <c r="A130" t="s">
        <v>255</v>
      </c>
      <c r="B130" t="s">
        <v>1230</v>
      </c>
      <c r="C130">
        <v>634798.70908096712</v>
      </c>
      <c r="D130">
        <v>0</v>
      </c>
      <c r="E130">
        <v>313303.73669400305</v>
      </c>
      <c r="F130">
        <v>430645.02093615168</v>
      </c>
      <c r="G130">
        <v>1378747.4667111218</v>
      </c>
      <c r="H130">
        <v>1236861.2475523625</v>
      </c>
      <c r="I130">
        <v>141886.21915875934</v>
      </c>
      <c r="J130">
        <v>9544.1370053177634</v>
      </c>
      <c r="K130">
        <v>0</v>
      </c>
      <c r="L130">
        <v>1227317.1105470448</v>
      </c>
      <c r="M130">
        <v>6288</v>
      </c>
      <c r="N130">
        <v>738</v>
      </c>
      <c r="O130">
        <v>0.11736641221374</v>
      </c>
    </row>
    <row r="131" spans="1:15" x14ac:dyDescent="0.25">
      <c r="A131" t="s">
        <v>68</v>
      </c>
      <c r="B131" t="s">
        <v>1231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75</v>
      </c>
      <c r="N131">
        <v>8</v>
      </c>
      <c r="O131">
        <v>0.106583047126301</v>
      </c>
    </row>
    <row r="132" spans="1:15" x14ac:dyDescent="0.25">
      <c r="A132" t="s">
        <v>256</v>
      </c>
      <c r="B132" t="s">
        <v>1235</v>
      </c>
      <c r="C132">
        <v>197778.34409386094</v>
      </c>
      <c r="D132">
        <v>0</v>
      </c>
      <c r="E132">
        <v>0</v>
      </c>
      <c r="F132">
        <v>0</v>
      </c>
      <c r="G132">
        <v>197778.34409386094</v>
      </c>
      <c r="H132">
        <v>197778.34409386094</v>
      </c>
      <c r="I132">
        <v>0</v>
      </c>
      <c r="J132">
        <v>1526.1401523025531</v>
      </c>
      <c r="K132">
        <v>0</v>
      </c>
      <c r="L132">
        <v>196252.2039415584</v>
      </c>
      <c r="M132">
        <v>4695</v>
      </c>
      <c r="N132">
        <v>229</v>
      </c>
      <c r="O132">
        <v>4.87752928647497E-2</v>
      </c>
    </row>
    <row r="133" spans="1:15" x14ac:dyDescent="0.25">
      <c r="A133" t="s">
        <v>307</v>
      </c>
      <c r="B133" t="s">
        <v>1237</v>
      </c>
      <c r="C133">
        <v>127303.8061571587</v>
      </c>
      <c r="D133">
        <v>0</v>
      </c>
      <c r="E133">
        <v>60891.599515052469</v>
      </c>
      <c r="F133">
        <v>83697.259485949413</v>
      </c>
      <c r="G133">
        <v>271892.66515816061</v>
      </c>
      <c r="H133">
        <v>252416.76801653919</v>
      </c>
      <c r="I133">
        <v>19475.897141621419</v>
      </c>
      <c r="J133">
        <v>1947.75300880091</v>
      </c>
      <c r="K133">
        <v>0</v>
      </c>
      <c r="L133">
        <v>250469.01500773829</v>
      </c>
      <c r="M133">
        <v>1210</v>
      </c>
      <c r="N133">
        <v>148</v>
      </c>
      <c r="O133">
        <v>0.122314049586777</v>
      </c>
    </row>
    <row r="134" spans="1:15" x14ac:dyDescent="0.25">
      <c r="A134" t="s">
        <v>258</v>
      </c>
      <c r="B134" t="s">
        <v>1240</v>
      </c>
      <c r="C134">
        <v>28385.308129636735</v>
      </c>
      <c r="D134">
        <v>0</v>
      </c>
      <c r="E134">
        <v>13577.18097295089</v>
      </c>
      <c r="F134">
        <v>18662.226777272503</v>
      </c>
      <c r="G134">
        <v>60624.71587986013</v>
      </c>
      <c r="H134">
        <v>52534.873657351862</v>
      </c>
      <c r="I134">
        <v>8089.8422225082686</v>
      </c>
      <c r="J134">
        <v>405.38098572903874</v>
      </c>
      <c r="K134">
        <v>0</v>
      </c>
      <c r="L134">
        <v>52129.492671622822</v>
      </c>
      <c r="M134">
        <v>226</v>
      </c>
      <c r="N134">
        <v>33</v>
      </c>
      <c r="O134">
        <v>0.146017699115044</v>
      </c>
    </row>
    <row r="135" spans="1:15" x14ac:dyDescent="0.25">
      <c r="A135" t="s">
        <v>643</v>
      </c>
      <c r="B135" t="s">
        <v>1252</v>
      </c>
      <c r="C135">
        <v>212459.73054606901</v>
      </c>
      <c r="D135">
        <v>0</v>
      </c>
      <c r="E135">
        <v>101623.14243390517</v>
      </c>
      <c r="F135">
        <v>139683.93981776695</v>
      </c>
      <c r="G135">
        <v>453766.81279774115</v>
      </c>
      <c r="H135">
        <v>411349.445933902</v>
      </c>
      <c r="I135">
        <v>42417.366863839154</v>
      </c>
      <c r="J135">
        <v>3174.1438070146241</v>
      </c>
      <c r="K135">
        <v>0</v>
      </c>
      <c r="L135">
        <v>408175.30212688737</v>
      </c>
      <c r="M135">
        <v>2649</v>
      </c>
      <c r="N135">
        <v>247</v>
      </c>
      <c r="O135">
        <v>9.3242733106832801E-2</v>
      </c>
    </row>
    <row r="136" spans="1:15" x14ac:dyDescent="0.25">
      <c r="A136" t="s">
        <v>647</v>
      </c>
      <c r="B136" t="s">
        <v>1256</v>
      </c>
      <c r="C136">
        <v>530719.2459389657</v>
      </c>
      <c r="D136">
        <v>0</v>
      </c>
      <c r="E136">
        <v>256704.33681447321</v>
      </c>
      <c r="F136">
        <v>353978.25141071988</v>
      </c>
      <c r="G136">
        <v>1141401.8341641589</v>
      </c>
      <c r="H136">
        <v>1141401.8341641589</v>
      </c>
      <c r="I136">
        <v>0</v>
      </c>
      <c r="J136">
        <v>8807.5323767652717</v>
      </c>
      <c r="K136">
        <v>0</v>
      </c>
      <c r="L136">
        <v>1132594.3017873936</v>
      </c>
      <c r="M136">
        <v>6528</v>
      </c>
      <c r="N136">
        <v>617</v>
      </c>
      <c r="O136">
        <v>9.4515931372549003E-2</v>
      </c>
    </row>
    <row r="137" spans="1:15" x14ac:dyDescent="0.25">
      <c r="A137" t="s">
        <v>309</v>
      </c>
      <c r="B137" t="s">
        <v>662</v>
      </c>
      <c r="C137">
        <v>705331.89897885255</v>
      </c>
      <c r="D137">
        <v>185512.81893637322</v>
      </c>
      <c r="E137">
        <v>436145.1946950042</v>
      </c>
      <c r="F137">
        <v>599494.1473809341</v>
      </c>
      <c r="G137">
        <v>1926484.0599911641</v>
      </c>
      <c r="H137">
        <v>1675519.025329435</v>
      </c>
      <c r="I137">
        <v>250965.03466172912</v>
      </c>
      <c r="J137">
        <v>12929.003285054105</v>
      </c>
      <c r="K137">
        <v>0</v>
      </c>
      <c r="L137">
        <v>1662590.0220443809</v>
      </c>
      <c r="M137">
        <v>3502</v>
      </c>
      <c r="N137">
        <v>820</v>
      </c>
      <c r="O137">
        <v>0.23415191319246101</v>
      </c>
    </row>
    <row r="138" spans="1:15" x14ac:dyDescent="0.25">
      <c r="A138" t="s">
        <v>312</v>
      </c>
      <c r="B138" t="s">
        <v>674</v>
      </c>
      <c r="C138">
        <v>2597685.7742879675</v>
      </c>
      <c r="D138">
        <v>683230.13803395978</v>
      </c>
      <c r="E138">
        <v>1877559.5566685265</v>
      </c>
      <c r="F138">
        <v>2580759.7544873646</v>
      </c>
      <c r="G138">
        <v>7739235.2234778181</v>
      </c>
      <c r="H138">
        <v>6741943.3857585592</v>
      </c>
      <c r="I138">
        <v>997291.83771925885</v>
      </c>
      <c r="J138">
        <v>52023.645726722083</v>
      </c>
      <c r="K138">
        <v>0</v>
      </c>
      <c r="L138">
        <v>6689919.7400318375</v>
      </c>
      <c r="M138">
        <v>18293</v>
      </c>
      <c r="N138">
        <v>3020</v>
      </c>
      <c r="O138">
        <v>0.16509047176515601</v>
      </c>
    </row>
    <row r="139" spans="1:15" x14ac:dyDescent="0.25">
      <c r="A139" t="s">
        <v>314</v>
      </c>
      <c r="B139" t="s">
        <v>687</v>
      </c>
      <c r="C139">
        <v>10906.893975764393</v>
      </c>
      <c r="D139">
        <v>2856.5758939464172</v>
      </c>
      <c r="E139">
        <v>6015.3466569807933</v>
      </c>
      <c r="F139">
        <v>8294.7639984994967</v>
      </c>
      <c r="G139">
        <v>28073.580525191101</v>
      </c>
      <c r="H139">
        <v>27553.880280457906</v>
      </c>
      <c r="I139">
        <v>519.70024473319427</v>
      </c>
      <c r="J139">
        <v>212.61722682736129</v>
      </c>
      <c r="K139">
        <v>0</v>
      </c>
      <c r="L139">
        <v>27341.263053630544</v>
      </c>
      <c r="M139">
        <v>78</v>
      </c>
      <c r="N139">
        <v>12</v>
      </c>
      <c r="O139">
        <v>0.15384615384615399</v>
      </c>
    </row>
    <row r="140" spans="1:15" x14ac:dyDescent="0.25">
      <c r="A140" t="s">
        <v>318</v>
      </c>
      <c r="B140" t="s">
        <v>691</v>
      </c>
      <c r="C140">
        <v>24084.503867570565</v>
      </c>
      <c r="D140">
        <v>3831.1206422324799</v>
      </c>
      <c r="E140">
        <v>11520.032340685602</v>
      </c>
      <c r="F140">
        <v>15834.616659503943</v>
      </c>
      <c r="G140">
        <v>55270.273509992592</v>
      </c>
      <c r="H140">
        <v>49748.682234204964</v>
      </c>
      <c r="I140">
        <v>5521.5912757876285</v>
      </c>
      <c r="J140">
        <v>383.88157120847058</v>
      </c>
      <c r="K140">
        <v>0</v>
      </c>
      <c r="L140">
        <v>49364.800662996495</v>
      </c>
      <c r="M140">
        <v>215</v>
      </c>
      <c r="N140">
        <v>28</v>
      </c>
      <c r="O140">
        <v>0.13023255813953499</v>
      </c>
    </row>
    <row r="141" spans="1:15" x14ac:dyDescent="0.25">
      <c r="A141" t="s">
        <v>55</v>
      </c>
      <c r="B141" t="s">
        <v>692</v>
      </c>
      <c r="C141">
        <v>818943.62050985161</v>
      </c>
      <c r="D141">
        <v>215394.39774479441</v>
      </c>
      <c r="E141">
        <v>457938.63271044398</v>
      </c>
      <c r="F141">
        <v>629449.8563982069</v>
      </c>
      <c r="G141">
        <v>2121726.507363297</v>
      </c>
      <c r="H141">
        <v>1832520.3649970335</v>
      </c>
      <c r="I141">
        <v>289206.14236626355</v>
      </c>
      <c r="J141">
        <v>14140.491072201832</v>
      </c>
      <c r="K141">
        <v>0</v>
      </c>
      <c r="L141">
        <v>1818379.8739248316</v>
      </c>
      <c r="M141">
        <v>4906</v>
      </c>
      <c r="N141">
        <v>952</v>
      </c>
      <c r="O141">
        <v>0.19407911484846699</v>
      </c>
    </row>
    <row r="142" spans="1:15" x14ac:dyDescent="0.25">
      <c r="A142" t="s">
        <v>322</v>
      </c>
      <c r="B142" t="s">
        <v>696</v>
      </c>
      <c r="C142">
        <v>152217.50260669328</v>
      </c>
      <c r="D142">
        <v>39577.771047698981</v>
      </c>
      <c r="E142">
        <v>110322.09072156889</v>
      </c>
      <c r="F142">
        <v>152126.84464236131</v>
      </c>
      <c r="G142">
        <v>454244.20901832241</v>
      </c>
      <c r="H142">
        <v>445972.91680634004</v>
      </c>
      <c r="I142">
        <v>8271.2922119823634</v>
      </c>
      <c r="J142">
        <v>3441.3129420005498</v>
      </c>
      <c r="K142">
        <v>0</v>
      </c>
      <c r="L142">
        <v>442531.60386433947</v>
      </c>
      <c r="M142">
        <v>677</v>
      </c>
      <c r="N142">
        <v>163</v>
      </c>
      <c r="O142">
        <v>0.24076809453471201</v>
      </c>
    </row>
    <row r="143" spans="1:15" x14ac:dyDescent="0.25">
      <c r="A143" t="s">
        <v>324</v>
      </c>
      <c r="B143" t="s">
        <v>698</v>
      </c>
      <c r="C143">
        <v>23268.04048163072</v>
      </c>
      <c r="D143">
        <v>6108.3489161976531</v>
      </c>
      <c r="E143">
        <v>16486.539034044137</v>
      </c>
      <c r="F143">
        <v>22733.843656499121</v>
      </c>
      <c r="G143">
        <v>68596.772088371625</v>
      </c>
      <c r="H143">
        <v>67314.273917028942</v>
      </c>
      <c r="I143">
        <v>1282.4981713426823</v>
      </c>
      <c r="J143">
        <v>519.42499932710837</v>
      </c>
      <c r="K143">
        <v>0</v>
      </c>
      <c r="L143">
        <v>66794.848917701835</v>
      </c>
      <c r="M143">
        <v>116</v>
      </c>
      <c r="N143">
        <v>27</v>
      </c>
      <c r="O143">
        <v>0.232758620689655</v>
      </c>
    </row>
    <row r="144" spans="1:15" x14ac:dyDescent="0.25">
      <c r="A144" t="s">
        <v>328</v>
      </c>
      <c r="B144" t="s">
        <v>704</v>
      </c>
      <c r="C144">
        <v>96338.015470282262</v>
      </c>
      <c r="D144">
        <v>25338.336244968072</v>
      </c>
      <c r="E144">
        <v>59789.207769652916</v>
      </c>
      <c r="F144">
        <v>82445.351263503588</v>
      </c>
      <c r="G144">
        <v>263910.91074840684</v>
      </c>
      <c r="H144">
        <v>258480.55597813337</v>
      </c>
      <c r="I144">
        <v>5430.354770273465</v>
      </c>
      <c r="J144">
        <v>1994.5437245672726</v>
      </c>
      <c r="K144">
        <v>0</v>
      </c>
      <c r="L144">
        <v>256486.01225356609</v>
      </c>
      <c r="M144">
        <v>550</v>
      </c>
      <c r="N144">
        <v>112</v>
      </c>
      <c r="O144">
        <v>0.203636363636364</v>
      </c>
    </row>
    <row r="145" spans="1:15" x14ac:dyDescent="0.25">
      <c r="A145" t="s">
        <v>334</v>
      </c>
      <c r="B145" t="s">
        <v>715</v>
      </c>
      <c r="C145">
        <v>23224.343015157338</v>
      </c>
      <c r="D145">
        <v>6108.3489161976531</v>
      </c>
      <c r="E145">
        <v>16955.523028545398</v>
      </c>
      <c r="F145">
        <v>23305.855355127336</v>
      </c>
      <c r="G145">
        <v>69594.070315027726</v>
      </c>
      <c r="H145">
        <v>51408.144873506972</v>
      </c>
      <c r="I145">
        <v>18185.925441520754</v>
      </c>
      <c r="J145">
        <v>396.68667672539652</v>
      </c>
      <c r="K145">
        <v>0</v>
      </c>
      <c r="L145">
        <v>51011.458196781576</v>
      </c>
      <c r="M145">
        <v>93</v>
      </c>
      <c r="N145">
        <v>27</v>
      </c>
      <c r="O145">
        <v>0.29032258064516098</v>
      </c>
    </row>
    <row r="146" spans="1:15" x14ac:dyDescent="0.25">
      <c r="A146" t="s">
        <v>336</v>
      </c>
      <c r="B146" t="s">
        <v>721</v>
      </c>
      <c r="C146">
        <v>662323.85635819065</v>
      </c>
      <c r="D146">
        <v>174201.06168415534</v>
      </c>
      <c r="E146">
        <v>348926.59784246102</v>
      </c>
      <c r="F146">
        <v>479609.67085370532</v>
      </c>
      <c r="G146">
        <v>1665061.1867385125</v>
      </c>
      <c r="H146">
        <v>1536573.5631600239</v>
      </c>
      <c r="I146">
        <v>128487.62357848859</v>
      </c>
      <c r="J146">
        <v>11856.842175765316</v>
      </c>
      <c r="K146">
        <v>0</v>
      </c>
      <c r="L146">
        <v>1524716.7209842585</v>
      </c>
      <c r="M146">
        <v>4274</v>
      </c>
      <c r="N146">
        <v>770</v>
      </c>
      <c r="O146">
        <v>0.18015910154422099</v>
      </c>
    </row>
    <row r="147" spans="1:15" x14ac:dyDescent="0.25">
      <c r="A147" t="s">
        <v>109</v>
      </c>
      <c r="B147" t="s">
        <v>729</v>
      </c>
      <c r="C147">
        <v>151969.38939565056</v>
      </c>
      <c r="D147">
        <v>39801.624122320078</v>
      </c>
      <c r="E147">
        <v>80540.048045916323</v>
      </c>
      <c r="F147">
        <v>111059.38345106077</v>
      </c>
      <c r="G147">
        <v>383370.44501494768</v>
      </c>
      <c r="H147">
        <v>376272.1849380912</v>
      </c>
      <c r="I147">
        <v>7098.2600768564735</v>
      </c>
      <c r="J147">
        <v>2903.4730382620164</v>
      </c>
      <c r="K147">
        <v>0</v>
      </c>
      <c r="L147">
        <v>373368.71189982921</v>
      </c>
      <c r="M147">
        <v>1152</v>
      </c>
      <c r="N147">
        <v>174</v>
      </c>
      <c r="O147">
        <v>0.15104166666666699</v>
      </c>
    </row>
    <row r="148" spans="1:15" x14ac:dyDescent="0.25">
      <c r="A148" t="s">
        <v>342</v>
      </c>
      <c r="B148" t="s">
        <v>731</v>
      </c>
      <c r="C148">
        <v>521257.47656242014</v>
      </c>
      <c r="D148">
        <v>137098.49789688073</v>
      </c>
      <c r="E148">
        <v>301950.02482023631</v>
      </c>
      <c r="F148">
        <v>415039.01655466965</v>
      </c>
      <c r="G148">
        <v>1375345.0158342069</v>
      </c>
      <c r="H148">
        <v>1208414.2135432558</v>
      </c>
      <c r="I148">
        <v>166930.80229095113</v>
      </c>
      <c r="J148">
        <v>9324.6278319847588</v>
      </c>
      <c r="K148">
        <v>0</v>
      </c>
      <c r="L148">
        <v>1199089.585711271</v>
      </c>
      <c r="M148">
        <v>2795</v>
      </c>
      <c r="N148">
        <v>606</v>
      </c>
      <c r="O148">
        <v>0.21681574239713799</v>
      </c>
    </row>
    <row r="149" spans="1:15" x14ac:dyDescent="0.25">
      <c r="A149" t="s">
        <v>344</v>
      </c>
      <c r="B149" t="s">
        <v>733</v>
      </c>
      <c r="C149">
        <v>128163.96700957193</v>
      </c>
      <c r="D149">
        <v>23118.831461747723</v>
      </c>
      <c r="E149">
        <v>61303.029241505552</v>
      </c>
      <c r="F149">
        <v>84262.78150950314</v>
      </c>
      <c r="G149">
        <v>296848.60922232835</v>
      </c>
      <c r="H149">
        <v>290439.30279579235</v>
      </c>
      <c r="I149">
        <v>6409.3064265360008</v>
      </c>
      <c r="J149">
        <v>2241.1507378839278</v>
      </c>
      <c r="K149">
        <v>0</v>
      </c>
      <c r="L149">
        <v>288198.15205790842</v>
      </c>
      <c r="M149">
        <v>1062</v>
      </c>
      <c r="N149">
        <v>149</v>
      </c>
      <c r="O149">
        <v>0.14030131826742001</v>
      </c>
    </row>
    <row r="150" spans="1:15" x14ac:dyDescent="0.25">
      <c r="A150" t="s">
        <v>346</v>
      </c>
      <c r="B150" t="s">
        <v>735</v>
      </c>
      <c r="C150">
        <v>1713440.4180071636</v>
      </c>
      <c r="D150">
        <v>319964.62743058853</v>
      </c>
      <c r="E150">
        <v>1087203.0521522036</v>
      </c>
      <c r="F150">
        <v>1494391.9472406842</v>
      </c>
      <c r="G150">
        <v>4615000.0448306398</v>
      </c>
      <c r="H150">
        <v>4269881.3345384989</v>
      </c>
      <c r="I150">
        <v>345118.71029214095</v>
      </c>
      <c r="J150">
        <v>32948.184393301752</v>
      </c>
      <c r="K150">
        <v>0</v>
      </c>
      <c r="L150">
        <v>4236933.1501451973</v>
      </c>
      <c r="M150">
        <v>13680</v>
      </c>
      <c r="N150">
        <v>1992</v>
      </c>
      <c r="O150">
        <v>0.145614035087719</v>
      </c>
    </row>
    <row r="151" spans="1:15" x14ac:dyDescent="0.25">
      <c r="A151" t="s">
        <v>352</v>
      </c>
      <c r="B151" t="s">
        <v>743</v>
      </c>
      <c r="C151">
        <v>36986.916653769083</v>
      </c>
      <c r="D151">
        <v>9728.1112369073799</v>
      </c>
      <c r="E151">
        <v>21104.596390704417</v>
      </c>
      <c r="F151">
        <v>29008.876339705337</v>
      </c>
      <c r="G151">
        <v>96828.500621086219</v>
      </c>
      <c r="H151">
        <v>85930.473357811294</v>
      </c>
      <c r="I151">
        <v>10898.027263274926</v>
      </c>
      <c r="J151">
        <v>663.07535488053099</v>
      </c>
      <c r="K151">
        <v>0</v>
      </c>
      <c r="L151">
        <v>85267.398002930757</v>
      </c>
      <c r="M151">
        <v>205</v>
      </c>
      <c r="N151">
        <v>43</v>
      </c>
      <c r="O151">
        <v>0.20975609756097599</v>
      </c>
    </row>
    <row r="152" spans="1:15" x14ac:dyDescent="0.25">
      <c r="A152" t="s">
        <v>356</v>
      </c>
      <c r="B152" t="s">
        <v>749</v>
      </c>
      <c r="C152">
        <v>121282.6801902661</v>
      </c>
      <c r="D152">
        <v>31899.155451254424</v>
      </c>
      <c r="E152">
        <v>67098.181510487426</v>
      </c>
      <c r="F152">
        <v>92228.385420066552</v>
      </c>
      <c r="G152">
        <v>312508.4025720745</v>
      </c>
      <c r="H152">
        <v>281226.14840362174</v>
      </c>
      <c r="I152">
        <v>31282.254168452753</v>
      </c>
      <c r="J152">
        <v>2170.0581978403052</v>
      </c>
      <c r="K152">
        <v>0</v>
      </c>
      <c r="L152">
        <v>279056.09020578145</v>
      </c>
      <c r="M152">
        <v>716</v>
      </c>
      <c r="N152">
        <v>141</v>
      </c>
      <c r="O152">
        <v>0.19692737430167601</v>
      </c>
    </row>
    <row r="153" spans="1:15" x14ac:dyDescent="0.25">
      <c r="A153" t="s">
        <v>113</v>
      </c>
      <c r="B153" t="s">
        <v>753</v>
      </c>
      <c r="C153">
        <v>41287.720915835263</v>
      </c>
      <c r="D153">
        <v>10859.286962129165</v>
      </c>
      <c r="E153">
        <v>19748.62686974676</v>
      </c>
      <c r="F153">
        <v>27145.057130578192</v>
      </c>
      <c r="G153">
        <v>99040.691878289377</v>
      </c>
      <c r="H153">
        <v>77071.371846258204</v>
      </c>
      <c r="I153">
        <v>21969.320032031173</v>
      </c>
      <c r="J153">
        <v>594.71483446031232</v>
      </c>
      <c r="K153">
        <v>0</v>
      </c>
      <c r="L153">
        <v>76476.657011797884</v>
      </c>
      <c r="M153">
        <v>315</v>
      </c>
      <c r="N153">
        <v>48</v>
      </c>
      <c r="O153">
        <v>0.15238095238095201</v>
      </c>
    </row>
    <row r="154" spans="1:15" x14ac:dyDescent="0.25">
      <c r="A154" t="s">
        <v>358</v>
      </c>
      <c r="B154" t="s">
        <v>755</v>
      </c>
      <c r="C154">
        <v>34406.434096529389</v>
      </c>
      <c r="D154">
        <v>9049.4058017743064</v>
      </c>
      <c r="E154">
        <v>16925.416658312195</v>
      </c>
      <c r="F154">
        <v>23264.473281053786</v>
      </c>
      <c r="G154">
        <v>83645.729837669671</v>
      </c>
      <c r="H154">
        <v>75776.009037055468</v>
      </c>
      <c r="I154">
        <v>7869.7208006142027</v>
      </c>
      <c r="J154">
        <v>584.71927501733535</v>
      </c>
      <c r="K154">
        <v>0</v>
      </c>
      <c r="L154">
        <v>75191.289762038126</v>
      </c>
      <c r="M154">
        <v>247</v>
      </c>
      <c r="N154">
        <v>40</v>
      </c>
      <c r="O154">
        <v>0.16194331983805699</v>
      </c>
    </row>
    <row r="155" spans="1:15" x14ac:dyDescent="0.25">
      <c r="A155" t="s">
        <v>362</v>
      </c>
      <c r="B155" t="s">
        <v>759</v>
      </c>
      <c r="C155">
        <v>57630.777111686715</v>
      </c>
      <c r="D155">
        <v>15157.754717971962</v>
      </c>
      <c r="E155">
        <v>31654.066006687259</v>
      </c>
      <c r="F155">
        <v>43509.426545646071</v>
      </c>
      <c r="G155">
        <v>147952.024381992</v>
      </c>
      <c r="H155">
        <v>128418.52545356016</v>
      </c>
      <c r="I155">
        <v>19533.498928431844</v>
      </c>
      <c r="J155">
        <v>990.93087714980504</v>
      </c>
      <c r="K155">
        <v>0</v>
      </c>
      <c r="L155">
        <v>127427.59457641035</v>
      </c>
      <c r="M155">
        <v>345</v>
      </c>
      <c r="N155">
        <v>67</v>
      </c>
      <c r="O155">
        <v>0.19420289855072501</v>
      </c>
    </row>
    <row r="156" spans="1:15" x14ac:dyDescent="0.25">
      <c r="A156" t="s">
        <v>378</v>
      </c>
      <c r="B156" t="s">
        <v>781</v>
      </c>
      <c r="C156">
        <v>696730.29045472003</v>
      </c>
      <c r="D156">
        <v>183250.46748592958</v>
      </c>
      <c r="E156">
        <v>358256.07546207891</v>
      </c>
      <c r="F156">
        <v>492433.30687930348</v>
      </c>
      <c r="G156">
        <v>1730670.1402820321</v>
      </c>
      <c r="H156">
        <v>1497691.5998034885</v>
      </c>
      <c r="I156">
        <v>232978.54047854361</v>
      </c>
      <c r="J156">
        <v>11556.812737503844</v>
      </c>
      <c r="K156">
        <v>0</v>
      </c>
      <c r="L156">
        <v>1486134.7870659847</v>
      </c>
      <c r="M156">
        <v>4679</v>
      </c>
      <c r="N156">
        <v>810</v>
      </c>
      <c r="O156">
        <v>0.17311391322932199</v>
      </c>
    </row>
    <row r="157" spans="1:15" x14ac:dyDescent="0.25">
      <c r="A157" t="s">
        <v>386</v>
      </c>
      <c r="B157" t="s">
        <v>795</v>
      </c>
      <c r="C157">
        <v>282132.7595915409</v>
      </c>
      <c r="D157">
        <v>74205.127574549319</v>
      </c>
      <c r="E157">
        <v>159816.66808882373</v>
      </c>
      <c r="F157">
        <v>219672.61897765574</v>
      </c>
      <c r="G157">
        <v>735827.17423256964</v>
      </c>
      <c r="H157">
        <v>628852.68134235113</v>
      </c>
      <c r="I157">
        <v>106974.49289021851</v>
      </c>
      <c r="J157">
        <v>4852.489443557205</v>
      </c>
      <c r="K157">
        <v>0</v>
      </c>
      <c r="L157">
        <v>624000.19189879391</v>
      </c>
      <c r="M157">
        <v>1588</v>
      </c>
      <c r="N157">
        <v>328</v>
      </c>
      <c r="O157">
        <v>0.20654911838790899</v>
      </c>
    </row>
    <row r="158" spans="1:15" x14ac:dyDescent="0.25">
      <c r="A158" t="s">
        <v>390</v>
      </c>
      <c r="B158" t="s">
        <v>799</v>
      </c>
      <c r="C158">
        <v>60211.25966892641</v>
      </c>
      <c r="D158">
        <v>15836.460153105038</v>
      </c>
      <c r="E158">
        <v>30881.462694867372</v>
      </c>
      <c r="F158">
        <v>42447.461013715765</v>
      </c>
      <c r="G158">
        <v>149376.64353061459</v>
      </c>
      <c r="H158">
        <v>134440.77895026284</v>
      </c>
      <c r="I158">
        <v>14935.864580351743</v>
      </c>
      <c r="J158">
        <v>1037.4010956702953</v>
      </c>
      <c r="K158">
        <v>0</v>
      </c>
      <c r="L158">
        <v>133403.37785459255</v>
      </c>
      <c r="M158">
        <v>406</v>
      </c>
      <c r="N158">
        <v>70</v>
      </c>
      <c r="O158">
        <v>0.17241379310344801</v>
      </c>
    </row>
    <row r="159" spans="1:15" x14ac:dyDescent="0.25">
      <c r="A159" t="s">
        <v>392</v>
      </c>
      <c r="B159" t="s">
        <v>803</v>
      </c>
      <c r="C159">
        <v>399974.79637215415</v>
      </c>
      <c r="D159">
        <v>105199.34244562633</v>
      </c>
      <c r="E159">
        <v>195141.42782897988</v>
      </c>
      <c r="F159">
        <v>268227.51991304336</v>
      </c>
      <c r="G159">
        <v>968543.08655980369</v>
      </c>
      <c r="H159">
        <v>812743.55605505535</v>
      </c>
      <c r="I159">
        <v>155799.53050474834</v>
      </c>
      <c r="J159">
        <v>6271.4680927459622</v>
      </c>
      <c r="K159">
        <v>0</v>
      </c>
      <c r="L159">
        <v>806472.08796230936</v>
      </c>
      <c r="M159">
        <v>2905</v>
      </c>
      <c r="N159">
        <v>465</v>
      </c>
      <c r="O159">
        <v>0.160068846815835</v>
      </c>
    </row>
    <row r="160" spans="1:15" x14ac:dyDescent="0.25">
      <c r="A160" t="s">
        <v>396</v>
      </c>
      <c r="B160" t="s">
        <v>811</v>
      </c>
      <c r="C160">
        <v>13904.48341118833</v>
      </c>
      <c r="D160">
        <v>3615.2771630109637</v>
      </c>
      <c r="E160">
        <v>10424.757619893451</v>
      </c>
      <c r="F160">
        <v>14375.049208215831</v>
      </c>
      <c r="G160">
        <v>42319.567402308574</v>
      </c>
      <c r="H160">
        <v>41548.85923408786</v>
      </c>
      <c r="I160">
        <v>770.70816822071356</v>
      </c>
      <c r="J160">
        <v>320.60831862064526</v>
      </c>
      <c r="K160">
        <v>0</v>
      </c>
      <c r="L160">
        <v>41228.250915467215</v>
      </c>
      <c r="M160">
        <v>56</v>
      </c>
      <c r="N160">
        <v>14</v>
      </c>
      <c r="O160">
        <v>0.25</v>
      </c>
    </row>
    <row r="161" spans="1:15" x14ac:dyDescent="0.25">
      <c r="A161" t="s">
        <v>398</v>
      </c>
      <c r="B161" t="s">
        <v>813</v>
      </c>
      <c r="C161">
        <v>3658264.1053134864</v>
      </c>
      <c r="D161">
        <v>962178.07187365333</v>
      </c>
      <c r="E161">
        <v>2892145.2621017662</v>
      </c>
      <c r="F161">
        <v>3975337.0645708186</v>
      </c>
      <c r="G161">
        <v>11487924.503859725</v>
      </c>
      <c r="H161">
        <v>10083859.456038302</v>
      </c>
      <c r="I161">
        <v>1404065.047821423</v>
      </c>
      <c r="J161">
        <v>77811.263293479671</v>
      </c>
      <c r="K161">
        <v>0</v>
      </c>
      <c r="L161">
        <v>10006048.192744821</v>
      </c>
      <c r="M161">
        <v>24062</v>
      </c>
      <c r="N161">
        <v>4253</v>
      </c>
      <c r="O161">
        <v>0.17675172471116299</v>
      </c>
    </row>
    <row r="162" spans="1:15" x14ac:dyDescent="0.25">
      <c r="A162" t="s">
        <v>402</v>
      </c>
      <c r="B162" t="s">
        <v>821</v>
      </c>
      <c r="C162">
        <v>1082082.3523358491</v>
      </c>
      <c r="D162">
        <v>208730.02119749374</v>
      </c>
      <c r="E162">
        <v>634218.92332738778</v>
      </c>
      <c r="F162">
        <v>871752.19930804719</v>
      </c>
      <c r="G162">
        <v>2796783.4961687778</v>
      </c>
      <c r="H162">
        <v>2725369.7159458031</v>
      </c>
      <c r="I162">
        <v>71413.780222974718</v>
      </c>
      <c r="J162">
        <v>21030.088872623943</v>
      </c>
      <c r="K162">
        <v>0</v>
      </c>
      <c r="L162">
        <v>2704339.627073179</v>
      </c>
      <c r="M162">
        <v>9266</v>
      </c>
      <c r="N162">
        <v>1258</v>
      </c>
      <c r="O162">
        <v>0.13576516296136401</v>
      </c>
    </row>
    <row r="163" spans="1:15" x14ac:dyDescent="0.25">
      <c r="A163" t="s">
        <v>404</v>
      </c>
      <c r="B163" t="s">
        <v>825</v>
      </c>
      <c r="C163">
        <v>30105.629834463205</v>
      </c>
      <c r="D163">
        <v>7918.2300765525188</v>
      </c>
      <c r="E163">
        <v>21229.887028152545</v>
      </c>
      <c r="F163">
        <v>29181.091933928026</v>
      </c>
      <c r="G163">
        <v>88434.838873096291</v>
      </c>
      <c r="H163">
        <v>73506.209508646702</v>
      </c>
      <c r="I163">
        <v>14928.629364449589</v>
      </c>
      <c r="J163">
        <v>567.20455562855307</v>
      </c>
      <c r="K163">
        <v>0</v>
      </c>
      <c r="L163">
        <v>72939.004953018142</v>
      </c>
      <c r="M163">
        <v>127</v>
      </c>
      <c r="N163">
        <v>35</v>
      </c>
      <c r="O163">
        <v>0.27559055118110198</v>
      </c>
    </row>
    <row r="164" spans="1:15" x14ac:dyDescent="0.25">
      <c r="A164" t="s">
        <v>406</v>
      </c>
      <c r="B164" t="s">
        <v>829</v>
      </c>
      <c r="C164">
        <v>189235.3875309116</v>
      </c>
      <c r="D164">
        <v>49771.731909758695</v>
      </c>
      <c r="E164">
        <v>113302.23013886208</v>
      </c>
      <c r="F164">
        <v>156236.25920459378</v>
      </c>
      <c r="G164">
        <v>508545.60878412618</v>
      </c>
      <c r="H164">
        <v>489698.52106091147</v>
      </c>
      <c r="I164">
        <v>18847.087723214703</v>
      </c>
      <c r="J164">
        <v>3778.7179326345276</v>
      </c>
      <c r="K164">
        <v>0</v>
      </c>
      <c r="L164">
        <v>485919.80312827695</v>
      </c>
      <c r="M164">
        <v>1055</v>
      </c>
      <c r="N164">
        <v>220</v>
      </c>
      <c r="O164">
        <v>0.208530805687204</v>
      </c>
    </row>
    <row r="165" spans="1:15" x14ac:dyDescent="0.25">
      <c r="A165" t="s">
        <v>408</v>
      </c>
      <c r="B165" t="s">
        <v>831</v>
      </c>
      <c r="C165">
        <v>97198.176322695494</v>
      </c>
      <c r="D165">
        <v>25564.571390012414</v>
      </c>
      <c r="E165">
        <v>48716.920765121067</v>
      </c>
      <c r="F165">
        <v>66962.812458667948</v>
      </c>
      <c r="G165">
        <v>238442.48093649693</v>
      </c>
      <c r="H165">
        <v>208784.07072246954</v>
      </c>
      <c r="I165">
        <v>29658.41021402739</v>
      </c>
      <c r="J165">
        <v>1611.0649270049537</v>
      </c>
      <c r="K165">
        <v>0</v>
      </c>
      <c r="L165">
        <v>207173.00579546459</v>
      </c>
      <c r="M165">
        <v>679</v>
      </c>
      <c r="N165">
        <v>113</v>
      </c>
      <c r="O165">
        <v>0.166421207658321</v>
      </c>
    </row>
    <row r="166" spans="1:15" x14ac:dyDescent="0.25">
      <c r="A166" t="s">
        <v>410</v>
      </c>
      <c r="B166" t="s">
        <v>833</v>
      </c>
      <c r="C166">
        <v>574587.44941204041</v>
      </c>
      <c r="D166">
        <v>151125.07688963084</v>
      </c>
      <c r="E166">
        <v>301543.3471071237</v>
      </c>
      <c r="F166">
        <v>414480.02631048771</v>
      </c>
      <c r="G166">
        <v>1441735.8997192828</v>
      </c>
      <c r="H166">
        <v>1295642.7492225186</v>
      </c>
      <c r="I166">
        <v>146093.15049676411</v>
      </c>
      <c r="J166">
        <v>9997.719576870144</v>
      </c>
      <c r="K166">
        <v>0</v>
      </c>
      <c r="L166">
        <v>1285645.0296456486</v>
      </c>
      <c r="M166">
        <v>3732</v>
      </c>
      <c r="N166">
        <v>668</v>
      </c>
      <c r="O166">
        <v>0.17899249732047201</v>
      </c>
    </row>
    <row r="167" spans="1:15" x14ac:dyDescent="0.25">
      <c r="A167" t="s">
        <v>412</v>
      </c>
      <c r="B167" t="s">
        <v>835</v>
      </c>
      <c r="C167">
        <v>319119.67624530999</v>
      </c>
      <c r="D167">
        <v>83933.238811456642</v>
      </c>
      <c r="E167">
        <v>197031.54627804836</v>
      </c>
      <c r="F167">
        <v>270825.54222729965</v>
      </c>
      <c r="G167">
        <v>870910.00356211467</v>
      </c>
      <c r="H167">
        <v>866810.14018499397</v>
      </c>
      <c r="I167">
        <v>4099.8633771206951</v>
      </c>
      <c r="J167">
        <v>6688.6683950165925</v>
      </c>
      <c r="K167">
        <v>0</v>
      </c>
      <c r="L167">
        <v>860121.4717899774</v>
      </c>
      <c r="M167">
        <v>1587</v>
      </c>
      <c r="N167">
        <v>371</v>
      </c>
      <c r="O167">
        <v>0.23377441713925601</v>
      </c>
    </row>
    <row r="168" spans="1:15" x14ac:dyDescent="0.25">
      <c r="A168" t="s">
        <v>416</v>
      </c>
      <c r="B168" t="s">
        <v>841</v>
      </c>
      <c r="C168">
        <v>36986.916653769083</v>
      </c>
      <c r="D168">
        <v>9728.1112369073799</v>
      </c>
      <c r="E168">
        <v>22480.427681706606</v>
      </c>
      <c r="F168">
        <v>30899.996124519541</v>
      </c>
      <c r="G168">
        <v>100095.45169690262</v>
      </c>
      <c r="H168">
        <v>89603.368395415993</v>
      </c>
      <c r="I168">
        <v>10492.083301486622</v>
      </c>
      <c r="J168">
        <v>691.41694413673974</v>
      </c>
      <c r="K168">
        <v>0</v>
      </c>
      <c r="L168">
        <v>88911.951451279252</v>
      </c>
      <c r="M168">
        <v>187</v>
      </c>
      <c r="N168">
        <v>43</v>
      </c>
      <c r="O168">
        <v>0.22994652406417099</v>
      </c>
    </row>
    <row r="169" spans="1:15" x14ac:dyDescent="0.25">
      <c r="A169" t="s">
        <v>420</v>
      </c>
      <c r="B169" t="s">
        <v>849</v>
      </c>
      <c r="C169">
        <v>202137.80031711009</v>
      </c>
      <c r="D169">
        <v>53165.259085424041</v>
      </c>
      <c r="E169">
        <v>108048.35818597722</v>
      </c>
      <c r="F169">
        <v>148515.58415520051</v>
      </c>
      <c r="G169">
        <v>511867.00174371188</v>
      </c>
      <c r="H169">
        <v>448600.90764418733</v>
      </c>
      <c r="I169">
        <v>63266.094099524547</v>
      </c>
      <c r="J169">
        <v>3461.5916148547353</v>
      </c>
      <c r="K169">
        <v>0</v>
      </c>
      <c r="L169">
        <v>445139.31602933258</v>
      </c>
      <c r="M169">
        <v>1272</v>
      </c>
      <c r="N169">
        <v>235</v>
      </c>
      <c r="O169">
        <v>0.18474842767295599</v>
      </c>
    </row>
    <row r="170" spans="1:15" x14ac:dyDescent="0.25">
      <c r="A170" t="s">
        <v>57</v>
      </c>
      <c r="B170" t="s">
        <v>850</v>
      </c>
      <c r="C170">
        <v>2596365.3703149585</v>
      </c>
      <c r="D170">
        <v>682882.85207748681</v>
      </c>
      <c r="E170">
        <v>1901977.9660230386</v>
      </c>
      <c r="F170">
        <v>2622701.4431826072</v>
      </c>
      <c r="G170">
        <v>7803927.6315980917</v>
      </c>
      <c r="H170">
        <v>7511449.8312141933</v>
      </c>
      <c r="I170">
        <v>292477.80038389843</v>
      </c>
      <c r="J170">
        <v>57961.478249519052</v>
      </c>
      <c r="K170">
        <v>0</v>
      </c>
      <c r="L170">
        <v>7453488.3529646741</v>
      </c>
      <c r="M170">
        <v>19508</v>
      </c>
      <c r="N170">
        <v>3018</v>
      </c>
      <c r="O170">
        <v>0.154727342732322</v>
      </c>
    </row>
    <row r="171" spans="1:15" x14ac:dyDescent="0.25">
      <c r="A171" t="s">
        <v>422</v>
      </c>
      <c r="B171" t="s">
        <v>854</v>
      </c>
      <c r="C171">
        <v>101797.67710713435</v>
      </c>
      <c r="D171">
        <v>26695.747115234211</v>
      </c>
      <c r="E171">
        <v>57685.134492198405</v>
      </c>
      <c r="F171">
        <v>79543.973792301535</v>
      </c>
      <c r="G171">
        <v>265722.53250686853</v>
      </c>
      <c r="H171">
        <v>260770.32273786669</v>
      </c>
      <c r="I171">
        <v>4952.2097690018418</v>
      </c>
      <c r="J171">
        <v>2012.2125194368382</v>
      </c>
      <c r="K171">
        <v>0</v>
      </c>
      <c r="L171">
        <v>258758.11021842985</v>
      </c>
      <c r="M171">
        <v>695</v>
      </c>
      <c r="N171">
        <v>118</v>
      </c>
      <c r="O171">
        <v>0.16978417266186999</v>
      </c>
    </row>
    <row r="172" spans="1:15" x14ac:dyDescent="0.25">
      <c r="A172" t="s">
        <v>424</v>
      </c>
      <c r="B172" t="s">
        <v>856</v>
      </c>
      <c r="C172">
        <v>430080.42620661733</v>
      </c>
      <c r="D172">
        <v>113117.57252217885</v>
      </c>
      <c r="E172">
        <v>303084.7274343074</v>
      </c>
      <c r="F172">
        <v>416598.69801952934</v>
      </c>
      <c r="G172">
        <v>1262881.4241826329</v>
      </c>
      <c r="H172">
        <v>1048566.2408523533</v>
      </c>
      <c r="I172">
        <v>214315.18333027966</v>
      </c>
      <c r="J172">
        <v>8091.1742377329283</v>
      </c>
      <c r="K172">
        <v>0</v>
      </c>
      <c r="L172">
        <v>1040475.0666146204</v>
      </c>
      <c r="M172">
        <v>1816</v>
      </c>
      <c r="N172">
        <v>500</v>
      </c>
      <c r="O172">
        <v>0.27533039647577101</v>
      </c>
    </row>
    <row r="173" spans="1:15" x14ac:dyDescent="0.25">
      <c r="A173" t="s">
        <v>74</v>
      </c>
      <c r="B173" t="s">
        <v>858</v>
      </c>
      <c r="C173">
        <v>75958.143167542788</v>
      </c>
      <c r="D173">
        <v>19893.858068435708</v>
      </c>
      <c r="E173">
        <v>46850.096294803756</v>
      </c>
      <c r="F173">
        <v>64603.174884591455</v>
      </c>
      <c r="G173">
        <v>207305.27241537371</v>
      </c>
      <c r="H173">
        <v>203469.55607124013</v>
      </c>
      <c r="I173">
        <v>3835.7163441335724</v>
      </c>
      <c r="J173">
        <v>1570.0559164562949</v>
      </c>
      <c r="K173">
        <v>0</v>
      </c>
      <c r="L173">
        <v>201899.50015478383</v>
      </c>
      <c r="M173">
        <v>401</v>
      </c>
      <c r="N173">
        <v>72</v>
      </c>
      <c r="O173">
        <v>0.179714267172806</v>
      </c>
    </row>
    <row r="174" spans="1:15" x14ac:dyDescent="0.25">
      <c r="A174" t="s">
        <v>75</v>
      </c>
      <c r="B174" t="s">
        <v>859</v>
      </c>
      <c r="C174">
        <v>48482.910779599428</v>
      </c>
      <c r="D174">
        <v>12675.360069105345</v>
      </c>
      <c r="E174">
        <v>29900.816865727229</v>
      </c>
      <c r="F174">
        <v>41231.566605584543</v>
      </c>
      <c r="G174">
        <v>132290.65432001653</v>
      </c>
      <c r="H174">
        <v>113825.52046722815</v>
      </c>
      <c r="I174">
        <v>18465.133852788378</v>
      </c>
      <c r="J174">
        <v>878.32516718479815</v>
      </c>
      <c r="K174">
        <v>0</v>
      </c>
      <c r="L174">
        <v>112947.19530004336</v>
      </c>
      <c r="M174">
        <v>327</v>
      </c>
      <c r="N174">
        <v>54</v>
      </c>
      <c r="O174">
        <v>0.16616911574533999</v>
      </c>
    </row>
    <row r="175" spans="1:15" x14ac:dyDescent="0.25">
      <c r="A175" t="s">
        <v>145</v>
      </c>
      <c r="B175" t="s">
        <v>867</v>
      </c>
      <c r="C175">
        <v>18923.538753091165</v>
      </c>
      <c r="D175">
        <v>4977.1731909758673</v>
      </c>
      <c r="E175">
        <v>16855.247318465626</v>
      </c>
      <c r="F175">
        <v>23168.023499936706</v>
      </c>
      <c r="G175">
        <v>63923.982762469372</v>
      </c>
      <c r="H175">
        <v>49304.888640579942</v>
      </c>
      <c r="I175">
        <v>14619.09412188943</v>
      </c>
      <c r="J175">
        <v>380.45707483264715</v>
      </c>
      <c r="K175">
        <v>0</v>
      </c>
      <c r="L175">
        <v>48924.431565747298</v>
      </c>
      <c r="M175">
        <v>60</v>
      </c>
      <c r="N175">
        <v>22</v>
      </c>
      <c r="O175">
        <v>0.36666666666666697</v>
      </c>
    </row>
    <row r="176" spans="1:15" x14ac:dyDescent="0.25">
      <c r="A176" t="s">
        <v>430</v>
      </c>
      <c r="B176" t="s">
        <v>871</v>
      </c>
      <c r="C176">
        <v>26664.986424810279</v>
      </c>
      <c r="D176">
        <v>7013.2894963750887</v>
      </c>
      <c r="E176">
        <v>19906.811313824786</v>
      </c>
      <c r="F176">
        <v>27362.486210583997</v>
      </c>
      <c r="G176">
        <v>80947.573445594157</v>
      </c>
      <c r="H176">
        <v>72254.054321741438</v>
      </c>
      <c r="I176">
        <v>8693.5191238527186</v>
      </c>
      <c r="J176">
        <v>557.54240421149427</v>
      </c>
      <c r="K176">
        <v>0</v>
      </c>
      <c r="L176">
        <v>71696.511917529948</v>
      </c>
      <c r="M176">
        <v>103</v>
      </c>
      <c r="N176">
        <v>31</v>
      </c>
      <c r="O176">
        <v>0.30097087378640802</v>
      </c>
    </row>
    <row r="177" spans="1:15" x14ac:dyDescent="0.25">
      <c r="A177" t="s">
        <v>432</v>
      </c>
      <c r="B177" t="s">
        <v>873</v>
      </c>
      <c r="C177">
        <v>798229.27103948186</v>
      </c>
      <c r="D177">
        <v>209946.21460116407</v>
      </c>
      <c r="E177">
        <v>430561.20873312437</v>
      </c>
      <c r="F177">
        <v>591818.79764895968</v>
      </c>
      <c r="G177">
        <v>2030555.4920227299</v>
      </c>
      <c r="H177">
        <v>1781155.4727625542</v>
      </c>
      <c r="I177">
        <v>249400.01926017576</v>
      </c>
      <c r="J177">
        <v>13744.138150870211</v>
      </c>
      <c r="K177">
        <v>0</v>
      </c>
      <c r="L177">
        <v>1767411.3346116841</v>
      </c>
      <c r="M177">
        <v>5467</v>
      </c>
      <c r="N177">
        <v>928</v>
      </c>
      <c r="O177">
        <v>0.16974574721053601</v>
      </c>
    </row>
    <row r="178" spans="1:15" x14ac:dyDescent="0.25">
      <c r="A178" t="s">
        <v>434</v>
      </c>
      <c r="B178" t="s">
        <v>875</v>
      </c>
      <c r="C178">
        <v>2441136.49914876</v>
      </c>
      <c r="D178">
        <v>464490.35096860031</v>
      </c>
      <c r="E178">
        <v>1727799.1362396136</v>
      </c>
      <c r="F178">
        <v>2374909.7379138134</v>
      </c>
      <c r="G178">
        <v>7008335.7242707871</v>
      </c>
      <c r="H178">
        <v>6312540.5017639212</v>
      </c>
      <c r="I178">
        <v>695795.22250686586</v>
      </c>
      <c r="J178">
        <v>48710.194065564836</v>
      </c>
      <c r="K178">
        <v>0</v>
      </c>
      <c r="L178">
        <v>6263830.307698356</v>
      </c>
      <c r="M178">
        <v>20402</v>
      </c>
      <c r="N178">
        <v>2838</v>
      </c>
      <c r="O178">
        <v>0.139104009410842</v>
      </c>
    </row>
    <row r="179" spans="1:15" x14ac:dyDescent="0.25">
      <c r="A179" t="s">
        <v>440</v>
      </c>
      <c r="B179" t="s">
        <v>881</v>
      </c>
      <c r="C179">
        <v>215040.21310330866</v>
      </c>
      <c r="D179">
        <v>49281.224125934845</v>
      </c>
      <c r="E179">
        <v>102857.43161326431</v>
      </c>
      <c r="F179">
        <v>141380.50588842804</v>
      </c>
      <c r="G179">
        <v>508559.3747309359</v>
      </c>
      <c r="H179">
        <v>475353.68261765898</v>
      </c>
      <c r="I179">
        <v>33205.69211327692</v>
      </c>
      <c r="J179">
        <v>3668.027179170886</v>
      </c>
      <c r="K179">
        <v>0</v>
      </c>
      <c r="L179">
        <v>471685.65543848812</v>
      </c>
      <c r="M179">
        <v>1729</v>
      </c>
      <c r="N179">
        <v>250</v>
      </c>
      <c r="O179">
        <v>0.144592249855408</v>
      </c>
    </row>
    <row r="180" spans="1:15" x14ac:dyDescent="0.25">
      <c r="A180" t="s">
        <v>280</v>
      </c>
      <c r="B180" t="s">
        <v>889</v>
      </c>
      <c r="C180">
        <v>99616.298311981445</v>
      </c>
      <c r="D180">
        <v>26090.059831377272</v>
      </c>
      <c r="E180">
        <v>60910.260330525867</v>
      </c>
      <c r="F180">
        <v>83991.20837741789</v>
      </c>
      <c r="G180">
        <v>270607.82685130247</v>
      </c>
      <c r="H180">
        <v>265600.64381900697</v>
      </c>
      <c r="I180">
        <v>5007.183032295492</v>
      </c>
      <c r="J180">
        <v>2049.485290549449</v>
      </c>
      <c r="K180">
        <v>0</v>
      </c>
      <c r="L180">
        <v>263551.15852845751</v>
      </c>
      <c r="M180">
        <v>595</v>
      </c>
      <c r="N180">
        <v>93</v>
      </c>
      <c r="O180">
        <v>0.156302521008403</v>
      </c>
    </row>
    <row r="181" spans="1:15" x14ac:dyDescent="0.25">
      <c r="A181" t="s">
        <v>443</v>
      </c>
      <c r="B181" t="s">
        <v>891</v>
      </c>
      <c r="C181">
        <v>15482.89534343822</v>
      </c>
      <c r="D181">
        <v>4146.9903909238847</v>
      </c>
      <c r="E181">
        <v>8777.4623556358456</v>
      </c>
      <c r="F181">
        <v>12064.875126596071</v>
      </c>
      <c r="G181">
        <v>40472.223216594022</v>
      </c>
      <c r="H181">
        <v>27610.229185862452</v>
      </c>
      <c r="I181">
        <v>12861.99403073157</v>
      </c>
      <c r="J181">
        <v>213.05203847203441</v>
      </c>
      <c r="K181">
        <v>0</v>
      </c>
      <c r="L181">
        <v>27397.177147390419</v>
      </c>
      <c r="M181">
        <v>87</v>
      </c>
      <c r="N181">
        <v>18</v>
      </c>
      <c r="O181">
        <v>0.20689655172413801</v>
      </c>
    </row>
    <row r="182" spans="1:15" x14ac:dyDescent="0.25">
      <c r="A182" t="s">
        <v>445</v>
      </c>
      <c r="B182" t="s">
        <v>1067</v>
      </c>
      <c r="C182">
        <v>34406.434096529389</v>
      </c>
      <c r="D182">
        <v>9049.4058017743064</v>
      </c>
      <c r="E182">
        <v>20906.616406335215</v>
      </c>
      <c r="F182">
        <v>28736.747141971278</v>
      </c>
      <c r="G182">
        <v>93099.20344661019</v>
      </c>
      <c r="H182">
        <v>83390.054640587856</v>
      </c>
      <c r="I182">
        <v>9709.1488060223346</v>
      </c>
      <c r="J182">
        <v>643.47242501589574</v>
      </c>
      <c r="K182">
        <v>0</v>
      </c>
      <c r="L182">
        <v>82746.582215571965</v>
      </c>
      <c r="M182">
        <v>174</v>
      </c>
      <c r="N182">
        <v>40</v>
      </c>
      <c r="O182">
        <v>0.229885057471264</v>
      </c>
    </row>
    <row r="183" spans="1:15" x14ac:dyDescent="0.25">
      <c r="A183" t="s">
        <v>447</v>
      </c>
      <c r="B183" t="s">
        <v>905</v>
      </c>
      <c r="C183">
        <v>69673.029045472023</v>
      </c>
      <c r="D183">
        <v>18325.046748592958</v>
      </c>
      <c r="E183">
        <v>47610.143943732895</v>
      </c>
      <c r="F183">
        <v>65441.515801156718</v>
      </c>
      <c r="G183">
        <v>201049.73553895458</v>
      </c>
      <c r="H183">
        <v>166855.24118252148</v>
      </c>
      <c r="I183">
        <v>34194.494356433104</v>
      </c>
      <c r="J183">
        <v>1287.5245991033494</v>
      </c>
      <c r="K183">
        <v>0</v>
      </c>
      <c r="L183">
        <v>165567.71658341814</v>
      </c>
      <c r="M183">
        <v>307</v>
      </c>
      <c r="N183">
        <v>81</v>
      </c>
      <c r="O183">
        <v>0.26384364820846901</v>
      </c>
    </row>
    <row r="184" spans="1:15" x14ac:dyDescent="0.25">
      <c r="A184" t="s">
        <v>449</v>
      </c>
      <c r="B184" t="s">
        <v>907</v>
      </c>
      <c r="C184">
        <v>1163797.6333151066</v>
      </c>
      <c r="D184">
        <v>306096.15124501596</v>
      </c>
      <c r="E184">
        <v>692847.65934694861</v>
      </c>
      <c r="F184">
        <v>952339.08766445145</v>
      </c>
      <c r="G184">
        <v>3115080.5315715224</v>
      </c>
      <c r="H184">
        <v>2748650.761473455</v>
      </c>
      <c r="I184">
        <v>366429.77009806735</v>
      </c>
      <c r="J184">
        <v>21209.735125251435</v>
      </c>
      <c r="K184">
        <v>0</v>
      </c>
      <c r="L184">
        <v>2727441.0263482034</v>
      </c>
      <c r="M184">
        <v>7214</v>
      </c>
      <c r="N184">
        <v>1353</v>
      </c>
      <c r="O184">
        <v>0.18755198225672301</v>
      </c>
    </row>
    <row r="185" spans="1:15" x14ac:dyDescent="0.25">
      <c r="A185" t="s">
        <v>451</v>
      </c>
      <c r="B185" t="s">
        <v>909</v>
      </c>
      <c r="C185">
        <v>49029.16858755437</v>
      </c>
      <c r="D185">
        <v>12895.403267528391</v>
      </c>
      <c r="E185">
        <v>28972.007048655592</v>
      </c>
      <c r="F185">
        <v>39822.859164352361</v>
      </c>
      <c r="G185">
        <v>130719.43806809071</v>
      </c>
      <c r="H185">
        <v>129106.58594336173</v>
      </c>
      <c r="I185">
        <v>1612.8521247289755</v>
      </c>
      <c r="J185">
        <v>996.24023872581665</v>
      </c>
      <c r="K185">
        <v>0</v>
      </c>
      <c r="L185">
        <v>128110.34570463591</v>
      </c>
      <c r="M185">
        <v>255</v>
      </c>
      <c r="N185">
        <v>57</v>
      </c>
      <c r="O185">
        <v>0.223529411764706</v>
      </c>
    </row>
    <row r="186" spans="1:15" x14ac:dyDescent="0.25">
      <c r="A186" t="s">
        <v>453</v>
      </c>
      <c r="B186" t="s">
        <v>911</v>
      </c>
      <c r="C186">
        <v>41446.1971079047</v>
      </c>
      <c r="D186">
        <v>10854.988396996381</v>
      </c>
      <c r="E186">
        <v>23320.887004640317</v>
      </c>
      <c r="F186">
        <v>32157.95613618995</v>
      </c>
      <c r="G186">
        <v>107780.02864573135</v>
      </c>
      <c r="H186">
        <v>105784.97710181792</v>
      </c>
      <c r="I186">
        <v>1995.0515439134324</v>
      </c>
      <c r="J186">
        <v>816.28098265841277</v>
      </c>
      <c r="K186">
        <v>0</v>
      </c>
      <c r="L186">
        <v>104968.6961191595</v>
      </c>
      <c r="M186">
        <v>286</v>
      </c>
      <c r="N186">
        <v>47</v>
      </c>
      <c r="O186">
        <v>0.16433566433566399</v>
      </c>
    </row>
    <row r="187" spans="1:15" x14ac:dyDescent="0.25">
      <c r="A187" t="s">
        <v>457</v>
      </c>
      <c r="B187" t="s">
        <v>918</v>
      </c>
      <c r="C187">
        <v>164290.72281092772</v>
      </c>
      <c r="D187">
        <v>43210.912703472321</v>
      </c>
      <c r="E187">
        <v>106906.00297899396</v>
      </c>
      <c r="F187">
        <v>146945.38398070243</v>
      </c>
      <c r="G187">
        <v>461353.02247409645</v>
      </c>
      <c r="H187">
        <v>399556.10614168283</v>
      </c>
      <c r="I187">
        <v>61796.916332413617</v>
      </c>
      <c r="J187">
        <v>3083.1414808038658</v>
      </c>
      <c r="K187">
        <v>0</v>
      </c>
      <c r="L187">
        <v>396472.96466087899</v>
      </c>
      <c r="M187">
        <v>770</v>
      </c>
      <c r="N187">
        <v>191</v>
      </c>
      <c r="O187">
        <v>0.248051948051948</v>
      </c>
    </row>
    <row r="188" spans="1:15" x14ac:dyDescent="0.25">
      <c r="A188" t="s">
        <v>459</v>
      </c>
      <c r="B188" t="s">
        <v>920</v>
      </c>
      <c r="C188">
        <v>19632.409156375907</v>
      </c>
      <c r="D188">
        <v>5141.8366091035523</v>
      </c>
      <c r="E188">
        <v>15187.479207103177</v>
      </c>
      <c r="F188">
        <v>20942.526331187182</v>
      </c>
      <c r="G188">
        <v>60904.251303769823</v>
      </c>
      <c r="H188">
        <v>59778.488402726514</v>
      </c>
      <c r="I188">
        <v>1125.7629010433084</v>
      </c>
      <c r="J188">
        <v>461.27573680189005</v>
      </c>
      <c r="K188">
        <v>0</v>
      </c>
      <c r="L188">
        <v>59317.212665924628</v>
      </c>
      <c r="M188">
        <v>85</v>
      </c>
      <c r="N188">
        <v>16</v>
      </c>
      <c r="O188">
        <v>0.188235294117647</v>
      </c>
    </row>
    <row r="189" spans="1:15" x14ac:dyDescent="0.25">
      <c r="A189" t="s">
        <v>284</v>
      </c>
      <c r="B189" t="s">
        <v>922</v>
      </c>
      <c r="C189">
        <v>103219.30228958817</v>
      </c>
      <c r="D189">
        <v>27148.217405322925</v>
      </c>
      <c r="E189">
        <v>57122.224361693821</v>
      </c>
      <c r="F189">
        <v>78516.144638858517</v>
      </c>
      <c r="G189">
        <v>266005.88869546342</v>
      </c>
      <c r="H189">
        <v>227827.15387924347</v>
      </c>
      <c r="I189">
        <v>38178.734816219949</v>
      </c>
      <c r="J189">
        <v>1758.0092952690384</v>
      </c>
      <c r="K189">
        <v>0</v>
      </c>
      <c r="L189">
        <v>226069.14458397444</v>
      </c>
      <c r="M189">
        <v>609</v>
      </c>
      <c r="N189">
        <v>120</v>
      </c>
      <c r="O189">
        <v>0.197044334975369</v>
      </c>
    </row>
    <row r="190" spans="1:15" x14ac:dyDescent="0.25">
      <c r="A190" t="s">
        <v>463</v>
      </c>
      <c r="B190" t="s">
        <v>926</v>
      </c>
      <c r="C190">
        <v>125583.48445233225</v>
      </c>
      <c r="D190">
        <v>33030.331176476211</v>
      </c>
      <c r="E190">
        <v>75739.275483290388</v>
      </c>
      <c r="F190">
        <v>104105.81827195577</v>
      </c>
      <c r="G190">
        <v>338458.9093840546</v>
      </c>
      <c r="H190">
        <v>317577.37680832011</v>
      </c>
      <c r="I190">
        <v>20881.532575734484</v>
      </c>
      <c r="J190">
        <v>2450.5594302078043</v>
      </c>
      <c r="K190">
        <v>0</v>
      </c>
      <c r="L190">
        <v>315126.81737811229</v>
      </c>
      <c r="M190">
        <v>640</v>
      </c>
      <c r="N190">
        <v>146</v>
      </c>
      <c r="O190">
        <v>0.22812499999999999</v>
      </c>
    </row>
    <row r="191" spans="1:15" x14ac:dyDescent="0.25">
      <c r="A191" t="s">
        <v>469</v>
      </c>
      <c r="B191" t="s">
        <v>942</v>
      </c>
      <c r="C191">
        <v>15482.89534343822</v>
      </c>
      <c r="D191">
        <v>4072.2326107984381</v>
      </c>
      <c r="E191">
        <v>9908.0712439288491</v>
      </c>
      <c r="F191">
        <v>13618.929647321676</v>
      </c>
      <c r="G191">
        <v>43082.128845487183</v>
      </c>
      <c r="H191">
        <v>33976.257627920313</v>
      </c>
      <c r="I191">
        <v>9105.8712175668697</v>
      </c>
      <c r="J191">
        <v>262.17496778280787</v>
      </c>
      <c r="K191">
        <v>0</v>
      </c>
      <c r="L191">
        <v>33714.082660137508</v>
      </c>
      <c r="M191">
        <v>74</v>
      </c>
      <c r="N191">
        <v>18</v>
      </c>
      <c r="O191">
        <v>0.24324324324324301</v>
      </c>
    </row>
    <row r="192" spans="1:15" x14ac:dyDescent="0.25">
      <c r="A192" t="s">
        <v>471</v>
      </c>
      <c r="B192" t="s">
        <v>946</v>
      </c>
      <c r="C192">
        <v>183214.26156401893</v>
      </c>
      <c r="D192">
        <v>48188.085894448152</v>
      </c>
      <c r="E192">
        <v>89227.628778300132</v>
      </c>
      <c r="F192">
        <v>122645.94884434303</v>
      </c>
      <c r="G192">
        <v>443275.92508111027</v>
      </c>
      <c r="H192">
        <v>378426.70751302061</v>
      </c>
      <c r="I192">
        <v>64849.217568089662</v>
      </c>
      <c r="J192">
        <v>2920.098232621423</v>
      </c>
      <c r="K192">
        <v>0</v>
      </c>
      <c r="L192">
        <v>375506.60928039916</v>
      </c>
      <c r="M192">
        <v>1334</v>
      </c>
      <c r="N192">
        <v>213</v>
      </c>
      <c r="O192">
        <v>0.15967016491754099</v>
      </c>
    </row>
    <row r="193" spans="1:15" x14ac:dyDescent="0.25">
      <c r="A193" t="s">
        <v>475</v>
      </c>
      <c r="B193" t="s">
        <v>950</v>
      </c>
      <c r="C193">
        <v>1185301.6546254372</v>
      </c>
      <c r="D193">
        <v>261034.05197684217</v>
      </c>
      <c r="E193">
        <v>708276.27408893837</v>
      </c>
      <c r="F193">
        <v>973546.16354771564</v>
      </c>
      <c r="G193">
        <v>3128158.1442389335</v>
      </c>
      <c r="H193">
        <v>3076356.3155776989</v>
      </c>
      <c r="I193">
        <v>51801.828661234584</v>
      </c>
      <c r="J193">
        <v>23738.447793680374</v>
      </c>
      <c r="K193">
        <v>0</v>
      </c>
      <c r="L193">
        <v>3052617.8677840186</v>
      </c>
      <c r="M193">
        <v>9756</v>
      </c>
      <c r="N193">
        <v>1378</v>
      </c>
      <c r="O193">
        <v>0.141246412464125</v>
      </c>
    </row>
    <row r="194" spans="1:15" x14ac:dyDescent="0.25">
      <c r="A194" t="s">
        <v>477</v>
      </c>
      <c r="B194" t="s">
        <v>952</v>
      </c>
      <c r="C194">
        <v>106659.94569924111</v>
      </c>
      <c r="D194">
        <v>28053.157985500355</v>
      </c>
      <c r="E194">
        <v>55675.431728621676</v>
      </c>
      <c r="F194">
        <v>76527.486443031899</v>
      </c>
      <c r="G194">
        <v>266916.02185639506</v>
      </c>
      <c r="H194">
        <v>226494.58991017699</v>
      </c>
      <c r="I194">
        <v>40421.431946218072</v>
      </c>
      <c r="J194">
        <v>1747.7266761682388</v>
      </c>
      <c r="K194">
        <v>0</v>
      </c>
      <c r="L194">
        <v>224746.86323400875</v>
      </c>
      <c r="M194">
        <v>699</v>
      </c>
      <c r="N194">
        <v>124</v>
      </c>
      <c r="O194">
        <v>0.17739628040057201</v>
      </c>
    </row>
    <row r="195" spans="1:15" x14ac:dyDescent="0.25">
      <c r="A195" t="s">
        <v>479</v>
      </c>
      <c r="B195" t="s">
        <v>954</v>
      </c>
      <c r="C195">
        <v>228802.78674192043</v>
      </c>
      <c r="D195">
        <v>60178.548581799143</v>
      </c>
      <c r="E195">
        <v>157532.47196201532</v>
      </c>
      <c r="F195">
        <v>216532.9255311891</v>
      </c>
      <c r="G195">
        <v>663046.73281692399</v>
      </c>
      <c r="H195">
        <v>583598.22872281889</v>
      </c>
      <c r="I195">
        <v>79448.504094105097</v>
      </c>
      <c r="J195">
        <v>4503.2872215972257</v>
      </c>
      <c r="K195">
        <v>0</v>
      </c>
      <c r="L195">
        <v>579094.94150122162</v>
      </c>
      <c r="M195">
        <v>998</v>
      </c>
      <c r="N195">
        <v>266</v>
      </c>
      <c r="O195">
        <v>0.26653306613226502</v>
      </c>
    </row>
    <row r="196" spans="1:15" x14ac:dyDescent="0.25">
      <c r="A196" t="s">
        <v>483</v>
      </c>
      <c r="B196" t="s">
        <v>960</v>
      </c>
      <c r="C196">
        <v>801669.91444913461</v>
      </c>
      <c r="D196">
        <v>155521.93077018767</v>
      </c>
      <c r="E196">
        <v>433029.78709184268</v>
      </c>
      <c r="F196">
        <v>595211.92979028192</v>
      </c>
      <c r="G196">
        <v>1985433.5621014468</v>
      </c>
      <c r="H196">
        <v>1954290.2565039375</v>
      </c>
      <c r="I196">
        <v>31143.305597509257</v>
      </c>
      <c r="J196">
        <v>15080.118318155604</v>
      </c>
      <c r="K196">
        <v>0</v>
      </c>
      <c r="L196">
        <v>1939210.1381857819</v>
      </c>
      <c r="M196">
        <v>6839</v>
      </c>
      <c r="N196">
        <v>932</v>
      </c>
      <c r="O196">
        <v>0.13627723351367199</v>
      </c>
    </row>
    <row r="197" spans="1:15" x14ac:dyDescent="0.25">
      <c r="A197" t="s">
        <v>493</v>
      </c>
      <c r="B197" t="s">
        <v>972</v>
      </c>
      <c r="C197">
        <v>234823.912708813</v>
      </c>
      <c r="D197">
        <v>61762.194597109636</v>
      </c>
      <c r="E197">
        <v>143377.85888625012</v>
      </c>
      <c r="F197">
        <v>197708.55611312875</v>
      </c>
      <c r="G197">
        <v>637672.52230530151</v>
      </c>
      <c r="H197">
        <v>617560.69936355634</v>
      </c>
      <c r="I197">
        <v>20111.822941745166</v>
      </c>
      <c r="J197">
        <v>4765.3558032394503</v>
      </c>
      <c r="K197">
        <v>0</v>
      </c>
      <c r="L197">
        <v>612795.34356031683</v>
      </c>
      <c r="M197">
        <v>1399</v>
      </c>
      <c r="N197">
        <v>273</v>
      </c>
      <c r="O197">
        <v>0.195139385275197</v>
      </c>
    </row>
    <row r="198" spans="1:15" x14ac:dyDescent="0.25">
      <c r="A198" t="s">
        <v>497</v>
      </c>
      <c r="B198" t="s">
        <v>978</v>
      </c>
      <c r="C198">
        <v>137625.73638611755</v>
      </c>
      <c r="D198">
        <v>36197.623207097226</v>
      </c>
      <c r="E198">
        <v>82812.359339864968</v>
      </c>
      <c r="F198">
        <v>113827.97600182882</v>
      </c>
      <c r="G198">
        <v>370463.69493490853</v>
      </c>
      <c r="H198">
        <v>337512.12929135608</v>
      </c>
      <c r="I198">
        <v>32951.565643552458</v>
      </c>
      <c r="J198">
        <v>2604.3842907099029</v>
      </c>
      <c r="K198">
        <v>0</v>
      </c>
      <c r="L198">
        <v>334907.74500064616</v>
      </c>
      <c r="M198">
        <v>703</v>
      </c>
      <c r="N198">
        <v>160</v>
      </c>
      <c r="O198">
        <v>0.22759601706970101</v>
      </c>
    </row>
    <row r="199" spans="1:15" x14ac:dyDescent="0.25">
      <c r="A199" t="s">
        <v>499</v>
      </c>
      <c r="B199" t="s">
        <v>980</v>
      </c>
      <c r="C199">
        <v>356106.59289907914</v>
      </c>
      <c r="D199">
        <v>93661.350048364053</v>
      </c>
      <c r="E199">
        <v>191785.76583705615</v>
      </c>
      <c r="F199">
        <v>263615.06573673687</v>
      </c>
      <c r="G199">
        <v>905168.77452123631</v>
      </c>
      <c r="H199">
        <v>784237.24963748781</v>
      </c>
      <c r="I199">
        <v>120931.5248837485</v>
      </c>
      <c r="J199">
        <v>6051.5015487999599</v>
      </c>
      <c r="K199">
        <v>0</v>
      </c>
      <c r="L199">
        <v>778185.74808868789</v>
      </c>
      <c r="M199">
        <v>2211</v>
      </c>
      <c r="N199">
        <v>414</v>
      </c>
      <c r="O199">
        <v>0.187245590230665</v>
      </c>
    </row>
    <row r="200" spans="1:15" x14ac:dyDescent="0.25">
      <c r="A200" t="s">
        <v>505</v>
      </c>
      <c r="B200" t="s">
        <v>990</v>
      </c>
      <c r="C200">
        <v>60211.25966892641</v>
      </c>
      <c r="D200">
        <v>15836.460153105038</v>
      </c>
      <c r="E200">
        <v>46492.844807090652</v>
      </c>
      <c r="F200">
        <v>63905.755917893075</v>
      </c>
      <c r="G200">
        <v>186446.32054701517</v>
      </c>
      <c r="H200">
        <v>159224.9853182818</v>
      </c>
      <c r="I200">
        <v>27221.335228733369</v>
      </c>
      <c r="J200">
        <v>1228.6463639754838</v>
      </c>
      <c r="K200">
        <v>0</v>
      </c>
      <c r="L200">
        <v>157996.33895430632</v>
      </c>
      <c r="M200">
        <v>225</v>
      </c>
      <c r="N200">
        <v>70</v>
      </c>
      <c r="O200">
        <v>0.31111111111111101</v>
      </c>
    </row>
    <row r="201" spans="1:15" x14ac:dyDescent="0.25">
      <c r="A201" t="s">
        <v>507</v>
      </c>
      <c r="B201" t="s">
        <v>998</v>
      </c>
      <c r="C201">
        <v>96338.015470282262</v>
      </c>
      <c r="D201">
        <v>25338.336244968072</v>
      </c>
      <c r="E201">
        <v>62864.919340552959</v>
      </c>
      <c r="F201">
        <v>86409.644491418891</v>
      </c>
      <c r="G201">
        <v>270950.91554722219</v>
      </c>
      <c r="H201">
        <v>221871.29613917158</v>
      </c>
      <c r="I201">
        <v>49079.61940805061</v>
      </c>
      <c r="J201">
        <v>1712.0514140855857</v>
      </c>
      <c r="K201">
        <v>0</v>
      </c>
      <c r="L201">
        <v>220159.244725086</v>
      </c>
      <c r="M201">
        <v>450</v>
      </c>
      <c r="N201">
        <v>112</v>
      </c>
      <c r="O201">
        <v>0.24888888888888899</v>
      </c>
    </row>
    <row r="202" spans="1:15" x14ac:dyDescent="0.25">
      <c r="A202" t="s">
        <v>509</v>
      </c>
      <c r="B202" t="s">
        <v>1000</v>
      </c>
      <c r="C202">
        <v>166011.04451575427</v>
      </c>
      <c r="D202">
        <v>43663.382993561027</v>
      </c>
      <c r="E202">
        <v>88625.275087286544</v>
      </c>
      <c r="F202">
        <v>121817.99632575917</v>
      </c>
      <c r="G202">
        <v>420117.69892236101</v>
      </c>
      <c r="H202">
        <v>394302.07869801356</v>
      </c>
      <c r="I202">
        <v>25815.620224347454</v>
      </c>
      <c r="J202">
        <v>3042.5992147644761</v>
      </c>
      <c r="K202">
        <v>0</v>
      </c>
      <c r="L202">
        <v>391259.47948324907</v>
      </c>
      <c r="M202">
        <v>1047</v>
      </c>
      <c r="N202">
        <v>193</v>
      </c>
      <c r="O202">
        <v>0.18433619866284601</v>
      </c>
    </row>
    <row r="203" spans="1:15" x14ac:dyDescent="0.25">
      <c r="A203" t="s">
        <v>511</v>
      </c>
      <c r="B203" t="s">
        <v>1002</v>
      </c>
      <c r="C203">
        <v>169451.68792540714</v>
      </c>
      <c r="D203">
        <v>44568.323573738475</v>
      </c>
      <c r="E203">
        <v>125870.54764755284</v>
      </c>
      <c r="F203">
        <v>173012.69751489317</v>
      </c>
      <c r="G203">
        <v>512903.25666159159</v>
      </c>
      <c r="H203">
        <v>454179.96834628796</v>
      </c>
      <c r="I203">
        <v>58723.288315303624</v>
      </c>
      <c r="J203">
        <v>3504.6419730151229</v>
      </c>
      <c r="K203">
        <v>0</v>
      </c>
      <c r="L203">
        <v>450675.32637327287</v>
      </c>
      <c r="M203">
        <v>660</v>
      </c>
      <c r="N203">
        <v>197</v>
      </c>
      <c r="O203">
        <v>0.29848484848484802</v>
      </c>
    </row>
    <row r="204" spans="1:15" x14ac:dyDescent="0.25">
      <c r="A204" t="s">
        <v>517</v>
      </c>
      <c r="B204" t="s">
        <v>1012</v>
      </c>
      <c r="C204">
        <v>110960.74996130723</v>
      </c>
      <c r="D204">
        <v>26259.338402870399</v>
      </c>
      <c r="E204">
        <v>53074.434712444396</v>
      </c>
      <c r="F204">
        <v>72952.341038428887</v>
      </c>
      <c r="G204">
        <v>263246.86411505088</v>
      </c>
      <c r="H204">
        <v>252463.43734737142</v>
      </c>
      <c r="I204">
        <v>10783.426767679455</v>
      </c>
      <c r="J204">
        <v>1948.1131288129895</v>
      </c>
      <c r="K204">
        <v>0</v>
      </c>
      <c r="L204">
        <v>250515.32421855844</v>
      </c>
      <c r="M204">
        <v>933</v>
      </c>
      <c r="N204">
        <v>129</v>
      </c>
      <c r="O204">
        <v>0.13826366559485501</v>
      </c>
    </row>
    <row r="205" spans="1:15" x14ac:dyDescent="0.25">
      <c r="A205" t="s">
        <v>519</v>
      </c>
      <c r="B205" t="s">
        <v>1014</v>
      </c>
      <c r="C205">
        <v>16343.056195851463</v>
      </c>
      <c r="D205">
        <v>4298.4677558427929</v>
      </c>
      <c r="E205">
        <v>12425.074881450719</v>
      </c>
      <c r="F205">
        <v>17078.623730816216</v>
      </c>
      <c r="G205">
        <v>50145.222563961193</v>
      </c>
      <c r="H205">
        <v>45377.743546212412</v>
      </c>
      <c r="I205">
        <v>4767.4790177487812</v>
      </c>
      <c r="J205">
        <v>350.15358614741496</v>
      </c>
      <c r="K205">
        <v>0</v>
      </c>
      <c r="L205">
        <v>45027.589960064994</v>
      </c>
      <c r="M205">
        <v>62</v>
      </c>
      <c r="N205">
        <v>19</v>
      </c>
      <c r="O205">
        <v>0.30645161290322598</v>
      </c>
    </row>
    <row r="206" spans="1:15" x14ac:dyDescent="0.25">
      <c r="A206" t="s">
        <v>523</v>
      </c>
      <c r="B206" t="s">
        <v>1020</v>
      </c>
      <c r="C206">
        <v>30965.79068687644</v>
      </c>
      <c r="D206">
        <v>8144.4652215968763</v>
      </c>
      <c r="E206">
        <v>22142.160446360063</v>
      </c>
      <c r="F206">
        <v>30435.038054804267</v>
      </c>
      <c r="G206">
        <v>91687.454409637634</v>
      </c>
      <c r="H206">
        <v>77297.712979322692</v>
      </c>
      <c r="I206">
        <v>14389.741430314942</v>
      </c>
      <c r="J206">
        <v>596.46137699948656</v>
      </c>
      <c r="K206">
        <v>0</v>
      </c>
      <c r="L206">
        <v>76701.251602323202</v>
      </c>
      <c r="M206">
        <v>128</v>
      </c>
      <c r="N206">
        <v>36</v>
      </c>
      <c r="O206">
        <v>0.28125</v>
      </c>
    </row>
    <row r="207" spans="1:15" x14ac:dyDescent="0.25">
      <c r="A207" t="s">
        <v>541</v>
      </c>
      <c r="B207" t="s">
        <v>1047</v>
      </c>
      <c r="C207">
        <v>55910.455406860267</v>
      </c>
      <c r="D207">
        <v>14705.284427883244</v>
      </c>
      <c r="E207">
        <v>28675.643930948288</v>
      </c>
      <c r="F207">
        <v>39415.499512736045</v>
      </c>
      <c r="G207">
        <v>138706.88327842785</v>
      </c>
      <c r="H207">
        <v>119542.18389101216</v>
      </c>
      <c r="I207">
        <v>19164.699387415691</v>
      </c>
      <c r="J207">
        <v>922.43732530912621</v>
      </c>
      <c r="K207">
        <v>0</v>
      </c>
      <c r="L207">
        <v>118619.74656570303</v>
      </c>
      <c r="M207">
        <v>377</v>
      </c>
      <c r="N207">
        <v>65</v>
      </c>
      <c r="O207">
        <v>0.17241379310344801</v>
      </c>
    </row>
    <row r="208" spans="1:15" x14ac:dyDescent="0.25">
      <c r="A208" t="s">
        <v>547</v>
      </c>
      <c r="B208" t="s">
        <v>1053</v>
      </c>
      <c r="C208">
        <v>39567.399211008793</v>
      </c>
      <c r="D208">
        <v>5547.5962184423461</v>
      </c>
      <c r="E208">
        <v>18925.767416840634</v>
      </c>
      <c r="F208">
        <v>26014.013083470771</v>
      </c>
      <c r="G208">
        <v>90054.775929762545</v>
      </c>
      <c r="H208">
        <v>81617.86104158622</v>
      </c>
      <c r="I208">
        <v>8436.9148881763249</v>
      </c>
      <c r="J208">
        <v>629.79744041896538</v>
      </c>
      <c r="K208">
        <v>0</v>
      </c>
      <c r="L208">
        <v>80988.063601167261</v>
      </c>
      <c r="M208">
        <v>345</v>
      </c>
      <c r="N208">
        <v>46</v>
      </c>
      <c r="O208">
        <v>0.133333333333333</v>
      </c>
    </row>
    <row r="209" spans="1:15" x14ac:dyDescent="0.25">
      <c r="A209" t="s">
        <v>551</v>
      </c>
      <c r="B209" t="s">
        <v>1061</v>
      </c>
      <c r="C209">
        <v>9461.7693765455824</v>
      </c>
      <c r="D209">
        <v>2620.9095432834765</v>
      </c>
      <c r="E209">
        <v>8008.8910551352146</v>
      </c>
      <c r="F209">
        <v>11008.451710496562</v>
      </c>
      <c r="G209">
        <v>31100.021685460837</v>
      </c>
      <c r="H209">
        <v>20914.900517643593</v>
      </c>
      <c r="I209">
        <v>10185.121167817244</v>
      </c>
      <c r="J209">
        <v>161.3880913384597</v>
      </c>
      <c r="K209">
        <v>0</v>
      </c>
      <c r="L209">
        <v>20753.512426305133</v>
      </c>
      <c r="M209">
        <v>32</v>
      </c>
      <c r="N209">
        <v>11</v>
      </c>
      <c r="O209">
        <v>0.34375</v>
      </c>
    </row>
    <row r="210" spans="1:15" x14ac:dyDescent="0.25">
      <c r="A210" t="s">
        <v>553</v>
      </c>
      <c r="B210" t="s">
        <v>1063</v>
      </c>
      <c r="C210">
        <v>24944.664719983808</v>
      </c>
      <c r="D210">
        <v>5091.6915210047209</v>
      </c>
      <c r="E210">
        <v>11931.462067138662</v>
      </c>
      <c r="F210">
        <v>16400.138683057656</v>
      </c>
      <c r="G210">
        <v>58367.956991184838</v>
      </c>
      <c r="H210">
        <v>54787.733351749899</v>
      </c>
      <c r="I210">
        <v>3580.2236394349384</v>
      </c>
      <c r="J210">
        <v>422.76499029676444</v>
      </c>
      <c r="K210">
        <v>0</v>
      </c>
      <c r="L210">
        <v>54364.968361453131</v>
      </c>
      <c r="M210">
        <v>199</v>
      </c>
      <c r="N210">
        <v>29</v>
      </c>
      <c r="O210">
        <v>0.14572864321608001</v>
      </c>
    </row>
    <row r="211" spans="1:15" x14ac:dyDescent="0.25">
      <c r="A211" t="s">
        <v>69</v>
      </c>
      <c r="B211" t="s">
        <v>1072</v>
      </c>
      <c r="C211">
        <v>49419.070907332374</v>
      </c>
      <c r="D211">
        <v>12997.953398263386</v>
      </c>
      <c r="E211">
        <v>36060.849657103165</v>
      </c>
      <c r="F211">
        <v>49721.44697643874</v>
      </c>
      <c r="G211">
        <v>148199.32093913766</v>
      </c>
      <c r="H211">
        <v>134160.48566914478</v>
      </c>
      <c r="I211">
        <v>14038.83526999288</v>
      </c>
      <c r="J211">
        <v>1035.2382358653215</v>
      </c>
      <c r="K211">
        <v>0</v>
      </c>
      <c r="L211">
        <v>133125.24743327947</v>
      </c>
      <c r="M211">
        <v>372</v>
      </c>
      <c r="N211">
        <v>57</v>
      </c>
      <c r="O211">
        <v>0.15456760872104799</v>
      </c>
    </row>
    <row r="212" spans="1:15" x14ac:dyDescent="0.25">
      <c r="A212" t="s">
        <v>71</v>
      </c>
      <c r="B212" t="s">
        <v>1073</v>
      </c>
      <c r="C212">
        <v>47940.819833036636</v>
      </c>
      <c r="D212">
        <v>11496.300266783181</v>
      </c>
      <c r="E212">
        <v>40373.508042517591</v>
      </c>
      <c r="F212">
        <v>55494.551069517052</v>
      </c>
      <c r="G212">
        <v>155305.17921185447</v>
      </c>
      <c r="H212">
        <v>134919.09864730577</v>
      </c>
      <c r="I212">
        <v>20386.080564548698</v>
      </c>
      <c r="J212">
        <v>1041.0920098532351</v>
      </c>
      <c r="K212">
        <v>0</v>
      </c>
      <c r="L212">
        <v>133878.00663745255</v>
      </c>
      <c r="M212">
        <v>224</v>
      </c>
      <c r="N212">
        <v>56</v>
      </c>
      <c r="O212">
        <v>0.24831585953809701</v>
      </c>
    </row>
    <row r="213" spans="1:15" x14ac:dyDescent="0.25">
      <c r="A213" t="s">
        <v>559</v>
      </c>
      <c r="B213" t="s">
        <v>1075</v>
      </c>
      <c r="C213">
        <v>95477.854617869059</v>
      </c>
      <c r="D213">
        <v>25112.101099923711</v>
      </c>
      <c r="E213">
        <v>49680.694899337388</v>
      </c>
      <c r="F213">
        <v>68287.547798842555</v>
      </c>
      <c r="G213">
        <v>238558.1984159727</v>
      </c>
      <c r="H213">
        <v>210823.09525786064</v>
      </c>
      <c r="I213">
        <v>27735.103158112062</v>
      </c>
      <c r="J213">
        <v>1626.7988903427881</v>
      </c>
      <c r="K213">
        <v>0</v>
      </c>
      <c r="L213">
        <v>209196.29636751785</v>
      </c>
      <c r="M213">
        <v>629</v>
      </c>
      <c r="N213">
        <v>111</v>
      </c>
      <c r="O213">
        <v>0.17647058823529399</v>
      </c>
    </row>
    <row r="214" spans="1:15" x14ac:dyDescent="0.25">
      <c r="A214" t="s">
        <v>561</v>
      </c>
      <c r="B214" t="s">
        <v>1077</v>
      </c>
      <c r="C214">
        <v>110100.58910889406</v>
      </c>
      <c r="D214">
        <v>22403.442692420776</v>
      </c>
      <c r="E214">
        <v>52663.004985991334</v>
      </c>
      <c r="F214">
        <v>72386.819014875146</v>
      </c>
      <c r="G214">
        <v>257553.85580218129</v>
      </c>
      <c r="H214">
        <v>235654.98902208306</v>
      </c>
      <c r="I214">
        <v>21898.866780098237</v>
      </c>
      <c r="J214">
        <v>1818.4121344768689</v>
      </c>
      <c r="K214">
        <v>0</v>
      </c>
      <c r="L214">
        <v>233836.57688760618</v>
      </c>
      <c r="M214">
        <v>994</v>
      </c>
      <c r="N214">
        <v>128</v>
      </c>
      <c r="O214">
        <v>0.12877263581488901</v>
      </c>
    </row>
    <row r="215" spans="1:15" x14ac:dyDescent="0.25">
      <c r="A215" t="s">
        <v>564</v>
      </c>
      <c r="B215" t="s">
        <v>1081</v>
      </c>
      <c r="C215">
        <v>76554.315864777862</v>
      </c>
      <c r="D215">
        <v>20134.927908947822</v>
      </c>
      <c r="E215">
        <v>49791.091780687879</v>
      </c>
      <c r="F215">
        <v>68439.291495812577</v>
      </c>
      <c r="G215">
        <v>214919.62705022615</v>
      </c>
      <c r="H215">
        <v>193765.7785078219</v>
      </c>
      <c r="I215">
        <v>21153.848542404245</v>
      </c>
      <c r="J215">
        <v>1495.1775234937315</v>
      </c>
      <c r="K215">
        <v>0</v>
      </c>
      <c r="L215">
        <v>192270.60098432816</v>
      </c>
      <c r="M215">
        <v>359</v>
      </c>
      <c r="N215">
        <v>89</v>
      </c>
      <c r="O215">
        <v>0.247910863509749</v>
      </c>
    </row>
    <row r="216" spans="1:15" x14ac:dyDescent="0.25">
      <c r="A216" t="s">
        <v>568</v>
      </c>
      <c r="B216" t="s">
        <v>1097</v>
      </c>
      <c r="C216">
        <v>28385.308129636735</v>
      </c>
      <c r="D216">
        <v>6834.6223240347581</v>
      </c>
      <c r="E216">
        <v>13577.18097295089</v>
      </c>
      <c r="F216">
        <v>18662.226777272503</v>
      </c>
      <c r="G216">
        <v>67459.338203894877</v>
      </c>
      <c r="H216">
        <v>65958.05172493057</v>
      </c>
      <c r="I216">
        <v>1501.2864789643063</v>
      </c>
      <c r="J216">
        <v>508.95982351482206</v>
      </c>
      <c r="K216">
        <v>0</v>
      </c>
      <c r="L216">
        <v>65449.091901415748</v>
      </c>
      <c r="M216">
        <v>237</v>
      </c>
      <c r="N216">
        <v>33</v>
      </c>
      <c r="O216">
        <v>0.139240506329114</v>
      </c>
    </row>
    <row r="217" spans="1:15" x14ac:dyDescent="0.25">
      <c r="A217" t="s">
        <v>572</v>
      </c>
      <c r="B217" t="s">
        <v>1103</v>
      </c>
      <c r="C217">
        <v>15996.777831121119</v>
      </c>
      <c r="D217">
        <v>4189.6446444547455</v>
      </c>
      <c r="E217">
        <v>8982.2051151823744</v>
      </c>
      <c r="F217">
        <v>12385.864999166692</v>
      </c>
      <c r="G217">
        <v>41554.492589924928</v>
      </c>
      <c r="H217">
        <v>40785.294995222292</v>
      </c>
      <c r="I217">
        <v>769.19759470263671</v>
      </c>
      <c r="J217">
        <v>314.71633864106747</v>
      </c>
      <c r="K217">
        <v>0</v>
      </c>
      <c r="L217">
        <v>40470.578656581223</v>
      </c>
      <c r="M217">
        <v>110</v>
      </c>
      <c r="N217">
        <v>18</v>
      </c>
      <c r="O217">
        <v>0.163636363636364</v>
      </c>
    </row>
    <row r="218" spans="1:15" x14ac:dyDescent="0.25">
      <c r="A218" t="s">
        <v>59</v>
      </c>
      <c r="B218" t="s">
        <v>1106</v>
      </c>
      <c r="C218">
        <v>5125028.8344413936</v>
      </c>
      <c r="D218">
        <v>1244912.2041997914</v>
      </c>
      <c r="E218">
        <v>4316058.7070909077</v>
      </c>
      <c r="F218">
        <v>5932547.1566021051</v>
      </c>
      <c r="G218">
        <v>16618546.902334196</v>
      </c>
      <c r="H218">
        <v>16468801.926527068</v>
      </c>
      <c r="I218">
        <v>149744.97580712847</v>
      </c>
      <c r="J218">
        <v>127080.14113245248</v>
      </c>
      <c r="K218">
        <v>0</v>
      </c>
      <c r="L218">
        <v>16341721.785394616</v>
      </c>
      <c r="M218">
        <v>68041</v>
      </c>
      <c r="N218">
        <v>5958</v>
      </c>
      <c r="O218">
        <v>8.7568015835266799E-2</v>
      </c>
    </row>
    <row r="219" spans="1:15" x14ac:dyDescent="0.25">
      <c r="A219" t="s">
        <v>576</v>
      </c>
      <c r="B219" t="s">
        <v>1112</v>
      </c>
      <c r="C219">
        <v>73973.833307538167</v>
      </c>
      <c r="D219">
        <v>19456.22247381476</v>
      </c>
      <c r="E219">
        <v>52171.511034770512</v>
      </c>
      <c r="F219">
        <v>71711.246405537895</v>
      </c>
      <c r="G219">
        <v>217312.81322166132</v>
      </c>
      <c r="H219">
        <v>187152.39247121467</v>
      </c>
      <c r="I219">
        <v>30160.420750446647</v>
      </c>
      <c r="J219">
        <v>1444.1458798656838</v>
      </c>
      <c r="K219">
        <v>0</v>
      </c>
      <c r="L219">
        <v>185708.24659134899</v>
      </c>
      <c r="M219">
        <v>312</v>
      </c>
      <c r="N219">
        <v>86</v>
      </c>
      <c r="O219">
        <v>0.27564102564102599</v>
      </c>
    </row>
    <row r="220" spans="1:15" x14ac:dyDescent="0.25">
      <c r="A220" t="s">
        <v>582</v>
      </c>
      <c r="B220" t="s">
        <v>1130</v>
      </c>
      <c r="C220">
        <v>134185.09297646463</v>
      </c>
      <c r="D220">
        <v>35292.682626919792</v>
      </c>
      <c r="E220">
        <v>89630.346480295542</v>
      </c>
      <c r="F220">
        <v>123199.49593904798</v>
      </c>
      <c r="G220">
        <v>382307.6180227279</v>
      </c>
      <c r="H220">
        <v>340984.58015020413</v>
      </c>
      <c r="I220">
        <v>41323.037872523768</v>
      </c>
      <c r="J220">
        <v>2631.1791691222256</v>
      </c>
      <c r="K220">
        <v>0</v>
      </c>
      <c r="L220">
        <v>338353.40098108188</v>
      </c>
      <c r="M220">
        <v>609</v>
      </c>
      <c r="N220">
        <v>156</v>
      </c>
      <c r="O220">
        <v>0.25615763546797998</v>
      </c>
    </row>
    <row r="221" spans="1:15" x14ac:dyDescent="0.25">
      <c r="A221" t="s">
        <v>584</v>
      </c>
      <c r="B221" t="s">
        <v>1132</v>
      </c>
      <c r="C221">
        <v>79134.798422017586</v>
      </c>
      <c r="D221">
        <v>20813.633344080903</v>
      </c>
      <c r="E221">
        <v>49969.292280957889</v>
      </c>
      <c r="F221">
        <v>68684.233222264302</v>
      </c>
      <c r="G221">
        <v>218601.95726932067</v>
      </c>
      <c r="H221">
        <v>190146.90741865459</v>
      </c>
      <c r="I221">
        <v>28455.049850666081</v>
      </c>
      <c r="J221">
        <v>1467.2528055450159</v>
      </c>
      <c r="K221">
        <v>0</v>
      </c>
      <c r="L221">
        <v>188679.65461310957</v>
      </c>
      <c r="M221">
        <v>384</v>
      </c>
      <c r="N221">
        <v>92</v>
      </c>
      <c r="O221">
        <v>0.23958333333333301</v>
      </c>
    </row>
    <row r="222" spans="1:15" x14ac:dyDescent="0.25">
      <c r="A222" t="s">
        <v>586</v>
      </c>
      <c r="B222" t="s">
        <v>1138</v>
      </c>
      <c r="C222">
        <v>51609.651144794087</v>
      </c>
      <c r="D222">
        <v>13574.108702661462</v>
      </c>
      <c r="E222">
        <v>26277.522912885011</v>
      </c>
      <c r="F222">
        <v>36119.213017947339</v>
      </c>
      <c r="G222">
        <v>127580.49577828791</v>
      </c>
      <c r="H222">
        <v>112868.91729075405</v>
      </c>
      <c r="I222">
        <v>14711.578487533858</v>
      </c>
      <c r="J222">
        <v>870.94361828910894</v>
      </c>
      <c r="K222">
        <v>0</v>
      </c>
      <c r="L222">
        <v>111997.97367246494</v>
      </c>
      <c r="M222">
        <v>352</v>
      </c>
      <c r="N222">
        <v>60</v>
      </c>
      <c r="O222">
        <v>0.170454545454545</v>
      </c>
    </row>
    <row r="223" spans="1:15" x14ac:dyDescent="0.25">
      <c r="A223" t="s">
        <v>61</v>
      </c>
      <c r="B223" t="s">
        <v>1139</v>
      </c>
      <c r="C223">
        <v>5170175.6148867765</v>
      </c>
      <c r="D223">
        <v>1359833.3693716864</v>
      </c>
      <c r="E223">
        <v>4356943.6453850307</v>
      </c>
      <c r="F223">
        <v>5988744.6833007531</v>
      </c>
      <c r="G223">
        <v>16875697.312944245</v>
      </c>
      <c r="H223">
        <v>14905714.467067217</v>
      </c>
      <c r="I223">
        <v>1969982.8458770271</v>
      </c>
      <c r="J223">
        <v>115018.70667979993</v>
      </c>
      <c r="K223">
        <v>0</v>
      </c>
      <c r="L223">
        <v>14790695.760387417</v>
      </c>
      <c r="M223">
        <v>33644</v>
      </c>
      <c r="N223">
        <v>6011</v>
      </c>
      <c r="O223">
        <v>0.17865651954315001</v>
      </c>
    </row>
    <row r="224" spans="1:15" x14ac:dyDescent="0.25">
      <c r="A224" t="s">
        <v>588</v>
      </c>
      <c r="B224" t="s">
        <v>1142</v>
      </c>
      <c r="C224">
        <v>18923.538753091165</v>
      </c>
      <c r="D224">
        <v>4977.1731909758673</v>
      </c>
      <c r="E224">
        <v>9638.2967722935755</v>
      </c>
      <c r="F224">
        <v>13248.116856477498</v>
      </c>
      <c r="G224">
        <v>46787.125572838107</v>
      </c>
      <c r="H224">
        <v>42290.355083333277</v>
      </c>
      <c r="I224">
        <v>4496.77048950483</v>
      </c>
      <c r="J224">
        <v>326.33000970610647</v>
      </c>
      <c r="K224">
        <v>0</v>
      </c>
      <c r="L224">
        <v>41964.02507362717</v>
      </c>
      <c r="M224">
        <v>129</v>
      </c>
      <c r="N224">
        <v>22</v>
      </c>
      <c r="O224">
        <v>0.170542635658915</v>
      </c>
    </row>
    <row r="225" spans="1:15" x14ac:dyDescent="0.25">
      <c r="A225" t="s">
        <v>592</v>
      </c>
      <c r="B225" t="s">
        <v>1150</v>
      </c>
      <c r="C225">
        <v>12902.412786198522</v>
      </c>
      <c r="D225">
        <v>3393.5271756653656</v>
      </c>
      <c r="E225">
        <v>19775.318373250386</v>
      </c>
      <c r="F225">
        <v>27181.745371856225</v>
      </c>
      <c r="G225">
        <v>63253.003706970499</v>
      </c>
      <c r="H225">
        <v>41667.845811323612</v>
      </c>
      <c r="I225">
        <v>21585.157895646887</v>
      </c>
      <c r="J225">
        <v>321.52646865338272</v>
      </c>
      <c r="K225">
        <v>0</v>
      </c>
      <c r="L225">
        <v>41346.319342670227</v>
      </c>
      <c r="M225">
        <v>15</v>
      </c>
      <c r="N225">
        <v>15</v>
      </c>
      <c r="O225">
        <v>1</v>
      </c>
    </row>
    <row r="226" spans="1:15" x14ac:dyDescent="0.25">
      <c r="A226" t="s">
        <v>596</v>
      </c>
      <c r="B226" t="s">
        <v>1158</v>
      </c>
      <c r="C226">
        <v>109240.42825648078</v>
      </c>
      <c r="D226">
        <v>20873.00211974937</v>
      </c>
      <c r="E226">
        <v>52251.575259538273</v>
      </c>
      <c r="F226">
        <v>71821.296991321447</v>
      </c>
      <c r="G226">
        <v>254186.3026270899</v>
      </c>
      <c r="H226">
        <v>251538.90858973516</v>
      </c>
      <c r="I226">
        <v>2647.3940373547375</v>
      </c>
      <c r="J226">
        <v>1940.9790795041458</v>
      </c>
      <c r="K226">
        <v>0</v>
      </c>
      <c r="L226">
        <v>249597.92951023101</v>
      </c>
      <c r="M226">
        <v>920</v>
      </c>
      <c r="N226">
        <v>127</v>
      </c>
      <c r="O226">
        <v>0.13804347826086999</v>
      </c>
    </row>
    <row r="227" spans="1:15" x14ac:dyDescent="0.25">
      <c r="A227" t="s">
        <v>72</v>
      </c>
      <c r="B227" t="s">
        <v>1161</v>
      </c>
      <c r="C227">
        <v>96317.465300918935</v>
      </c>
      <c r="D227">
        <v>23097.112354173452</v>
      </c>
      <c r="E227">
        <v>81114.047976330694</v>
      </c>
      <c r="F227">
        <v>111493.59805784775</v>
      </c>
      <c r="G227">
        <v>312022.22368927085</v>
      </c>
      <c r="H227">
        <v>259437.25193918563</v>
      </c>
      <c r="I227">
        <v>52584.971750085213</v>
      </c>
      <c r="J227">
        <v>2001.9259894274469</v>
      </c>
      <c r="K227">
        <v>0</v>
      </c>
      <c r="L227">
        <v>257435.32594975817</v>
      </c>
      <c r="M227">
        <v>742</v>
      </c>
      <c r="N227">
        <v>112</v>
      </c>
      <c r="O227">
        <v>0.15084808118918</v>
      </c>
    </row>
    <row r="228" spans="1:15" x14ac:dyDescent="0.25">
      <c r="A228" t="s">
        <v>598</v>
      </c>
      <c r="B228" t="s">
        <v>1165</v>
      </c>
      <c r="C228">
        <v>19632.409156375907</v>
      </c>
      <c r="D228">
        <v>5141.8366091035523</v>
      </c>
      <c r="E228">
        <v>12368.125106929569</v>
      </c>
      <c r="F228">
        <v>17054.824055209006</v>
      </c>
      <c r="G228">
        <v>54197.194927618031</v>
      </c>
      <c r="H228">
        <v>53194.493457452198</v>
      </c>
      <c r="I228">
        <v>1002.7014701658336</v>
      </c>
      <c r="J228">
        <v>410.4708870870416</v>
      </c>
      <c r="K228">
        <v>0</v>
      </c>
      <c r="L228">
        <v>52784.022570365159</v>
      </c>
      <c r="M228">
        <v>114</v>
      </c>
      <c r="N228">
        <v>22</v>
      </c>
      <c r="O228">
        <v>0.19298245614035101</v>
      </c>
    </row>
    <row r="229" spans="1:15" x14ac:dyDescent="0.25">
      <c r="A229" t="s">
        <v>600</v>
      </c>
      <c r="B229" t="s">
        <v>1169</v>
      </c>
      <c r="C229">
        <v>1025311.7360765755</v>
      </c>
      <c r="D229">
        <v>269672.29289287422</v>
      </c>
      <c r="E229">
        <v>593487.38040853513</v>
      </c>
      <c r="F229">
        <v>815765.51897622959</v>
      </c>
      <c r="G229">
        <v>2704236.9283542144</v>
      </c>
      <c r="H229">
        <v>2494920.935762791</v>
      </c>
      <c r="I229">
        <v>209315.99259142345</v>
      </c>
      <c r="J229">
        <v>19251.850015898894</v>
      </c>
      <c r="K229">
        <v>0</v>
      </c>
      <c r="L229">
        <v>2475669.0857468923</v>
      </c>
      <c r="M229">
        <v>6200</v>
      </c>
      <c r="N229">
        <v>1192</v>
      </c>
      <c r="O229">
        <v>0.19225806451612901</v>
      </c>
    </row>
    <row r="230" spans="1:15" x14ac:dyDescent="0.25">
      <c r="A230" t="s">
        <v>67</v>
      </c>
      <c r="B230" t="s">
        <v>1170</v>
      </c>
      <c r="C230">
        <v>15679.420009491818</v>
      </c>
      <c r="D230">
        <v>4123.9215317772196</v>
      </c>
      <c r="E230">
        <v>8767.6513755235774</v>
      </c>
      <c r="F230">
        <v>12051.389651509069</v>
      </c>
      <c r="G230">
        <v>40622.382568301684</v>
      </c>
      <c r="H230">
        <v>35527.445652819362</v>
      </c>
      <c r="I230">
        <v>5094.9369154823216</v>
      </c>
      <c r="J230">
        <v>274.14458123778684</v>
      </c>
      <c r="K230">
        <v>0</v>
      </c>
      <c r="L230">
        <v>35253.301071581576</v>
      </c>
      <c r="M230">
        <v>87</v>
      </c>
      <c r="N230">
        <v>18</v>
      </c>
      <c r="O230">
        <v>0.21035407825649799</v>
      </c>
    </row>
    <row r="231" spans="1:15" x14ac:dyDescent="0.25">
      <c r="A231" t="s">
        <v>602</v>
      </c>
      <c r="B231" t="s">
        <v>1173</v>
      </c>
      <c r="C231">
        <v>74833.994159951442</v>
      </c>
      <c r="D231">
        <v>19682.457618859105</v>
      </c>
      <c r="E231">
        <v>49245.854821449138</v>
      </c>
      <c r="F231">
        <v>67689.847572148632</v>
      </c>
      <c r="G231">
        <v>211452.15417240831</v>
      </c>
      <c r="H231">
        <v>177159.02018825623</v>
      </c>
      <c r="I231">
        <v>34293.133984152082</v>
      </c>
      <c r="J231">
        <v>1367.0328533217239</v>
      </c>
      <c r="K231">
        <v>0</v>
      </c>
      <c r="L231">
        <v>175791.9873349345</v>
      </c>
      <c r="M231">
        <v>346</v>
      </c>
      <c r="N231">
        <v>87</v>
      </c>
      <c r="O231">
        <v>0.25144508670520199</v>
      </c>
    </row>
    <row r="232" spans="1:15" x14ac:dyDescent="0.25">
      <c r="A232" t="s">
        <v>237</v>
      </c>
      <c r="B232" t="s">
        <v>1177</v>
      </c>
      <c r="C232">
        <v>24084.503867570565</v>
      </c>
      <c r="D232">
        <v>6334.5840612420179</v>
      </c>
      <c r="E232">
        <v>12323.739739825329</v>
      </c>
      <c r="F232">
        <v>16939.33565641494</v>
      </c>
      <c r="G232">
        <v>59682.163325052854</v>
      </c>
      <c r="H232">
        <v>52297.456601489925</v>
      </c>
      <c r="I232">
        <v>7384.7067235629293</v>
      </c>
      <c r="J232">
        <v>403.5489767522601</v>
      </c>
      <c r="K232">
        <v>0</v>
      </c>
      <c r="L232">
        <v>51893.907624737665</v>
      </c>
      <c r="M232">
        <v>163</v>
      </c>
      <c r="N232">
        <v>28</v>
      </c>
      <c r="O232">
        <v>0.17177914110429399</v>
      </c>
    </row>
    <row r="233" spans="1:15" x14ac:dyDescent="0.25">
      <c r="A233" t="s">
        <v>608</v>
      </c>
      <c r="B233" t="s">
        <v>1193</v>
      </c>
      <c r="C233">
        <v>34902.060722446069</v>
      </c>
      <c r="D233">
        <v>9141.0428606285368</v>
      </c>
      <c r="E233">
        <v>22232.007412531515</v>
      </c>
      <c r="F233">
        <v>30656.463411935518</v>
      </c>
      <c r="G233">
        <v>96931.57440754163</v>
      </c>
      <c r="H233">
        <v>95138.333693290857</v>
      </c>
      <c r="I233">
        <v>1793.2407142507727</v>
      </c>
      <c r="J233">
        <v>734.12704377575426</v>
      </c>
      <c r="K233">
        <v>0</v>
      </c>
      <c r="L233">
        <v>94404.206649515108</v>
      </c>
      <c r="M233">
        <v>198</v>
      </c>
      <c r="N233">
        <v>33</v>
      </c>
      <c r="O233">
        <v>0.16666666666666699</v>
      </c>
    </row>
    <row r="234" spans="1:15" x14ac:dyDescent="0.25">
      <c r="A234" t="s">
        <v>610</v>
      </c>
      <c r="B234" t="s">
        <v>1198</v>
      </c>
      <c r="C234">
        <v>173752.49218747349</v>
      </c>
      <c r="D234">
        <v>45699.499298960232</v>
      </c>
      <c r="E234">
        <v>113568.28453944842</v>
      </c>
      <c r="F234">
        <v>156102.88210810773</v>
      </c>
      <c r="G234">
        <v>489123.15813398984</v>
      </c>
      <c r="H234">
        <v>410875.81005733134</v>
      </c>
      <c r="I234">
        <v>78247.348076658498</v>
      </c>
      <c r="J234">
        <v>3170.4890351430258</v>
      </c>
      <c r="K234">
        <v>0</v>
      </c>
      <c r="L234">
        <v>407705.32102218829</v>
      </c>
      <c r="M234">
        <v>810</v>
      </c>
      <c r="N234">
        <v>202</v>
      </c>
      <c r="O234">
        <v>0.249382716049383</v>
      </c>
    </row>
    <row r="235" spans="1:15" x14ac:dyDescent="0.25">
      <c r="A235" t="s">
        <v>612</v>
      </c>
      <c r="B235" t="s">
        <v>1202</v>
      </c>
      <c r="C235">
        <v>56770.616259273469</v>
      </c>
      <c r="D235">
        <v>14931.519572927607</v>
      </c>
      <c r="E235">
        <v>34546.955665293921</v>
      </c>
      <c r="F235">
        <v>47637.960112853594</v>
      </c>
      <c r="G235">
        <v>153887.0516103486</v>
      </c>
      <c r="H235">
        <v>145507.37758741749</v>
      </c>
      <c r="I235">
        <v>8379.6740229311108</v>
      </c>
      <c r="J235">
        <v>1122.7955841667872</v>
      </c>
      <c r="K235">
        <v>0</v>
      </c>
      <c r="L235">
        <v>144384.58200325069</v>
      </c>
      <c r="M235">
        <v>288</v>
      </c>
      <c r="N235">
        <v>66</v>
      </c>
      <c r="O235">
        <v>0.22916666666666699</v>
      </c>
    </row>
    <row r="236" spans="1:15" x14ac:dyDescent="0.25">
      <c r="A236" t="s">
        <v>614</v>
      </c>
      <c r="B236" t="s">
        <v>1207</v>
      </c>
      <c r="C236">
        <v>94617.693765455799</v>
      </c>
      <c r="D236">
        <v>24885.865954879348</v>
      </c>
      <c r="E236">
        <v>55574.230301657342</v>
      </c>
      <c r="F236">
        <v>76388.382163288261</v>
      </c>
      <c r="G236">
        <v>251466.17218528077</v>
      </c>
      <c r="H236">
        <v>211330.21368323328</v>
      </c>
      <c r="I236">
        <v>40135.958502047491</v>
      </c>
      <c r="J236">
        <v>1630.7120275190521</v>
      </c>
      <c r="K236">
        <v>0</v>
      </c>
      <c r="L236">
        <v>209699.50165571424</v>
      </c>
      <c r="M236">
        <v>495</v>
      </c>
      <c r="N236">
        <v>110</v>
      </c>
      <c r="O236">
        <v>0.22222222222222199</v>
      </c>
    </row>
    <row r="237" spans="1:15" x14ac:dyDescent="0.25">
      <c r="A237" t="s">
        <v>616</v>
      </c>
      <c r="B237" t="s">
        <v>1209</v>
      </c>
      <c r="C237">
        <v>301916.4591970453</v>
      </c>
      <c r="D237">
        <v>79408.535910569524</v>
      </c>
      <c r="E237">
        <v>155992.67563927852</v>
      </c>
      <c r="F237">
        <v>214416.43108193824</v>
      </c>
      <c r="G237">
        <v>751734.1018288316</v>
      </c>
      <c r="H237">
        <v>667350.77205075289</v>
      </c>
      <c r="I237">
        <v>84383.329778078711</v>
      </c>
      <c r="J237">
        <v>5149.5567604379385</v>
      </c>
      <c r="K237">
        <v>0</v>
      </c>
      <c r="L237">
        <v>662201.21529031498</v>
      </c>
      <c r="M237">
        <v>2012</v>
      </c>
      <c r="N237">
        <v>351</v>
      </c>
      <c r="O237">
        <v>0.17445328031809099</v>
      </c>
    </row>
    <row r="238" spans="1:15" x14ac:dyDescent="0.25">
      <c r="A238" t="s">
        <v>621</v>
      </c>
      <c r="B238" t="s">
        <v>1215</v>
      </c>
      <c r="C238">
        <v>734577.36796090228</v>
      </c>
      <c r="D238">
        <v>193204.81386788143</v>
      </c>
      <c r="E238">
        <v>472512.33221861557</v>
      </c>
      <c r="F238">
        <v>649481.82663909637</v>
      </c>
      <c r="G238">
        <v>2049776.3406864954</v>
      </c>
      <c r="H238">
        <v>1829237.6320837752</v>
      </c>
      <c r="I238">
        <v>220538.70860272017</v>
      </c>
      <c r="J238">
        <v>14115.16013654676</v>
      </c>
      <c r="K238">
        <v>0</v>
      </c>
      <c r="L238">
        <v>1815122.4719472285</v>
      </c>
      <c r="M238">
        <v>3490</v>
      </c>
      <c r="N238">
        <v>854</v>
      </c>
      <c r="O238">
        <v>0.24469914040114599</v>
      </c>
    </row>
    <row r="239" spans="1:15" x14ac:dyDescent="0.25">
      <c r="A239" t="s">
        <v>623</v>
      </c>
      <c r="B239" t="s">
        <v>1217</v>
      </c>
      <c r="C239">
        <v>150528.1491723161</v>
      </c>
      <c r="D239">
        <v>39591.150382762578</v>
      </c>
      <c r="E239">
        <v>84414.991267574413</v>
      </c>
      <c r="F239">
        <v>116030.83980212704</v>
      </c>
      <c r="G239">
        <v>390565.13062478014</v>
      </c>
      <c r="H239">
        <v>359533.34196567081</v>
      </c>
      <c r="I239">
        <v>31031.788659109327</v>
      </c>
      <c r="J239">
        <v>2774.3091478455067</v>
      </c>
      <c r="K239">
        <v>0</v>
      </c>
      <c r="L239">
        <v>356759.03281782533</v>
      </c>
      <c r="M239">
        <v>865</v>
      </c>
      <c r="N239">
        <v>175</v>
      </c>
      <c r="O239">
        <v>0.20231213872832399</v>
      </c>
    </row>
    <row r="240" spans="1:15" x14ac:dyDescent="0.25">
      <c r="A240" t="s">
        <v>70</v>
      </c>
      <c r="B240" t="s">
        <v>1238</v>
      </c>
      <c r="C240">
        <v>31036.131487696635</v>
      </c>
      <c r="D240">
        <v>8162.9659022910064</v>
      </c>
      <c r="E240">
        <v>22646.910412673456</v>
      </c>
      <c r="F240">
        <v>31226.029502111254</v>
      </c>
      <c r="G240">
        <v>93072.037304772355</v>
      </c>
      <c r="H240">
        <v>83554.282462617091</v>
      </c>
      <c r="I240">
        <v>9517.7548421552638</v>
      </c>
      <c r="J240">
        <v>644.73967535350141</v>
      </c>
      <c r="K240">
        <v>0</v>
      </c>
      <c r="L240">
        <v>82909.542787263592</v>
      </c>
      <c r="M240">
        <v>221</v>
      </c>
      <c r="N240">
        <v>36</v>
      </c>
      <c r="O240">
        <v>0.16325652128859</v>
      </c>
    </row>
    <row r="241" spans="1:15" x14ac:dyDescent="0.25">
      <c r="A241" t="s">
        <v>635</v>
      </c>
      <c r="B241" t="s">
        <v>1244</v>
      </c>
      <c r="C241">
        <v>12902.412786198522</v>
      </c>
      <c r="D241">
        <v>2510.0445587040394</v>
      </c>
      <c r="E241">
        <v>6171.445896795859</v>
      </c>
      <c r="F241">
        <v>8482.8303533056824</v>
      </c>
      <c r="G241">
        <v>30066.733595004102</v>
      </c>
      <c r="H241">
        <v>27141.179063276595</v>
      </c>
      <c r="I241">
        <v>2925.5545317275064</v>
      </c>
      <c r="J241">
        <v>209.43265218987909</v>
      </c>
      <c r="K241">
        <v>0</v>
      </c>
      <c r="L241">
        <v>26931.746411086715</v>
      </c>
      <c r="M241">
        <v>112</v>
      </c>
      <c r="N241">
        <v>15</v>
      </c>
      <c r="O241">
        <v>0.13392857142857101</v>
      </c>
    </row>
    <row r="242" spans="1:15" x14ac:dyDescent="0.25">
      <c r="A242" t="s">
        <v>639</v>
      </c>
      <c r="B242" t="s">
        <v>1248</v>
      </c>
      <c r="C242">
        <v>18063.377900677922</v>
      </c>
      <c r="D242">
        <v>1967.3097874962073</v>
      </c>
      <c r="E242">
        <v>8640.0242555142013</v>
      </c>
      <c r="F242">
        <v>11875.962494627953</v>
      </c>
      <c r="G242">
        <v>40546.67443831628</v>
      </c>
      <c r="H242">
        <v>36126.687489787131</v>
      </c>
      <c r="I242">
        <v>4419.9869485291492</v>
      </c>
      <c r="J242">
        <v>278.7685810620651</v>
      </c>
      <c r="K242">
        <v>0</v>
      </c>
      <c r="L242">
        <v>35847.918908725063</v>
      </c>
      <c r="M242">
        <v>146</v>
      </c>
      <c r="N242">
        <v>21</v>
      </c>
      <c r="O242">
        <v>0.14383561643835599</v>
      </c>
    </row>
    <row r="243" spans="1:15" x14ac:dyDescent="0.25">
      <c r="A243" t="s">
        <v>641</v>
      </c>
      <c r="B243" t="s">
        <v>1250</v>
      </c>
      <c r="C243">
        <v>13762.573638611757</v>
      </c>
      <c r="D243">
        <v>3619.7623207097226</v>
      </c>
      <c r="E243">
        <v>12391.594787460599</v>
      </c>
      <c r="F243">
        <v>17032.604376149538</v>
      </c>
      <c r="G243">
        <v>46806.535122931615</v>
      </c>
      <c r="H243">
        <v>40451.000545111761</v>
      </c>
      <c r="I243">
        <v>6355.5345778198534</v>
      </c>
      <c r="J243">
        <v>312.13678330429377</v>
      </c>
      <c r="K243">
        <v>0</v>
      </c>
      <c r="L243">
        <v>40138.863761807464</v>
      </c>
      <c r="M243">
        <v>43</v>
      </c>
      <c r="N243">
        <v>16</v>
      </c>
      <c r="O243">
        <v>0.372093023255814</v>
      </c>
    </row>
    <row r="244" spans="1:15" x14ac:dyDescent="0.25">
      <c r="A244" t="s">
        <v>645</v>
      </c>
      <c r="B244" t="s">
        <v>1254</v>
      </c>
      <c r="C244">
        <v>3687509.5742955371</v>
      </c>
      <c r="D244">
        <v>969870.06680516119</v>
      </c>
      <c r="E244">
        <v>2920122.4835005747</v>
      </c>
      <c r="F244">
        <v>4013792.562172472</v>
      </c>
      <c r="G244">
        <v>11591294.686773745</v>
      </c>
      <c r="H244">
        <v>10192825.849578472</v>
      </c>
      <c r="I244">
        <v>1398468.8371952735</v>
      </c>
      <c r="J244">
        <v>78652.093411636262</v>
      </c>
      <c r="K244">
        <v>0</v>
      </c>
      <c r="L244">
        <v>10114173.756166836</v>
      </c>
      <c r="M244">
        <v>16519</v>
      </c>
      <c r="N244">
        <v>4287</v>
      </c>
      <c r="O244">
        <v>0.25951934136448901</v>
      </c>
    </row>
    <row r="245" spans="1:15" x14ac:dyDescent="0.25">
      <c r="A245" t="s">
        <v>316</v>
      </c>
      <c r="B245" t="s">
        <v>689</v>
      </c>
      <c r="C245">
        <v>267138.11059899989</v>
      </c>
      <c r="D245">
        <v>69964.94958025057</v>
      </c>
      <c r="E245">
        <v>129854.33942890776</v>
      </c>
      <c r="F245">
        <v>179060.51989436932</v>
      </c>
      <c r="G245">
        <v>646017.91950252745</v>
      </c>
      <c r="H245">
        <v>646017.91950252745</v>
      </c>
      <c r="I245">
        <v>0</v>
      </c>
      <c r="J245">
        <v>4984.9435769968541</v>
      </c>
      <c r="K245">
        <v>0</v>
      </c>
      <c r="L245">
        <v>641032.97592553066</v>
      </c>
      <c r="M245">
        <v>2473</v>
      </c>
      <c r="N245">
        <v>271</v>
      </c>
      <c r="O245">
        <v>0.109583501819652</v>
      </c>
    </row>
    <row r="246" spans="1:15" x14ac:dyDescent="0.25">
      <c r="A246" t="s">
        <v>320</v>
      </c>
      <c r="B246" t="s">
        <v>694</v>
      </c>
      <c r="C246">
        <v>208567.25116782496</v>
      </c>
      <c r="D246">
        <v>54229.157445164499</v>
      </c>
      <c r="E246">
        <v>136576.44027378573</v>
      </c>
      <c r="F246">
        <v>184971.87213735111</v>
      </c>
      <c r="G246">
        <v>584344.72102412628</v>
      </c>
      <c r="H246">
        <v>584344.72102412628</v>
      </c>
      <c r="I246">
        <v>0</v>
      </c>
      <c r="J246">
        <v>4509.0474673897033</v>
      </c>
      <c r="K246">
        <v>0</v>
      </c>
      <c r="L246">
        <v>579835.67355673655</v>
      </c>
      <c r="M246">
        <v>968</v>
      </c>
      <c r="N246">
        <v>178</v>
      </c>
      <c r="O246">
        <v>0.18388429752066099</v>
      </c>
    </row>
    <row r="247" spans="1:15" x14ac:dyDescent="0.25">
      <c r="A247" t="s">
        <v>326</v>
      </c>
      <c r="B247" t="s">
        <v>700</v>
      </c>
      <c r="C247">
        <v>383870.28646256687</v>
      </c>
      <c r="D247">
        <v>97495.414964399009</v>
      </c>
      <c r="E247">
        <v>172892.90837407191</v>
      </c>
      <c r="F247">
        <v>232916.76880861406</v>
      </c>
      <c r="G247">
        <v>887175.37860965193</v>
      </c>
      <c r="H247">
        <v>887175.37860965193</v>
      </c>
      <c r="I247">
        <v>0</v>
      </c>
      <c r="J247">
        <v>6845.8150645040023</v>
      </c>
      <c r="K247">
        <v>0</v>
      </c>
      <c r="L247">
        <v>880329.56354514789</v>
      </c>
      <c r="M247">
        <v>3721</v>
      </c>
      <c r="N247">
        <v>397</v>
      </c>
      <c r="O247">
        <v>0.106691749529696</v>
      </c>
    </row>
    <row r="248" spans="1:15" x14ac:dyDescent="0.25">
      <c r="A248" t="s">
        <v>332</v>
      </c>
      <c r="B248" t="s">
        <v>710</v>
      </c>
      <c r="C248">
        <v>142786.70150059689</v>
      </c>
      <c r="D248">
        <v>31177.395571271216</v>
      </c>
      <c r="E248">
        <v>68297.334591207546</v>
      </c>
      <c r="F248">
        <v>93876.655909916211</v>
      </c>
      <c r="G248">
        <v>336138.08757299185</v>
      </c>
      <c r="H248">
        <v>336138.08757299185</v>
      </c>
      <c r="I248">
        <v>0</v>
      </c>
      <c r="J248">
        <v>2593.7816120043958</v>
      </c>
      <c r="K248">
        <v>0</v>
      </c>
      <c r="L248">
        <v>333544.30596098746</v>
      </c>
      <c r="M248">
        <v>1496</v>
      </c>
      <c r="N248">
        <v>166</v>
      </c>
      <c r="O248">
        <v>0.11096256684491999</v>
      </c>
    </row>
    <row r="249" spans="1:15" x14ac:dyDescent="0.25">
      <c r="A249" t="s">
        <v>340</v>
      </c>
      <c r="B249" t="s">
        <v>727</v>
      </c>
      <c r="C249">
        <v>155596.35784154371</v>
      </c>
      <c r="D249">
        <v>39518.379019392305</v>
      </c>
      <c r="E249">
        <v>87445.243673026634</v>
      </c>
      <c r="F249">
        <v>115225.9137046486</v>
      </c>
      <c r="G249">
        <v>397785.89423861128</v>
      </c>
      <c r="H249">
        <v>397785.89423861128</v>
      </c>
      <c r="I249">
        <v>0</v>
      </c>
      <c r="J249">
        <v>3069.4817877988553</v>
      </c>
      <c r="K249">
        <v>0</v>
      </c>
      <c r="L249">
        <v>394716.41245081241</v>
      </c>
      <c r="M249">
        <v>938</v>
      </c>
      <c r="N249">
        <v>161</v>
      </c>
      <c r="O249">
        <v>0.171641791044776</v>
      </c>
    </row>
    <row r="250" spans="1:15" x14ac:dyDescent="0.25">
      <c r="A250" t="s">
        <v>353</v>
      </c>
      <c r="B250" t="s">
        <v>745</v>
      </c>
      <c r="C250">
        <v>88119.434482081328</v>
      </c>
      <c r="D250">
        <v>22573.165743120931</v>
      </c>
      <c r="E250">
        <v>42048.386874260774</v>
      </c>
      <c r="F250">
        <v>56948.100454925217</v>
      </c>
      <c r="G250">
        <v>209689.08755438824</v>
      </c>
      <c r="H250">
        <v>209689.08755438824</v>
      </c>
      <c r="I250">
        <v>0</v>
      </c>
      <c r="J250">
        <v>1618.0484141608847</v>
      </c>
      <c r="K250">
        <v>0</v>
      </c>
      <c r="L250">
        <v>208071.03914022737</v>
      </c>
      <c r="M250">
        <v>756</v>
      </c>
      <c r="N250">
        <v>100</v>
      </c>
      <c r="O250">
        <v>0.13227513227513199</v>
      </c>
    </row>
    <row r="251" spans="1:15" x14ac:dyDescent="0.25">
      <c r="A251" t="s">
        <v>354</v>
      </c>
      <c r="B251" t="s">
        <v>747</v>
      </c>
      <c r="C251">
        <v>275251.47277223511</v>
      </c>
      <c r="D251">
        <v>72395.246414194451</v>
      </c>
      <c r="E251">
        <v>139412.21575203945</v>
      </c>
      <c r="F251">
        <v>192240.19730086092</v>
      </c>
      <c r="G251">
        <v>679299.13223932998</v>
      </c>
      <c r="H251">
        <v>679299.13223932998</v>
      </c>
      <c r="I251">
        <v>0</v>
      </c>
      <c r="J251">
        <v>5241.7552886514568</v>
      </c>
      <c r="K251">
        <v>0</v>
      </c>
      <c r="L251">
        <v>674057.37695067853</v>
      </c>
      <c r="M251">
        <v>1998</v>
      </c>
      <c r="N251">
        <v>320</v>
      </c>
      <c r="O251">
        <v>0.16016016016015999</v>
      </c>
    </row>
    <row r="252" spans="1:15" x14ac:dyDescent="0.25">
      <c r="A252" t="s">
        <v>364</v>
      </c>
      <c r="B252" t="s">
        <v>761</v>
      </c>
      <c r="C252">
        <v>13047.876867303326</v>
      </c>
      <c r="D252">
        <v>3417.311162017379</v>
      </c>
      <c r="E252">
        <v>6808.6736096702216</v>
      </c>
      <c r="F252">
        <v>9388.7092391401129</v>
      </c>
      <c r="G252">
        <v>32662.570878131042</v>
      </c>
      <c r="H252">
        <v>32662.570878131042</v>
      </c>
      <c r="I252">
        <v>0</v>
      </c>
      <c r="J252">
        <v>252.03801317543298</v>
      </c>
      <c r="K252">
        <v>0</v>
      </c>
      <c r="L252">
        <v>32410.53286495561</v>
      </c>
      <c r="M252">
        <v>114</v>
      </c>
      <c r="N252">
        <v>13</v>
      </c>
      <c r="O252">
        <v>0.114035087719298</v>
      </c>
    </row>
    <row r="253" spans="1:15" x14ac:dyDescent="0.25">
      <c r="A253" t="s">
        <v>366</v>
      </c>
      <c r="B253" t="s">
        <v>763</v>
      </c>
      <c r="C253">
        <v>41986.318782638773</v>
      </c>
      <c r="D253">
        <v>10663.68957666142</v>
      </c>
      <c r="E253">
        <v>31701.278752995968</v>
      </c>
      <c r="F253">
        <v>41772.52708652999</v>
      </c>
      <c r="G253">
        <v>126123.81419882615</v>
      </c>
      <c r="H253">
        <v>126123.81419882615</v>
      </c>
      <c r="I253">
        <v>0</v>
      </c>
      <c r="J253">
        <v>973.22392849556741</v>
      </c>
      <c r="K253">
        <v>0</v>
      </c>
      <c r="L253">
        <v>125150.59027033058</v>
      </c>
      <c r="M253">
        <v>158</v>
      </c>
      <c r="N253">
        <v>41</v>
      </c>
      <c r="O253">
        <v>0.259493670886076</v>
      </c>
    </row>
    <row r="254" spans="1:15" x14ac:dyDescent="0.25">
      <c r="A254" t="s">
        <v>368</v>
      </c>
      <c r="B254" t="s">
        <v>765</v>
      </c>
      <c r="C254">
        <v>73476.057869617842</v>
      </c>
      <c r="D254">
        <v>18661.456759157481</v>
      </c>
      <c r="E254">
        <v>56546.755740877394</v>
      </c>
      <c r="F254">
        <v>74511.21780435952</v>
      </c>
      <c r="G254">
        <v>223195.48817401222</v>
      </c>
      <c r="H254">
        <v>223195.48817401222</v>
      </c>
      <c r="I254">
        <v>0</v>
      </c>
      <c r="J254">
        <v>1722.2694318518304</v>
      </c>
      <c r="K254">
        <v>0</v>
      </c>
      <c r="L254">
        <v>221473.21874216039</v>
      </c>
      <c r="M254">
        <v>316</v>
      </c>
      <c r="N254">
        <v>75</v>
      </c>
      <c r="O254">
        <v>0.237341772151899</v>
      </c>
    </row>
    <row r="255" spans="1:15" x14ac:dyDescent="0.25">
      <c r="A255" t="s">
        <v>272</v>
      </c>
      <c r="B255" t="s">
        <v>769</v>
      </c>
      <c r="C255">
        <v>56998.619999272443</v>
      </c>
      <c r="D255">
        <v>14928.254023549607</v>
      </c>
      <c r="E255">
        <v>28593.491581728107</v>
      </c>
      <c r="F255">
        <v>39428.528077974399</v>
      </c>
      <c r="G255">
        <v>139948.89368252456</v>
      </c>
      <c r="H255">
        <v>139948.89368252456</v>
      </c>
      <c r="I255">
        <v>0</v>
      </c>
      <c r="J255">
        <v>1079.9040051516513</v>
      </c>
      <c r="K255">
        <v>0</v>
      </c>
      <c r="L255">
        <v>138868.98967737291</v>
      </c>
      <c r="M255">
        <v>504</v>
      </c>
      <c r="N255">
        <v>65</v>
      </c>
      <c r="O255">
        <v>0.12896825396825401</v>
      </c>
    </row>
    <row r="256" spans="1:15" x14ac:dyDescent="0.25">
      <c r="A256" t="s">
        <v>370</v>
      </c>
      <c r="B256" t="s">
        <v>771</v>
      </c>
      <c r="C256">
        <v>69673.029045472023</v>
      </c>
      <c r="D256">
        <v>16123.689816514952</v>
      </c>
      <c r="E256">
        <v>33325.807842697643</v>
      </c>
      <c r="F256">
        <v>45807.283907850688</v>
      </c>
      <c r="G256">
        <v>164929.81061253531</v>
      </c>
      <c r="H256">
        <v>164929.81061253531</v>
      </c>
      <c r="I256">
        <v>0</v>
      </c>
      <c r="J256">
        <v>1272.6671741573089</v>
      </c>
      <c r="K256">
        <v>0</v>
      </c>
      <c r="L256">
        <v>163657.143438378</v>
      </c>
      <c r="M256">
        <v>588</v>
      </c>
      <c r="N256">
        <v>81</v>
      </c>
      <c r="O256">
        <v>0.13775510204081601</v>
      </c>
    </row>
    <row r="257" spans="1:15" x14ac:dyDescent="0.25">
      <c r="A257" t="s">
        <v>372</v>
      </c>
      <c r="B257" t="s">
        <v>773</v>
      </c>
      <c r="C257">
        <v>69359.766505138759</v>
      </c>
      <c r="D257">
        <v>18165.70670335554</v>
      </c>
      <c r="E257">
        <v>38523.59312048537</v>
      </c>
      <c r="F257">
        <v>53121.479364421146</v>
      </c>
      <c r="G257">
        <v>179170.54569340081</v>
      </c>
      <c r="H257">
        <v>179170.54569340081</v>
      </c>
      <c r="I257">
        <v>0</v>
      </c>
      <c r="J257">
        <v>1382.5546226784586</v>
      </c>
      <c r="K257">
        <v>0</v>
      </c>
      <c r="L257">
        <v>177787.99107072235</v>
      </c>
      <c r="M257">
        <v>505</v>
      </c>
      <c r="N257">
        <v>72</v>
      </c>
      <c r="O257">
        <v>0.14257425742574301</v>
      </c>
    </row>
    <row r="258" spans="1:15" x14ac:dyDescent="0.25">
      <c r="A258" t="s">
        <v>376</v>
      </c>
      <c r="B258" t="s">
        <v>779</v>
      </c>
      <c r="C258">
        <v>0</v>
      </c>
      <c r="D258">
        <v>1453.183691881286</v>
      </c>
      <c r="E258">
        <v>0</v>
      </c>
      <c r="F258">
        <v>0</v>
      </c>
      <c r="G258">
        <v>1453.183691881286</v>
      </c>
      <c r="H258">
        <v>1453.183691881286</v>
      </c>
      <c r="I258">
        <v>0</v>
      </c>
      <c r="J258">
        <v>11.213371165645896</v>
      </c>
      <c r="K258">
        <v>0</v>
      </c>
      <c r="L258">
        <v>1441.9703207156401</v>
      </c>
      <c r="M258">
        <v>74</v>
      </c>
      <c r="N258">
        <v>2</v>
      </c>
      <c r="O258">
        <v>2.7027027027027001E-2</v>
      </c>
    </row>
    <row r="259" spans="1:15" x14ac:dyDescent="0.25">
      <c r="A259" t="s">
        <v>388</v>
      </c>
      <c r="B259" t="s">
        <v>797</v>
      </c>
      <c r="C259">
        <v>16099.928160323327</v>
      </c>
      <c r="D259">
        <v>4186.1103992758553</v>
      </c>
      <c r="E259">
        <v>10866.384934651529</v>
      </c>
      <c r="F259">
        <v>14716.854244394846</v>
      </c>
      <c r="G259">
        <v>45869.277738645556</v>
      </c>
      <c r="H259">
        <v>45869.277738645556</v>
      </c>
      <c r="I259">
        <v>0</v>
      </c>
      <c r="J259">
        <v>353.94646888560709</v>
      </c>
      <c r="K259">
        <v>0</v>
      </c>
      <c r="L259">
        <v>45515.331269759947</v>
      </c>
      <c r="M259">
        <v>87</v>
      </c>
      <c r="N259">
        <v>17</v>
      </c>
      <c r="O259">
        <v>0.195402298850575</v>
      </c>
    </row>
    <row r="260" spans="1:15" x14ac:dyDescent="0.25">
      <c r="A260" t="s">
        <v>394</v>
      </c>
      <c r="B260" t="s">
        <v>805</v>
      </c>
      <c r="C260">
        <v>27407.73587200031</v>
      </c>
      <c r="D260">
        <v>6961.0195847650912</v>
      </c>
      <c r="E260">
        <v>18432.836413721761</v>
      </c>
      <c r="F260">
        <v>24288.804384618092</v>
      </c>
      <c r="G260">
        <v>77090.396255105254</v>
      </c>
      <c r="H260">
        <v>77090.396255105254</v>
      </c>
      <c r="I260">
        <v>0</v>
      </c>
      <c r="J260">
        <v>594.86163472981764</v>
      </c>
      <c r="K260">
        <v>0</v>
      </c>
      <c r="L260">
        <v>76495.534620375431</v>
      </c>
      <c r="M260">
        <v>128</v>
      </c>
      <c r="N260">
        <v>22</v>
      </c>
      <c r="O260">
        <v>0.171875</v>
      </c>
    </row>
    <row r="261" spans="1:15" x14ac:dyDescent="0.25">
      <c r="A261" t="s">
        <v>127</v>
      </c>
      <c r="B261" t="s">
        <v>815</v>
      </c>
      <c r="C261">
        <v>708019.00264156493</v>
      </c>
      <c r="D261">
        <v>185434.09515999569</v>
      </c>
      <c r="E261">
        <v>400912.75489490537</v>
      </c>
      <c r="F261">
        <v>552832.09355562367</v>
      </c>
      <c r="G261">
        <v>1847197.9462520897</v>
      </c>
      <c r="H261">
        <v>1847197.9462520897</v>
      </c>
      <c r="I261">
        <v>0</v>
      </c>
      <c r="J261">
        <v>14253.749407914231</v>
      </c>
      <c r="K261">
        <v>0</v>
      </c>
      <c r="L261">
        <v>1832944.1968441755</v>
      </c>
      <c r="M261">
        <v>6171</v>
      </c>
      <c r="N261">
        <v>789</v>
      </c>
      <c r="O261">
        <v>0.127856101118133</v>
      </c>
    </row>
    <row r="262" spans="1:15" x14ac:dyDescent="0.25">
      <c r="A262" t="s">
        <v>400</v>
      </c>
      <c r="B262" t="s">
        <v>819</v>
      </c>
      <c r="C262">
        <v>123367.20827491388</v>
      </c>
      <c r="D262">
        <v>31332.816286980466</v>
      </c>
      <c r="E262">
        <v>55362.458950249391</v>
      </c>
      <c r="F262">
        <v>72950.679185382731</v>
      </c>
      <c r="G262">
        <v>283013.16269752651</v>
      </c>
      <c r="H262">
        <v>283013.16269752651</v>
      </c>
      <c r="I262">
        <v>0</v>
      </c>
      <c r="J262">
        <v>2183.8475450975175</v>
      </c>
      <c r="K262">
        <v>0</v>
      </c>
      <c r="L262">
        <v>280829.31515242899</v>
      </c>
      <c r="M262">
        <v>905</v>
      </c>
      <c r="N262">
        <v>127</v>
      </c>
      <c r="O262">
        <v>0.14033149171270701</v>
      </c>
    </row>
    <row r="263" spans="1:15" x14ac:dyDescent="0.25">
      <c r="A263" t="s">
        <v>133</v>
      </c>
      <c r="B263" t="s">
        <v>827</v>
      </c>
      <c r="C263">
        <v>11634.02024081536</v>
      </c>
      <c r="D263">
        <v>3047.0142868761773</v>
      </c>
      <c r="E263">
        <v>7943.5333803979074</v>
      </c>
      <c r="F263">
        <v>10953.605579511985</v>
      </c>
      <c r="G263">
        <v>33578.173487601431</v>
      </c>
      <c r="H263">
        <v>33578.173487601431</v>
      </c>
      <c r="I263">
        <v>0</v>
      </c>
      <c r="J263">
        <v>259.1031846039217</v>
      </c>
      <c r="K263">
        <v>0</v>
      </c>
      <c r="L263">
        <v>33319.070302997512</v>
      </c>
      <c r="M263">
        <v>60</v>
      </c>
      <c r="N263">
        <v>13</v>
      </c>
      <c r="O263">
        <v>0.21666666666666701</v>
      </c>
    </row>
    <row r="264" spans="1:15" x14ac:dyDescent="0.25">
      <c r="A264" t="s">
        <v>414</v>
      </c>
      <c r="B264" t="s">
        <v>839</v>
      </c>
      <c r="C264">
        <v>32963.057348976843</v>
      </c>
      <c r="D264">
        <v>6737.4880259950523</v>
      </c>
      <c r="E264">
        <v>16023.15756449248</v>
      </c>
      <c r="F264">
        <v>22094.871349433746</v>
      </c>
      <c r="G264">
        <v>77818.574288898119</v>
      </c>
      <c r="H264">
        <v>77818.574288898119</v>
      </c>
      <c r="I264">
        <v>0</v>
      </c>
      <c r="J264">
        <v>600.48055999935389</v>
      </c>
      <c r="K264">
        <v>0</v>
      </c>
      <c r="L264">
        <v>77218.093728898762</v>
      </c>
      <c r="M264">
        <v>338</v>
      </c>
      <c r="N264">
        <v>26</v>
      </c>
      <c r="O264">
        <v>7.69230769230769E-2</v>
      </c>
    </row>
    <row r="265" spans="1:15" x14ac:dyDescent="0.25">
      <c r="A265" t="s">
        <v>418</v>
      </c>
      <c r="B265" t="s">
        <v>847</v>
      </c>
      <c r="C265">
        <v>20888.346748971675</v>
      </c>
      <c r="D265">
        <v>5431.1376224050373</v>
      </c>
      <c r="E265">
        <v>13000.348189112901</v>
      </c>
      <c r="F265">
        <v>17606.980663407961</v>
      </c>
      <c r="G265">
        <v>56926.813223897567</v>
      </c>
      <c r="H265">
        <v>56926.813223897567</v>
      </c>
      <c r="I265">
        <v>0</v>
      </c>
      <c r="J265">
        <v>439.27102232379713</v>
      </c>
      <c r="K265">
        <v>0</v>
      </c>
      <c r="L265">
        <v>56487.542201573771</v>
      </c>
      <c r="M265">
        <v>145</v>
      </c>
      <c r="N265">
        <v>13</v>
      </c>
      <c r="O265">
        <v>8.9655172413793102E-2</v>
      </c>
    </row>
    <row r="266" spans="1:15" x14ac:dyDescent="0.25">
      <c r="A266" t="s">
        <v>426</v>
      </c>
      <c r="B266" t="s">
        <v>861</v>
      </c>
      <c r="C266">
        <v>38707.238358595554</v>
      </c>
      <c r="D266">
        <v>10180.581526996089</v>
      </c>
      <c r="E266">
        <v>24304.974518121639</v>
      </c>
      <c r="F266">
        <v>33407.888366271996</v>
      </c>
      <c r="G266">
        <v>106600.68276998529</v>
      </c>
      <c r="H266">
        <v>106600.68276998529</v>
      </c>
      <c r="I266">
        <v>0</v>
      </c>
      <c r="J266">
        <v>822.5753076430542</v>
      </c>
      <c r="K266">
        <v>0</v>
      </c>
      <c r="L266">
        <v>105778.10746234223</v>
      </c>
      <c r="M266">
        <v>189</v>
      </c>
      <c r="N266">
        <v>45</v>
      </c>
      <c r="O266">
        <v>0.238095238095238</v>
      </c>
    </row>
    <row r="267" spans="1:15" x14ac:dyDescent="0.25">
      <c r="A267" t="s">
        <v>428</v>
      </c>
      <c r="B267" t="s">
        <v>863</v>
      </c>
      <c r="C267">
        <v>0</v>
      </c>
      <c r="D267">
        <v>2283.3329450595575</v>
      </c>
      <c r="E267">
        <v>0</v>
      </c>
      <c r="F267">
        <v>0</v>
      </c>
      <c r="G267">
        <v>2283.3329450595575</v>
      </c>
      <c r="H267">
        <v>2283.3329450595575</v>
      </c>
      <c r="I267">
        <v>0</v>
      </c>
      <c r="J267">
        <v>17.61914887343217</v>
      </c>
      <c r="K267">
        <v>0</v>
      </c>
      <c r="L267">
        <v>2265.7137961861254</v>
      </c>
      <c r="M267">
        <v>54</v>
      </c>
      <c r="N267">
        <v>9</v>
      </c>
      <c r="O267">
        <v>0.16666666666666699</v>
      </c>
    </row>
    <row r="268" spans="1:15" x14ac:dyDescent="0.25">
      <c r="A268" t="s">
        <v>438</v>
      </c>
      <c r="B268" t="s">
        <v>879</v>
      </c>
      <c r="C268">
        <v>128163.96700957193</v>
      </c>
      <c r="D268">
        <v>33709.036611609277</v>
      </c>
      <c r="E268">
        <v>65710.615719978538</v>
      </c>
      <c r="F268">
        <v>90610.580017159838</v>
      </c>
      <c r="G268">
        <v>318194.19935831963</v>
      </c>
      <c r="H268">
        <v>318194.19935831963</v>
      </c>
      <c r="I268">
        <v>0</v>
      </c>
      <c r="J268">
        <v>2455.3190901428334</v>
      </c>
      <c r="K268">
        <v>0</v>
      </c>
      <c r="L268">
        <v>315738.88026817678</v>
      </c>
      <c r="M268">
        <v>936</v>
      </c>
      <c r="N268">
        <v>149</v>
      </c>
      <c r="O268">
        <v>0.15918803418803401</v>
      </c>
    </row>
    <row r="269" spans="1:15" x14ac:dyDescent="0.25">
      <c r="A269" t="s">
        <v>441</v>
      </c>
      <c r="B269" t="s">
        <v>885</v>
      </c>
      <c r="C269">
        <v>12042.251933785283</v>
      </c>
      <c r="D269">
        <v>3167.292030621009</v>
      </c>
      <c r="E269">
        <v>6509.9850655167284</v>
      </c>
      <c r="F269">
        <v>8976.8375509252</v>
      </c>
      <c r="G269">
        <v>30696.366580848218</v>
      </c>
      <c r="H269">
        <v>30696.366580848218</v>
      </c>
      <c r="I269">
        <v>0</v>
      </c>
      <c r="J269">
        <v>236.86596115193601</v>
      </c>
      <c r="K269">
        <v>0</v>
      </c>
      <c r="L269">
        <v>30459.500619696282</v>
      </c>
      <c r="M269">
        <v>80</v>
      </c>
      <c r="N269">
        <v>14</v>
      </c>
      <c r="O269">
        <v>0.17499999999999999</v>
      </c>
    </row>
    <row r="270" spans="1:15" x14ac:dyDescent="0.25">
      <c r="A270" t="s">
        <v>76</v>
      </c>
      <c r="B270" t="s">
        <v>912</v>
      </c>
      <c r="C270">
        <v>0</v>
      </c>
      <c r="D270">
        <v>1981.3160352691741</v>
      </c>
      <c r="E270">
        <v>0</v>
      </c>
      <c r="F270">
        <v>0</v>
      </c>
      <c r="G270">
        <v>1981.3160352691741</v>
      </c>
      <c r="H270">
        <v>1981.3160352691741</v>
      </c>
      <c r="I270">
        <v>0</v>
      </c>
      <c r="J270">
        <v>15.288660493538059</v>
      </c>
      <c r="K270">
        <v>0</v>
      </c>
      <c r="L270">
        <v>1966.027374775636</v>
      </c>
      <c r="M270">
        <v>36</v>
      </c>
      <c r="N270">
        <v>9</v>
      </c>
      <c r="O270">
        <v>0.244185368502641</v>
      </c>
    </row>
    <row r="271" spans="1:15" x14ac:dyDescent="0.25">
      <c r="A271" t="s">
        <v>455</v>
      </c>
      <c r="B271" t="s">
        <v>914</v>
      </c>
      <c r="C271">
        <v>71623.720276266133</v>
      </c>
      <c r="D271">
        <v>18190.999866069473</v>
      </c>
      <c r="E271">
        <v>43381.81107452741</v>
      </c>
      <c r="F271">
        <v>57163.873176635258</v>
      </c>
      <c r="G271">
        <v>190360.40439349826</v>
      </c>
      <c r="H271">
        <v>190360.40439349826</v>
      </c>
      <c r="I271">
        <v>0</v>
      </c>
      <c r="J271">
        <v>1468.900237204922</v>
      </c>
      <c r="K271">
        <v>0</v>
      </c>
      <c r="L271">
        <v>188891.50415629335</v>
      </c>
      <c r="M271">
        <v>410</v>
      </c>
      <c r="N271">
        <v>72</v>
      </c>
      <c r="O271">
        <v>0.17560975609756099</v>
      </c>
    </row>
    <row r="272" spans="1:15" x14ac:dyDescent="0.25">
      <c r="A272" t="s">
        <v>461</v>
      </c>
      <c r="B272" t="s">
        <v>924</v>
      </c>
      <c r="C272">
        <v>41368.872918188186</v>
      </c>
      <c r="D272">
        <v>10506.870612298748</v>
      </c>
      <c r="E272">
        <v>22525.324704684172</v>
      </c>
      <c r="F272">
        <v>29681.44419948291</v>
      </c>
      <c r="G272">
        <v>104082.51243465403</v>
      </c>
      <c r="H272">
        <v>104082.51243465403</v>
      </c>
      <c r="I272">
        <v>0</v>
      </c>
      <c r="J272">
        <v>803.14405556794134</v>
      </c>
      <c r="K272">
        <v>0</v>
      </c>
      <c r="L272">
        <v>103279.36837908608</v>
      </c>
      <c r="M272">
        <v>206</v>
      </c>
      <c r="N272">
        <v>33</v>
      </c>
      <c r="O272">
        <v>0.16019417475728201</v>
      </c>
    </row>
    <row r="273" spans="1:15" x14ac:dyDescent="0.25">
      <c r="A273" t="s">
        <v>467</v>
      </c>
      <c r="B273" t="s">
        <v>940</v>
      </c>
      <c r="C273">
        <v>71150.931113684783</v>
      </c>
      <c r="D273">
        <v>18499.812526317153</v>
      </c>
      <c r="E273">
        <v>34128.880920257703</v>
      </c>
      <c r="F273">
        <v>46491.291797766848</v>
      </c>
      <c r="G273">
        <v>170270.91635802647</v>
      </c>
      <c r="H273">
        <v>170270.91635802647</v>
      </c>
      <c r="I273">
        <v>0</v>
      </c>
      <c r="J273">
        <v>1313.8813726745111</v>
      </c>
      <c r="K273">
        <v>0</v>
      </c>
      <c r="L273">
        <v>168957.03498535196</v>
      </c>
      <c r="M273">
        <v>859</v>
      </c>
      <c r="N273">
        <v>70</v>
      </c>
      <c r="O273">
        <v>8.1490104772991803E-2</v>
      </c>
    </row>
    <row r="274" spans="1:15" x14ac:dyDescent="0.25">
      <c r="A274" t="s">
        <v>473</v>
      </c>
      <c r="B274" t="s">
        <v>948</v>
      </c>
      <c r="C274">
        <v>45324.203854843152</v>
      </c>
      <c r="D274">
        <v>11870.659825955108</v>
      </c>
      <c r="E274">
        <v>25605.606656467629</v>
      </c>
      <c r="F274">
        <v>35308.432974070725</v>
      </c>
      <c r="G274">
        <v>118108.90331133662</v>
      </c>
      <c r="H274">
        <v>118108.90331133662</v>
      </c>
      <c r="I274">
        <v>0</v>
      </c>
      <c r="J274">
        <v>911.37753485441272</v>
      </c>
      <c r="K274">
        <v>0</v>
      </c>
      <c r="L274">
        <v>117197.5257764822</v>
      </c>
      <c r="M274">
        <v>333</v>
      </c>
      <c r="N274">
        <v>44</v>
      </c>
      <c r="O274">
        <v>0.13213213213213201</v>
      </c>
    </row>
    <row r="275" spans="1:15" x14ac:dyDescent="0.25">
      <c r="A275" t="s">
        <v>481</v>
      </c>
      <c r="B275" t="s">
        <v>956</v>
      </c>
      <c r="C275">
        <v>291173.67324929539</v>
      </c>
      <c r="D275">
        <v>76259.99645765101</v>
      </c>
      <c r="E275">
        <v>150916.49630401793</v>
      </c>
      <c r="F275">
        <v>208103.83701985318</v>
      </c>
      <c r="G275">
        <v>726454.00303081749</v>
      </c>
      <c r="H275">
        <v>726454.00303081749</v>
      </c>
      <c r="I275">
        <v>0</v>
      </c>
      <c r="J275">
        <v>5605.6219294671728</v>
      </c>
      <c r="K275">
        <v>0</v>
      </c>
      <c r="L275">
        <v>720848.3811013503</v>
      </c>
      <c r="M275">
        <v>2435</v>
      </c>
      <c r="N275">
        <v>284</v>
      </c>
      <c r="O275">
        <v>0.116632443531828</v>
      </c>
    </row>
    <row r="276" spans="1:15" x14ac:dyDescent="0.25">
      <c r="A276" t="s">
        <v>487</v>
      </c>
      <c r="B276" t="s">
        <v>966</v>
      </c>
      <c r="C276">
        <v>65538.829396048022</v>
      </c>
      <c r="D276">
        <v>16645.558652458367</v>
      </c>
      <c r="E276">
        <v>29372.545979747349</v>
      </c>
      <c r="F276">
        <v>39780.615224872839</v>
      </c>
      <c r="G276">
        <v>151337.54925312658</v>
      </c>
      <c r="H276">
        <v>151337.54925312658</v>
      </c>
      <c r="I276">
        <v>0</v>
      </c>
      <c r="J276">
        <v>1167.7836192048028</v>
      </c>
      <c r="K276">
        <v>0</v>
      </c>
      <c r="L276">
        <v>150169.76563392178</v>
      </c>
      <c r="M276">
        <v>774</v>
      </c>
      <c r="N276">
        <v>65</v>
      </c>
      <c r="O276">
        <v>8.3979328165374706E-2</v>
      </c>
    </row>
    <row r="277" spans="1:15" x14ac:dyDescent="0.25">
      <c r="A277" t="s">
        <v>489</v>
      </c>
      <c r="B277" t="s">
        <v>968</v>
      </c>
      <c r="C277">
        <v>33290.802631173603</v>
      </c>
      <c r="D277">
        <v>5643.2444291051424</v>
      </c>
      <c r="E277">
        <v>16023.157564492476</v>
      </c>
      <c r="F277">
        <v>22094.871349433746</v>
      </c>
      <c r="G277">
        <v>77052.07597420497</v>
      </c>
      <c r="H277">
        <v>77052.07597420497</v>
      </c>
      <c r="I277">
        <v>0</v>
      </c>
      <c r="J277">
        <v>594.56593946754128</v>
      </c>
      <c r="K277">
        <v>0</v>
      </c>
      <c r="L277">
        <v>76457.510034737425</v>
      </c>
      <c r="M277">
        <v>340</v>
      </c>
      <c r="N277">
        <v>36</v>
      </c>
      <c r="O277">
        <v>0.105882352941176</v>
      </c>
    </row>
    <row r="278" spans="1:15" x14ac:dyDescent="0.25">
      <c r="A278" t="s">
        <v>491</v>
      </c>
      <c r="B278" t="s">
        <v>970</v>
      </c>
      <c r="C278">
        <v>60008.823143023299</v>
      </c>
      <c r="D278">
        <v>15602.775124573644</v>
      </c>
      <c r="E278">
        <v>40518.926321964886</v>
      </c>
      <c r="F278">
        <v>55694.432688095541</v>
      </c>
      <c r="G278">
        <v>171824.95727765738</v>
      </c>
      <c r="H278">
        <v>171824.95727765738</v>
      </c>
      <c r="I278">
        <v>0</v>
      </c>
      <c r="J278">
        <v>1325.8730002545476</v>
      </c>
      <c r="K278">
        <v>0</v>
      </c>
      <c r="L278">
        <v>170499.08427740284</v>
      </c>
      <c r="M278">
        <v>253</v>
      </c>
      <c r="N278">
        <v>68</v>
      </c>
      <c r="O278">
        <v>0.26877470355731198</v>
      </c>
    </row>
    <row r="279" spans="1:15" x14ac:dyDescent="0.25">
      <c r="A279" t="s">
        <v>495</v>
      </c>
      <c r="B279" t="s">
        <v>974</v>
      </c>
      <c r="C279">
        <v>183425.79488940752</v>
      </c>
      <c r="D279">
        <v>47692.177246744221</v>
      </c>
      <c r="E279">
        <v>85401.938378745821</v>
      </c>
      <c r="F279">
        <v>115663.84652000164</v>
      </c>
      <c r="G279">
        <v>432183.7570348992</v>
      </c>
      <c r="H279">
        <v>432183.7570348992</v>
      </c>
      <c r="I279">
        <v>0</v>
      </c>
      <c r="J279">
        <v>3334.9100368183531</v>
      </c>
      <c r="K279">
        <v>0</v>
      </c>
      <c r="L279">
        <v>428848.84699808084</v>
      </c>
      <c r="M279">
        <v>1563</v>
      </c>
      <c r="N279">
        <v>104</v>
      </c>
      <c r="O279">
        <v>6.6538707613563702E-2</v>
      </c>
    </row>
    <row r="280" spans="1:15" x14ac:dyDescent="0.25">
      <c r="A280" t="s">
        <v>501</v>
      </c>
      <c r="B280" t="s">
        <v>984</v>
      </c>
      <c r="C280">
        <v>295035.17237773945</v>
      </c>
      <c r="D280">
        <v>72303.109848999302</v>
      </c>
      <c r="E280">
        <v>141120.39617339859</v>
      </c>
      <c r="F280">
        <v>193974.05407892325</v>
      </c>
      <c r="G280">
        <v>702432.73247906053</v>
      </c>
      <c r="H280">
        <v>702432.73247906053</v>
      </c>
      <c r="I280">
        <v>0</v>
      </c>
      <c r="J280">
        <v>5420.2637919707777</v>
      </c>
      <c r="K280">
        <v>0</v>
      </c>
      <c r="L280">
        <v>697012.46868708974</v>
      </c>
      <c r="M280">
        <v>2444</v>
      </c>
      <c r="N280">
        <v>343</v>
      </c>
      <c r="O280">
        <v>0.14034369885433701</v>
      </c>
    </row>
    <row r="281" spans="1:15" x14ac:dyDescent="0.25">
      <c r="A281" t="s">
        <v>503</v>
      </c>
      <c r="B281" t="s">
        <v>986</v>
      </c>
      <c r="C281">
        <v>0</v>
      </c>
      <c r="D281">
        <v>1179.5509439523037</v>
      </c>
      <c r="E281">
        <v>0</v>
      </c>
      <c r="F281">
        <v>0</v>
      </c>
      <c r="G281">
        <v>1179.5509439523037</v>
      </c>
      <c r="H281">
        <v>1179.5509439523037</v>
      </c>
      <c r="I281">
        <v>0</v>
      </c>
      <c r="J281">
        <v>9.1019068113831274</v>
      </c>
      <c r="K281">
        <v>0</v>
      </c>
      <c r="L281">
        <v>1170.4490371409206</v>
      </c>
      <c r="M281">
        <v>52</v>
      </c>
      <c r="N281">
        <v>7</v>
      </c>
      <c r="O281">
        <v>0.134615384615385</v>
      </c>
    </row>
    <row r="282" spans="1:15" x14ac:dyDescent="0.25">
      <c r="A282" t="s">
        <v>513</v>
      </c>
      <c r="B282" t="s">
        <v>1006</v>
      </c>
      <c r="C282">
        <v>189540.06334198822</v>
      </c>
      <c r="D282">
        <v>49281.936064202098</v>
      </c>
      <c r="E282">
        <v>119657.10538548001</v>
      </c>
      <c r="F282">
        <v>162057.22416926097</v>
      </c>
      <c r="G282">
        <v>520536.32896093128</v>
      </c>
      <c r="H282">
        <v>520536.32896093128</v>
      </c>
      <c r="I282">
        <v>0</v>
      </c>
      <c r="J282">
        <v>4016.6753139688467</v>
      </c>
      <c r="K282">
        <v>0</v>
      </c>
      <c r="L282">
        <v>516519.65364696243</v>
      </c>
      <c r="M282">
        <v>984</v>
      </c>
      <c r="N282">
        <v>174</v>
      </c>
      <c r="O282">
        <v>0.176829268292683</v>
      </c>
    </row>
    <row r="283" spans="1:15" x14ac:dyDescent="0.25">
      <c r="A283" t="s">
        <v>515</v>
      </c>
      <c r="B283" t="s">
        <v>1010</v>
      </c>
      <c r="C283">
        <v>362248.38360727491</v>
      </c>
      <c r="D283">
        <v>94187.483983706727</v>
      </c>
      <c r="E283">
        <v>234856.15125787447</v>
      </c>
      <c r="F283">
        <v>318076.68946457456</v>
      </c>
      <c r="G283">
        <v>1009368.7083134307</v>
      </c>
      <c r="H283">
        <v>1009368.7083134307</v>
      </c>
      <c r="I283">
        <v>0</v>
      </c>
      <c r="J283">
        <v>7788.7097361065717</v>
      </c>
      <c r="K283">
        <v>0</v>
      </c>
      <c r="L283">
        <v>1001579.9985773241</v>
      </c>
      <c r="M283">
        <v>1930</v>
      </c>
      <c r="N283">
        <v>383</v>
      </c>
      <c r="O283">
        <v>0.198445595854922</v>
      </c>
    </row>
    <row r="284" spans="1:15" x14ac:dyDescent="0.25">
      <c r="A284" t="s">
        <v>525</v>
      </c>
      <c r="B284" t="s">
        <v>1022</v>
      </c>
      <c r="C284">
        <v>51145.731377996824</v>
      </c>
      <c r="D284">
        <v>13298.300207800568</v>
      </c>
      <c r="E284">
        <v>25741.675201066904</v>
      </c>
      <c r="F284">
        <v>34863.15681055926</v>
      </c>
      <c r="G284">
        <v>125048.86359742355</v>
      </c>
      <c r="H284">
        <v>125048.86359742355</v>
      </c>
      <c r="I284">
        <v>0</v>
      </c>
      <c r="J284">
        <v>964.92916153279145</v>
      </c>
      <c r="K284">
        <v>0</v>
      </c>
      <c r="L284">
        <v>124083.93443589075</v>
      </c>
      <c r="M284">
        <v>261</v>
      </c>
      <c r="N284">
        <v>34</v>
      </c>
      <c r="O284">
        <v>0.13026819923371599</v>
      </c>
    </row>
    <row r="285" spans="1:15" x14ac:dyDescent="0.25">
      <c r="A285" t="s">
        <v>527</v>
      </c>
      <c r="B285" t="s">
        <v>1024</v>
      </c>
      <c r="C285">
        <v>221699.26327839165</v>
      </c>
      <c r="D285">
        <v>57643.585876897057</v>
      </c>
      <c r="E285">
        <v>195219.57189374111</v>
      </c>
      <c r="F285">
        <v>264395.0129220672</v>
      </c>
      <c r="G285">
        <v>738957.43397109699</v>
      </c>
      <c r="H285">
        <v>738957.43397109699</v>
      </c>
      <c r="I285">
        <v>0</v>
      </c>
      <c r="J285">
        <v>5702.103614997146</v>
      </c>
      <c r="K285">
        <v>0</v>
      </c>
      <c r="L285">
        <v>733255.33035609988</v>
      </c>
      <c r="M285">
        <v>710</v>
      </c>
      <c r="N285">
        <v>182</v>
      </c>
      <c r="O285">
        <v>0.25633802816901402</v>
      </c>
    </row>
    <row r="286" spans="1:15" x14ac:dyDescent="0.25">
      <c r="A286" t="s">
        <v>529</v>
      </c>
      <c r="B286" t="s">
        <v>1028</v>
      </c>
      <c r="C286">
        <v>652959.38601576176</v>
      </c>
      <c r="D286">
        <v>171013.67685092546</v>
      </c>
      <c r="E286">
        <v>362946.4858778714</v>
      </c>
      <c r="F286">
        <v>500479.12715852086</v>
      </c>
      <c r="G286">
        <v>1687398.6759030796</v>
      </c>
      <c r="H286">
        <v>1687398.6759030796</v>
      </c>
      <c r="I286">
        <v>0</v>
      </c>
      <c r="J286">
        <v>13020.671621235335</v>
      </c>
      <c r="K286">
        <v>0</v>
      </c>
      <c r="L286">
        <v>1674378.0042818442</v>
      </c>
      <c r="M286">
        <v>4618</v>
      </c>
      <c r="N286">
        <v>745</v>
      </c>
      <c r="O286">
        <v>0.16132524902555201</v>
      </c>
    </row>
    <row r="287" spans="1:15" x14ac:dyDescent="0.25">
      <c r="A287" t="s">
        <v>531</v>
      </c>
      <c r="B287" t="s">
        <v>1030</v>
      </c>
      <c r="C287">
        <v>9513.5939129183298</v>
      </c>
      <c r="D287">
        <v>2473.6106904811863</v>
      </c>
      <c r="E287">
        <v>5079.7004827414748</v>
      </c>
      <c r="F287">
        <v>6879.6763651632755</v>
      </c>
      <c r="G287">
        <v>23946.581451304268</v>
      </c>
      <c r="H287">
        <v>23946.581451304268</v>
      </c>
      <c r="I287">
        <v>0</v>
      </c>
      <c r="J287">
        <v>184.781805261122</v>
      </c>
      <c r="K287">
        <v>0</v>
      </c>
      <c r="L287">
        <v>23761.799646043146</v>
      </c>
      <c r="M287">
        <v>46</v>
      </c>
      <c r="N287">
        <v>10</v>
      </c>
      <c r="O287">
        <v>0.217391304347826</v>
      </c>
    </row>
    <row r="288" spans="1:15" x14ac:dyDescent="0.25">
      <c r="A288" t="s">
        <v>651</v>
      </c>
      <c r="B288" t="s">
        <v>652</v>
      </c>
      <c r="C288">
        <v>866900.40070897446</v>
      </c>
      <c r="D288">
        <v>214313.73646299259</v>
      </c>
      <c r="E288">
        <v>412754.15017507272</v>
      </c>
      <c r="F288">
        <v>548377.30802943988</v>
      </c>
      <c r="G288">
        <v>2042345.5953764794</v>
      </c>
      <c r="H288">
        <v>2042345.5953764794</v>
      </c>
      <c r="I288">
        <v>0</v>
      </c>
      <c r="J288">
        <v>15759.590021155698</v>
      </c>
      <c r="K288">
        <v>0</v>
      </c>
      <c r="L288">
        <v>2026586.0053553237</v>
      </c>
      <c r="M288">
        <v>783</v>
      </c>
      <c r="N288">
        <v>783</v>
      </c>
      <c r="O288">
        <v>1</v>
      </c>
    </row>
    <row r="289" spans="1:15" x14ac:dyDescent="0.25">
      <c r="A289" t="s">
        <v>535</v>
      </c>
      <c r="B289" t="s">
        <v>1034</v>
      </c>
      <c r="C289">
        <v>2082449.4236924411</v>
      </c>
      <c r="D289">
        <v>431199.23366368335</v>
      </c>
      <c r="E289">
        <v>1384666.7443777646</v>
      </c>
      <c r="F289">
        <v>1903264.370270018</v>
      </c>
      <c r="G289">
        <v>5801579.7720039077</v>
      </c>
      <c r="H289">
        <v>5801579.7720039077</v>
      </c>
      <c r="I289">
        <v>0</v>
      </c>
      <c r="J289">
        <v>44767.408066878867</v>
      </c>
      <c r="K289">
        <v>0</v>
      </c>
      <c r="L289">
        <v>5756812.3639370287</v>
      </c>
      <c r="M289">
        <v>20405</v>
      </c>
      <c r="N289">
        <v>2421</v>
      </c>
      <c r="O289">
        <v>0.11864739034550401</v>
      </c>
    </row>
    <row r="290" spans="1:15" x14ac:dyDescent="0.25">
      <c r="A290" t="s">
        <v>537</v>
      </c>
      <c r="B290" t="s">
        <v>1036</v>
      </c>
      <c r="C290">
        <v>44387.736841564809</v>
      </c>
      <c r="D290">
        <v>11541.167447610704</v>
      </c>
      <c r="E290">
        <v>27961.209980039668</v>
      </c>
      <c r="F290">
        <v>37869.176754537511</v>
      </c>
      <c r="G290">
        <v>121759.29102375268</v>
      </c>
      <c r="H290">
        <v>121759.29102375268</v>
      </c>
      <c r="I290">
        <v>0</v>
      </c>
      <c r="J290">
        <v>939.54544820667627</v>
      </c>
      <c r="K290">
        <v>0</v>
      </c>
      <c r="L290">
        <v>120819.74557554601</v>
      </c>
      <c r="M290">
        <v>294</v>
      </c>
      <c r="N290">
        <v>38</v>
      </c>
      <c r="O290">
        <v>0.129251700680272</v>
      </c>
    </row>
    <row r="291" spans="1:15" x14ac:dyDescent="0.25">
      <c r="A291" t="s">
        <v>539</v>
      </c>
      <c r="B291" t="s">
        <v>1045</v>
      </c>
      <c r="C291">
        <v>170995.85999781726</v>
      </c>
      <c r="D291">
        <v>44784.762070648816</v>
      </c>
      <c r="E291">
        <v>86794.640474281914</v>
      </c>
      <c r="F291">
        <v>119684.0514973964</v>
      </c>
      <c r="G291">
        <v>422259.31404014444</v>
      </c>
      <c r="H291">
        <v>422259.31404014444</v>
      </c>
      <c r="I291">
        <v>0</v>
      </c>
      <c r="J291">
        <v>3258.328897397219</v>
      </c>
      <c r="K291">
        <v>0</v>
      </c>
      <c r="L291">
        <v>419000.98514274723</v>
      </c>
      <c r="M291">
        <v>1491</v>
      </c>
      <c r="N291">
        <v>194</v>
      </c>
      <c r="O291">
        <v>0.130114017437961</v>
      </c>
    </row>
    <row r="292" spans="1:15" x14ac:dyDescent="0.25">
      <c r="A292" t="s">
        <v>543</v>
      </c>
      <c r="B292" t="s">
        <v>1049</v>
      </c>
      <c r="C292">
        <v>511795.70718587452</v>
      </c>
      <c r="D292">
        <v>127771.50605062442</v>
      </c>
      <c r="E292">
        <v>244800.68723956897</v>
      </c>
      <c r="F292">
        <v>336485.60401445866</v>
      </c>
      <c r="G292">
        <v>1220853.5044905264</v>
      </c>
      <c r="H292">
        <v>1220853.5044905264</v>
      </c>
      <c r="I292">
        <v>0</v>
      </c>
      <c r="J292">
        <v>9420.6145865901781</v>
      </c>
      <c r="K292">
        <v>0</v>
      </c>
      <c r="L292">
        <v>1211432.8899039363</v>
      </c>
      <c r="M292">
        <v>4288</v>
      </c>
      <c r="N292">
        <v>595</v>
      </c>
      <c r="O292">
        <v>0.13875932835820901</v>
      </c>
    </row>
    <row r="293" spans="1:15" x14ac:dyDescent="0.25">
      <c r="A293" t="s">
        <v>545</v>
      </c>
      <c r="B293" t="s">
        <v>1051</v>
      </c>
      <c r="C293">
        <v>184730.46722655772</v>
      </c>
      <c r="D293">
        <v>48381.931714877639</v>
      </c>
      <c r="E293">
        <v>103432.00238795746</v>
      </c>
      <c r="F293">
        <v>142625.86989973413</v>
      </c>
      <c r="G293">
        <v>479170.27122912696</v>
      </c>
      <c r="H293">
        <v>479170.27122912696</v>
      </c>
      <c r="I293">
        <v>0</v>
      </c>
      <c r="J293">
        <v>3697.4775679455925</v>
      </c>
      <c r="K293">
        <v>0</v>
      </c>
      <c r="L293">
        <v>475472.79366118135</v>
      </c>
      <c r="M293">
        <v>1344</v>
      </c>
      <c r="N293">
        <v>183</v>
      </c>
      <c r="O293">
        <v>0.136160714285714</v>
      </c>
    </row>
    <row r="294" spans="1:15" x14ac:dyDescent="0.25">
      <c r="A294" t="s">
        <v>77</v>
      </c>
      <c r="B294" t="s">
        <v>1054</v>
      </c>
      <c r="C294">
        <v>60665.923820133205</v>
      </c>
      <c r="D294">
        <v>15773.626568780686</v>
      </c>
      <c r="E294">
        <v>48376.873334528776</v>
      </c>
      <c r="F294">
        <v>65519.066179357942</v>
      </c>
      <c r="G294">
        <v>190335.48990280062</v>
      </c>
      <c r="H294">
        <v>190335.48990280062</v>
      </c>
      <c r="I294">
        <v>0</v>
      </c>
      <c r="J294">
        <v>1468.7079866084171</v>
      </c>
      <c r="K294">
        <v>0</v>
      </c>
      <c r="L294">
        <v>188866.78191619221</v>
      </c>
      <c r="M294">
        <v>518</v>
      </c>
      <c r="N294">
        <v>64</v>
      </c>
      <c r="O294">
        <v>0.123476289533013</v>
      </c>
    </row>
    <row r="295" spans="1:15" x14ac:dyDescent="0.25">
      <c r="A295" t="s">
        <v>549</v>
      </c>
      <c r="B295" t="s">
        <v>1056</v>
      </c>
      <c r="C295">
        <v>308968.76715279772</v>
      </c>
      <c r="D295">
        <v>78471.919361589447</v>
      </c>
      <c r="E295">
        <v>138240.38808822722</v>
      </c>
      <c r="F295">
        <v>190015.39991404724</v>
      </c>
      <c r="G295">
        <v>715696.4745166616</v>
      </c>
      <c r="H295">
        <v>715696.4745166616</v>
      </c>
      <c r="I295">
        <v>0</v>
      </c>
      <c r="J295">
        <v>5522.6123548840142</v>
      </c>
      <c r="K295">
        <v>0</v>
      </c>
      <c r="L295">
        <v>710173.86216177756</v>
      </c>
      <c r="M295">
        <v>2901</v>
      </c>
      <c r="N295">
        <v>336</v>
      </c>
      <c r="O295">
        <v>0.11582213029989701</v>
      </c>
    </row>
    <row r="296" spans="1:15" x14ac:dyDescent="0.25">
      <c r="A296" t="s">
        <v>555</v>
      </c>
      <c r="B296" t="s">
        <v>1065</v>
      </c>
      <c r="C296">
        <v>246621.62681949825</v>
      </c>
      <c r="D296">
        <v>64123.600207089214</v>
      </c>
      <c r="E296">
        <v>159884.36766561729</v>
      </c>
      <c r="F296">
        <v>216538.89026043261</v>
      </c>
      <c r="G296">
        <v>687168.48495263734</v>
      </c>
      <c r="H296">
        <v>687168.48495263734</v>
      </c>
      <c r="I296">
        <v>0</v>
      </c>
      <c r="J296">
        <v>5302.4784947407434</v>
      </c>
      <c r="K296">
        <v>0</v>
      </c>
      <c r="L296">
        <v>681866.00645789655</v>
      </c>
      <c r="M296">
        <v>1172</v>
      </c>
      <c r="N296">
        <v>264</v>
      </c>
      <c r="O296">
        <v>0.225255972696246</v>
      </c>
    </row>
    <row r="297" spans="1:15" x14ac:dyDescent="0.25">
      <c r="A297" t="s">
        <v>557</v>
      </c>
      <c r="B297" t="s">
        <v>1069</v>
      </c>
      <c r="C297">
        <v>402555.27892939385</v>
      </c>
      <c r="D297">
        <v>96516.264455430864</v>
      </c>
      <c r="E297">
        <v>192549.1119800309</v>
      </c>
      <c r="F297">
        <v>264664.30702313746</v>
      </c>
      <c r="G297">
        <v>956284.96238799312</v>
      </c>
      <c r="H297">
        <v>956284.96238799312</v>
      </c>
      <c r="I297">
        <v>0</v>
      </c>
      <c r="J297">
        <v>7379.0934231446709</v>
      </c>
      <c r="K297">
        <v>0</v>
      </c>
      <c r="L297">
        <v>948905.86896484846</v>
      </c>
      <c r="M297">
        <v>3136</v>
      </c>
      <c r="N297">
        <v>468</v>
      </c>
      <c r="O297">
        <v>0.14923469387755101</v>
      </c>
    </row>
    <row r="298" spans="1:15" x14ac:dyDescent="0.25">
      <c r="A298" t="s">
        <v>197</v>
      </c>
      <c r="B298" t="s">
        <v>1071</v>
      </c>
      <c r="C298">
        <v>110563.58819135977</v>
      </c>
      <c r="D298">
        <v>28957.215636042005</v>
      </c>
      <c r="E298">
        <v>53744.340997568514</v>
      </c>
      <c r="F298">
        <v>74109.880984559015</v>
      </c>
      <c r="G298">
        <v>267375.0258095293</v>
      </c>
      <c r="H298">
        <v>267375.0258095293</v>
      </c>
      <c r="I298">
        <v>0</v>
      </c>
      <c r="J298">
        <v>2063.1771616876435</v>
      </c>
      <c r="K298">
        <v>0</v>
      </c>
      <c r="L298">
        <v>265311.84864784166</v>
      </c>
      <c r="M298">
        <v>1025</v>
      </c>
      <c r="N298">
        <v>109</v>
      </c>
      <c r="O298">
        <v>0.106341463414634</v>
      </c>
    </row>
    <row r="299" spans="1:15" x14ac:dyDescent="0.25">
      <c r="A299" t="s">
        <v>566</v>
      </c>
      <c r="B299" t="s">
        <v>1093</v>
      </c>
      <c r="C299">
        <v>249969.85156307442</v>
      </c>
      <c r="D299">
        <v>58523.670500309971</v>
      </c>
      <c r="E299">
        <v>121508.94486406796</v>
      </c>
      <c r="F299">
        <v>167552.77439987258</v>
      </c>
      <c r="G299">
        <v>597555.24132732488</v>
      </c>
      <c r="H299">
        <v>597555.24132732488</v>
      </c>
      <c r="I299">
        <v>0</v>
      </c>
      <c r="J299">
        <v>4610.9853492133652</v>
      </c>
      <c r="K299">
        <v>0</v>
      </c>
      <c r="L299">
        <v>592944.25597811153</v>
      </c>
      <c r="M299">
        <v>2477</v>
      </c>
      <c r="N299">
        <v>257</v>
      </c>
      <c r="O299">
        <v>0.103754541784417</v>
      </c>
    </row>
    <row r="300" spans="1:15" x14ac:dyDescent="0.25">
      <c r="A300" t="s">
        <v>298</v>
      </c>
      <c r="B300" t="s">
        <v>1095</v>
      </c>
      <c r="C300">
        <v>0</v>
      </c>
      <c r="D300">
        <v>1798.5848221144099</v>
      </c>
      <c r="E300">
        <v>0</v>
      </c>
      <c r="F300">
        <v>0</v>
      </c>
      <c r="G300">
        <v>1798.5848221144099</v>
      </c>
      <c r="H300">
        <v>1798.5848221144099</v>
      </c>
      <c r="I300">
        <v>0</v>
      </c>
      <c r="J300">
        <v>13.878630276366783</v>
      </c>
      <c r="K300">
        <v>0</v>
      </c>
      <c r="L300">
        <v>1784.7061918380432</v>
      </c>
      <c r="M300">
        <v>42</v>
      </c>
      <c r="N300">
        <v>5</v>
      </c>
      <c r="O300">
        <v>0.119047619047619</v>
      </c>
    </row>
    <row r="301" spans="1:15" x14ac:dyDescent="0.25">
      <c r="A301" t="s">
        <v>570</v>
      </c>
      <c r="B301" t="s">
        <v>1099</v>
      </c>
      <c r="C301">
        <v>242587.61963302392</v>
      </c>
      <c r="D301">
        <v>61612.428665154868</v>
      </c>
      <c r="E301">
        <v>123006.16527041039</v>
      </c>
      <c r="F301">
        <v>162084.26198210713</v>
      </c>
      <c r="G301">
        <v>589290.47555069625</v>
      </c>
      <c r="H301">
        <v>589290.47555069625</v>
      </c>
      <c r="I301">
        <v>0</v>
      </c>
      <c r="J301">
        <v>4547.2109710888171</v>
      </c>
      <c r="K301">
        <v>0</v>
      </c>
      <c r="L301">
        <v>584743.26457960741</v>
      </c>
      <c r="M301">
        <v>1645</v>
      </c>
      <c r="N301">
        <v>261</v>
      </c>
      <c r="O301">
        <v>0.15866261398176301</v>
      </c>
    </row>
    <row r="302" spans="1:15" x14ac:dyDescent="0.25">
      <c r="A302" t="s">
        <v>578</v>
      </c>
      <c r="B302" t="s">
        <v>1114</v>
      </c>
      <c r="C302">
        <v>364708.20142321155</v>
      </c>
      <c r="D302">
        <v>89749.382623509067</v>
      </c>
      <c r="E302">
        <v>174446.20401609631</v>
      </c>
      <c r="F302">
        <v>239781.33798677399</v>
      </c>
      <c r="G302">
        <v>868685.126049591</v>
      </c>
      <c r="H302">
        <v>868685.126049591</v>
      </c>
      <c r="I302">
        <v>0</v>
      </c>
      <c r="J302">
        <v>6703.1365675866036</v>
      </c>
      <c r="K302">
        <v>0</v>
      </c>
      <c r="L302">
        <v>861981.98948200443</v>
      </c>
      <c r="M302">
        <v>3152</v>
      </c>
      <c r="N302">
        <v>424</v>
      </c>
      <c r="O302">
        <v>0.134517766497462</v>
      </c>
    </row>
    <row r="303" spans="1:15" x14ac:dyDescent="0.25">
      <c r="A303" t="s">
        <v>580</v>
      </c>
      <c r="B303" t="s">
        <v>1118</v>
      </c>
      <c r="C303">
        <v>634116.90279073548</v>
      </c>
      <c r="D303">
        <v>161053.07640045992</v>
      </c>
      <c r="E303">
        <v>357509.21125617286</v>
      </c>
      <c r="F303">
        <v>477210.91253994376</v>
      </c>
      <c r="G303">
        <v>1629890.102987312</v>
      </c>
      <c r="H303">
        <v>1629890.102987312</v>
      </c>
      <c r="I303">
        <v>0</v>
      </c>
      <c r="J303">
        <v>12576.911498606742</v>
      </c>
      <c r="K303">
        <v>0</v>
      </c>
      <c r="L303">
        <v>1617313.1914887053</v>
      </c>
      <c r="M303">
        <v>4123</v>
      </c>
      <c r="N303">
        <v>689</v>
      </c>
      <c r="O303">
        <v>0.16711132670385601</v>
      </c>
    </row>
    <row r="304" spans="1:15" x14ac:dyDescent="0.25">
      <c r="A304" t="s">
        <v>594</v>
      </c>
      <c r="B304" t="s">
        <v>1156</v>
      </c>
      <c r="C304">
        <v>0</v>
      </c>
      <c r="D304">
        <v>1797.067595648725</v>
      </c>
      <c r="E304">
        <v>0</v>
      </c>
      <c r="F304">
        <v>0</v>
      </c>
      <c r="G304">
        <v>1797.067595648725</v>
      </c>
      <c r="H304">
        <v>1797.067595648725</v>
      </c>
      <c r="I304">
        <v>0</v>
      </c>
      <c r="J304">
        <v>13.866922724460499</v>
      </c>
      <c r="K304">
        <v>0</v>
      </c>
      <c r="L304">
        <v>1783.2006729242646</v>
      </c>
      <c r="M304">
        <v>51</v>
      </c>
      <c r="N304">
        <v>2</v>
      </c>
      <c r="O304">
        <v>3.9215686274509803E-2</v>
      </c>
    </row>
    <row r="305" spans="1:26" x14ac:dyDescent="0.25">
      <c r="A305" t="s">
        <v>239</v>
      </c>
      <c r="B305" t="s">
        <v>1181</v>
      </c>
      <c r="C305">
        <v>21504.021310330867</v>
      </c>
      <c r="D305">
        <v>5575.6129485546735</v>
      </c>
      <c r="E305">
        <v>10348.289260401387</v>
      </c>
      <c r="F305">
        <v>14269.604413175957</v>
      </c>
      <c r="G305">
        <v>51697.527932462879</v>
      </c>
      <c r="H305">
        <v>51697.527932462879</v>
      </c>
      <c r="I305">
        <v>0</v>
      </c>
      <c r="J305">
        <v>398.91967704548796</v>
      </c>
      <c r="K305">
        <v>0</v>
      </c>
      <c r="L305">
        <v>51298.608255417392</v>
      </c>
      <c r="M305">
        <v>205</v>
      </c>
      <c r="N305">
        <v>25</v>
      </c>
      <c r="O305">
        <v>0.12195121951219499</v>
      </c>
    </row>
    <row r="306" spans="1:26" x14ac:dyDescent="0.25">
      <c r="A306" t="s">
        <v>604</v>
      </c>
      <c r="B306" t="s">
        <v>1185</v>
      </c>
      <c r="C306">
        <v>252476.14615052482</v>
      </c>
      <c r="D306">
        <v>65645.822170462285</v>
      </c>
      <c r="E306">
        <v>190657.2837303144</v>
      </c>
      <c r="F306">
        <v>258216.09230349341</v>
      </c>
      <c r="G306">
        <v>766995.34435479483</v>
      </c>
      <c r="H306">
        <v>766995.34435479483</v>
      </c>
      <c r="I306">
        <v>0</v>
      </c>
      <c r="J306">
        <v>5918.4558198822006</v>
      </c>
      <c r="K306">
        <v>0</v>
      </c>
      <c r="L306">
        <v>761076.88853491261</v>
      </c>
      <c r="M306">
        <v>1130</v>
      </c>
      <c r="N306">
        <v>286</v>
      </c>
      <c r="O306">
        <v>0.25309734513274301</v>
      </c>
    </row>
    <row r="307" spans="1:26" x14ac:dyDescent="0.25">
      <c r="A307" t="s">
        <v>606</v>
      </c>
      <c r="B307" t="s">
        <v>1187</v>
      </c>
      <c r="C307">
        <v>621036.13544235507</v>
      </c>
      <c r="D307">
        <v>163341.77472202625</v>
      </c>
      <c r="E307">
        <v>353019.25390338019</v>
      </c>
      <c r="F307">
        <v>485235.14463080326</v>
      </c>
      <c r="G307">
        <v>1622632.3086985648</v>
      </c>
      <c r="H307">
        <v>1622632.3086985648</v>
      </c>
      <c r="I307">
        <v>0</v>
      </c>
      <c r="J307">
        <v>12520.907332266099</v>
      </c>
      <c r="K307">
        <v>0</v>
      </c>
      <c r="L307">
        <v>1610111.4013662986</v>
      </c>
      <c r="M307">
        <v>3470</v>
      </c>
      <c r="N307">
        <v>722</v>
      </c>
      <c r="O307">
        <v>0.20806916426513</v>
      </c>
    </row>
    <row r="308" spans="1:26" x14ac:dyDescent="0.25">
      <c r="A308" t="s">
        <v>60</v>
      </c>
      <c r="B308" t="s">
        <v>1194</v>
      </c>
      <c r="C308">
        <v>395033.96420607419</v>
      </c>
      <c r="D308">
        <v>103461.58145010087</v>
      </c>
      <c r="E308">
        <v>243652.3391830477</v>
      </c>
      <c r="F308">
        <v>335980.41251044482</v>
      </c>
      <c r="G308">
        <v>1078128.2973496676</v>
      </c>
      <c r="H308">
        <v>1078128.2973496676</v>
      </c>
      <c r="I308">
        <v>0</v>
      </c>
      <c r="J308">
        <v>8319.2873894123513</v>
      </c>
      <c r="K308">
        <v>0</v>
      </c>
      <c r="L308">
        <v>1069809.0099602554</v>
      </c>
      <c r="M308">
        <v>2242</v>
      </c>
      <c r="N308">
        <v>442</v>
      </c>
      <c r="O308">
        <v>0.19696042103859199</v>
      </c>
    </row>
    <row r="309" spans="1:26" x14ac:dyDescent="0.25">
      <c r="A309" t="s">
        <v>618</v>
      </c>
      <c r="B309" t="s">
        <v>1211</v>
      </c>
      <c r="C309">
        <v>26095.753734606653</v>
      </c>
      <c r="D309">
        <v>5451.9480077795415</v>
      </c>
      <c r="E309">
        <v>12684.999738556538</v>
      </c>
      <c r="F309">
        <v>17491.773151635054</v>
      </c>
      <c r="G309">
        <v>61724.474632577789</v>
      </c>
      <c r="H309">
        <v>61724.474632577789</v>
      </c>
      <c r="I309">
        <v>0</v>
      </c>
      <c r="J309">
        <v>476.29177778863465</v>
      </c>
      <c r="K309">
        <v>0</v>
      </c>
      <c r="L309">
        <v>61248.182854789156</v>
      </c>
      <c r="M309">
        <v>274</v>
      </c>
      <c r="N309">
        <v>28</v>
      </c>
      <c r="O309">
        <v>0.102189781021898</v>
      </c>
    </row>
    <row r="310" spans="1:26" x14ac:dyDescent="0.25">
      <c r="A310" t="s">
        <v>625</v>
      </c>
      <c r="B310" t="s">
        <v>1221</v>
      </c>
      <c r="C310">
        <v>0</v>
      </c>
      <c r="D310">
        <v>1818.4223737979735</v>
      </c>
      <c r="E310">
        <v>0</v>
      </c>
      <c r="F310">
        <v>0</v>
      </c>
      <c r="G310">
        <v>1818.4223737979735</v>
      </c>
      <c r="H310">
        <v>1818.4223737979735</v>
      </c>
      <c r="I310">
        <v>0</v>
      </c>
      <c r="J310">
        <v>14.031705094979358</v>
      </c>
      <c r="K310">
        <v>0</v>
      </c>
      <c r="L310">
        <v>1804.3906687029942</v>
      </c>
      <c r="M310">
        <v>67</v>
      </c>
      <c r="N310">
        <v>7</v>
      </c>
      <c r="O310">
        <v>0.104477611940298</v>
      </c>
    </row>
    <row r="311" spans="1:26" x14ac:dyDescent="0.25">
      <c r="A311" t="s">
        <v>627</v>
      </c>
      <c r="B311" t="s">
        <v>1223</v>
      </c>
      <c r="C311">
        <v>36126.755801355845</v>
      </c>
      <c r="D311">
        <v>9352.6410749949355</v>
      </c>
      <c r="E311">
        <v>17358.420694866847</v>
      </c>
      <c r="F311">
        <v>23936.110628553233</v>
      </c>
      <c r="G311">
        <v>86773.92819977086</v>
      </c>
      <c r="H311">
        <v>86773.92819977086</v>
      </c>
      <c r="I311">
        <v>0</v>
      </c>
      <c r="J311">
        <v>669.58380405814978</v>
      </c>
      <c r="K311">
        <v>0</v>
      </c>
      <c r="L311">
        <v>86104.344395712717</v>
      </c>
      <c r="M311">
        <v>328</v>
      </c>
      <c r="N311">
        <v>42</v>
      </c>
      <c r="O311">
        <v>0.12804878048780499</v>
      </c>
    </row>
    <row r="312" spans="1:26" x14ac:dyDescent="0.25">
      <c r="A312" t="s">
        <v>629</v>
      </c>
      <c r="B312" t="s">
        <v>1225</v>
      </c>
      <c r="C312">
        <v>58897.227469127742</v>
      </c>
      <c r="D312">
        <v>15425.509827310645</v>
      </c>
      <c r="E312">
        <v>40171.721489471565</v>
      </c>
      <c r="F312">
        <v>54884.318404265228</v>
      </c>
      <c r="G312">
        <v>169378.7771901752</v>
      </c>
      <c r="H312">
        <v>169378.7771901752</v>
      </c>
      <c r="I312">
        <v>0</v>
      </c>
      <c r="J312">
        <v>1306.9972549429283</v>
      </c>
      <c r="K312">
        <v>0</v>
      </c>
      <c r="L312">
        <v>168071.77993523228</v>
      </c>
      <c r="M312">
        <v>315</v>
      </c>
      <c r="N312">
        <v>64</v>
      </c>
      <c r="O312">
        <v>0.20317460317460301</v>
      </c>
    </row>
    <row r="313" spans="1:26" x14ac:dyDescent="0.25">
      <c r="A313" t="s">
        <v>64</v>
      </c>
      <c r="B313" t="s">
        <v>1226</v>
      </c>
      <c r="C313">
        <v>773129.46269735601</v>
      </c>
      <c r="D313">
        <v>175000.54446939056</v>
      </c>
      <c r="E313">
        <v>445343.43150141765</v>
      </c>
      <c r="F313">
        <v>614103.87016407331</v>
      </c>
      <c r="G313">
        <v>2007577.3088322375</v>
      </c>
      <c r="H313">
        <v>2007577.3088322375</v>
      </c>
      <c r="I313">
        <v>0</v>
      </c>
      <c r="J313">
        <v>15491.303428075787</v>
      </c>
      <c r="K313">
        <v>0</v>
      </c>
      <c r="L313">
        <v>1992086.0054041618</v>
      </c>
      <c r="M313">
        <v>7932</v>
      </c>
      <c r="N313">
        <v>899</v>
      </c>
      <c r="O313">
        <v>0.113318404902385</v>
      </c>
    </row>
    <row r="314" spans="1:26" x14ac:dyDescent="0.25">
      <c r="A314" t="s">
        <v>631</v>
      </c>
      <c r="B314" t="s">
        <v>1233</v>
      </c>
      <c r="C314">
        <v>76913.800480945938</v>
      </c>
      <c r="D314">
        <v>20144.150007681394</v>
      </c>
      <c r="E314">
        <v>49307.294996912722</v>
      </c>
      <c r="F314">
        <v>67991.488891026995</v>
      </c>
      <c r="G314">
        <v>214356.73437656707</v>
      </c>
      <c r="H314">
        <v>214356.73437656707</v>
      </c>
      <c r="I314">
        <v>0</v>
      </c>
      <c r="J314">
        <v>1654.0659228761658</v>
      </c>
      <c r="K314">
        <v>0</v>
      </c>
      <c r="L314">
        <v>212702.66845369089</v>
      </c>
      <c r="M314">
        <v>468</v>
      </c>
      <c r="N314">
        <v>61</v>
      </c>
      <c r="O314">
        <v>0.13034188034187999</v>
      </c>
    </row>
    <row r="315" spans="1:26" x14ac:dyDescent="0.25">
      <c r="A315" t="s">
        <v>633</v>
      </c>
      <c r="B315" t="s">
        <v>1242</v>
      </c>
      <c r="C315">
        <v>43542.987524510827</v>
      </c>
      <c r="D315">
        <v>11321.525852586967</v>
      </c>
      <c r="E315">
        <v>23242.358577955023</v>
      </c>
      <c r="F315">
        <v>29333.116174164265</v>
      </c>
      <c r="G315">
        <v>107439.98812921709</v>
      </c>
      <c r="H315">
        <v>107439.98812921709</v>
      </c>
      <c r="I315">
        <v>0</v>
      </c>
      <c r="J315">
        <v>829.05173768212103</v>
      </c>
      <c r="K315">
        <v>0</v>
      </c>
      <c r="L315">
        <v>106610.93639153497</v>
      </c>
      <c r="M315">
        <v>327</v>
      </c>
      <c r="N315">
        <v>34</v>
      </c>
      <c r="O315">
        <v>0.10397553516819601</v>
      </c>
    </row>
    <row r="316" spans="1:26" x14ac:dyDescent="0.25">
      <c r="A316" t="s">
        <v>637</v>
      </c>
      <c r="B316" t="s">
        <v>1246</v>
      </c>
      <c r="C316">
        <v>88596.567798563177</v>
      </c>
      <c r="D316">
        <v>22063.996591020456</v>
      </c>
      <c r="E316">
        <v>42377.2618246649</v>
      </c>
      <c r="F316">
        <v>58248.768426032344</v>
      </c>
      <c r="G316">
        <v>211286.59464028088</v>
      </c>
      <c r="H316">
        <v>211286.59464028088</v>
      </c>
      <c r="I316">
        <v>0</v>
      </c>
      <c r="J316">
        <v>1630.3754447998488</v>
      </c>
      <c r="K316">
        <v>0</v>
      </c>
      <c r="L316">
        <v>209656.21919548104</v>
      </c>
      <c r="M316">
        <v>810</v>
      </c>
      <c r="N316">
        <v>103</v>
      </c>
      <c r="O316">
        <v>0.12716049382715999</v>
      </c>
    </row>
    <row r="317" spans="1:26" x14ac:dyDescent="0.25">
      <c r="A317" t="s">
        <v>649</v>
      </c>
      <c r="B317" t="s">
        <v>1258</v>
      </c>
      <c r="C317">
        <v>118702.19763302633</v>
      </c>
      <c r="D317">
        <v>28667.351012567196</v>
      </c>
      <c r="E317">
        <v>57416.314606098022</v>
      </c>
      <c r="F317">
        <v>79173.289002137608</v>
      </c>
      <c r="G317">
        <v>283959.15225382918</v>
      </c>
      <c r="H317">
        <v>283959.15225382918</v>
      </c>
      <c r="I317">
        <v>0</v>
      </c>
      <c r="J317">
        <v>2191.1471948753883</v>
      </c>
      <c r="K317">
        <v>0</v>
      </c>
      <c r="L317">
        <v>281768.00505895377</v>
      </c>
      <c r="M317">
        <v>1203</v>
      </c>
      <c r="N317">
        <v>138</v>
      </c>
      <c r="O317">
        <v>0.114713216957606</v>
      </c>
    </row>
    <row r="319" spans="1:26" x14ac:dyDescent="0.25">
      <c r="A319">
        <v>1</v>
      </c>
      <c r="B319">
        <v>2</v>
      </c>
      <c r="C319">
        <v>3</v>
      </c>
      <c r="D319">
        <v>4</v>
      </c>
      <c r="E319">
        <v>5</v>
      </c>
      <c r="F319">
        <v>6</v>
      </c>
      <c r="G319">
        <v>7</v>
      </c>
      <c r="H319">
        <v>8</v>
      </c>
      <c r="I319">
        <v>9</v>
      </c>
      <c r="J319">
        <v>10</v>
      </c>
      <c r="K319">
        <v>11</v>
      </c>
      <c r="L319">
        <v>12</v>
      </c>
      <c r="M319">
        <v>13</v>
      </c>
      <c r="N319">
        <v>14</v>
      </c>
      <c r="O319">
        <v>15</v>
      </c>
    </row>
    <row r="320" spans="1:26" x14ac:dyDescent="0.25">
      <c r="Q320">
        <v>9</v>
      </c>
      <c r="R320">
        <v>10</v>
      </c>
      <c r="S320">
        <v>11</v>
      </c>
      <c r="T320">
        <v>12</v>
      </c>
      <c r="U320">
        <v>13</v>
      </c>
      <c r="V320">
        <v>14</v>
      </c>
      <c r="Z320">
        <v>12</v>
      </c>
    </row>
  </sheetData>
  <sheetProtection algorithmName="SHA-512" hashValue="dgVaxKZ4Le9V0m114MGDDHmEkIdP3ptps6wemew4+1MnvDHjETLRKJ1EeRx3uSts8TYTr9J2mF55DQ6LRuk91A==" saltValue="JAaIKAxUhZedqYEshZoSyA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72082-3702-49B9-8F49-1B3014A1CB77}">
  <dimension ref="A1:E317"/>
  <sheetViews>
    <sheetView workbookViewId="0"/>
  </sheetViews>
  <sheetFormatPr defaultRowHeight="15" x14ac:dyDescent="0.25"/>
  <cols>
    <col min="1" max="1" width="8.28515625" bestFit="1" customWidth="1"/>
    <col min="2" max="2" width="47.5703125" bestFit="1" customWidth="1"/>
    <col min="3" max="3" width="18.5703125" bestFit="1" customWidth="1"/>
    <col min="4" max="4" width="16.140625" bestFit="1" customWidth="1"/>
    <col min="5" max="5" width="16.85546875" bestFit="1" customWidth="1"/>
    <col min="6" max="6" width="16.140625" bestFit="1" customWidth="1"/>
    <col min="7" max="9" width="16.85546875" customWidth="1"/>
    <col min="10" max="10" width="34.7109375" bestFit="1" customWidth="1"/>
  </cols>
  <sheetData>
    <row r="1" spans="1:5" x14ac:dyDescent="0.25">
      <c r="A1" t="s">
        <v>4</v>
      </c>
      <c r="B1" t="s">
        <v>1278</v>
      </c>
      <c r="C1" t="s">
        <v>1304</v>
      </c>
      <c r="D1" t="s">
        <v>1358</v>
      </c>
      <c r="E1" t="s">
        <v>1359</v>
      </c>
    </row>
    <row r="2" spans="1:5" x14ac:dyDescent="0.25">
      <c r="A2" t="s">
        <v>309</v>
      </c>
      <c r="B2" t="s">
        <v>1382</v>
      </c>
      <c r="C2" t="s">
        <v>653</v>
      </c>
      <c r="D2" t="s">
        <v>1467</v>
      </c>
      <c r="E2" t="s">
        <v>1468</v>
      </c>
    </row>
    <row r="3" spans="1:5" x14ac:dyDescent="0.25">
      <c r="A3" t="s">
        <v>260</v>
      </c>
      <c r="B3" t="s">
        <v>261</v>
      </c>
      <c r="C3" t="s">
        <v>88</v>
      </c>
      <c r="D3" t="s">
        <v>1272</v>
      </c>
      <c r="E3" t="s">
        <v>88</v>
      </c>
    </row>
    <row r="4" spans="1:5" x14ac:dyDescent="0.25">
      <c r="A4" t="s">
        <v>262</v>
      </c>
      <c r="B4" t="s">
        <v>263</v>
      </c>
      <c r="C4" t="s">
        <v>653</v>
      </c>
      <c r="D4" t="s">
        <v>1467</v>
      </c>
      <c r="E4" t="s">
        <v>1502</v>
      </c>
    </row>
    <row r="5" spans="1:5" x14ac:dyDescent="0.25">
      <c r="A5" t="s">
        <v>89</v>
      </c>
      <c r="B5" t="s">
        <v>90</v>
      </c>
      <c r="C5" t="s">
        <v>88</v>
      </c>
      <c r="D5" t="s">
        <v>1272</v>
      </c>
      <c r="E5" t="s">
        <v>88</v>
      </c>
    </row>
    <row r="6" spans="1:5" x14ac:dyDescent="0.25">
      <c r="A6" t="s">
        <v>91</v>
      </c>
      <c r="B6" t="s">
        <v>92</v>
      </c>
      <c r="C6" t="s">
        <v>88</v>
      </c>
      <c r="D6" t="s">
        <v>1272</v>
      </c>
      <c r="E6" t="s">
        <v>88</v>
      </c>
    </row>
    <row r="7" spans="1:5" x14ac:dyDescent="0.25">
      <c r="A7" t="s">
        <v>310</v>
      </c>
      <c r="B7" t="s">
        <v>311</v>
      </c>
      <c r="C7" t="s">
        <v>88</v>
      </c>
      <c r="D7" t="s">
        <v>1272</v>
      </c>
      <c r="E7" t="s">
        <v>88</v>
      </c>
    </row>
    <row r="8" spans="1:5" x14ac:dyDescent="0.25">
      <c r="A8" t="s">
        <v>312</v>
      </c>
      <c r="B8" t="s">
        <v>313</v>
      </c>
      <c r="C8" t="s">
        <v>653</v>
      </c>
      <c r="D8" t="s">
        <v>1467</v>
      </c>
      <c r="E8" t="s">
        <v>1504</v>
      </c>
    </row>
    <row r="9" spans="1:5" x14ac:dyDescent="0.25">
      <c r="A9" t="s">
        <v>93</v>
      </c>
      <c r="B9" t="s">
        <v>94</v>
      </c>
      <c r="C9" t="s">
        <v>88</v>
      </c>
      <c r="D9" t="s">
        <v>1272</v>
      </c>
      <c r="E9" t="s">
        <v>88</v>
      </c>
    </row>
    <row r="10" spans="1:5" x14ac:dyDescent="0.25">
      <c r="A10" t="s">
        <v>95</v>
      </c>
      <c r="B10" t="s">
        <v>96</v>
      </c>
      <c r="C10" t="s">
        <v>88</v>
      </c>
      <c r="D10" t="s">
        <v>1272</v>
      </c>
      <c r="E10" t="s">
        <v>88</v>
      </c>
    </row>
    <row r="11" spans="1:5" x14ac:dyDescent="0.25">
      <c r="A11" t="s">
        <v>97</v>
      </c>
      <c r="B11" t="s">
        <v>98</v>
      </c>
      <c r="C11" t="s">
        <v>88</v>
      </c>
      <c r="D11" t="s">
        <v>1272</v>
      </c>
      <c r="E11" t="s">
        <v>88</v>
      </c>
    </row>
    <row r="12" spans="1:5" x14ac:dyDescent="0.25">
      <c r="A12" t="s">
        <v>56</v>
      </c>
      <c r="B12" t="s">
        <v>1384</v>
      </c>
      <c r="C12" t="s">
        <v>88</v>
      </c>
      <c r="D12" t="s">
        <v>1272</v>
      </c>
      <c r="E12" t="s">
        <v>88</v>
      </c>
    </row>
    <row r="13" spans="1:5" x14ac:dyDescent="0.25">
      <c r="A13" t="s">
        <v>99</v>
      </c>
      <c r="B13" t="s">
        <v>100</v>
      </c>
      <c r="C13" t="s">
        <v>88</v>
      </c>
      <c r="D13" t="s">
        <v>1272</v>
      </c>
      <c r="E13" t="s">
        <v>88</v>
      </c>
    </row>
    <row r="14" spans="1:5" x14ac:dyDescent="0.25">
      <c r="A14" t="s">
        <v>264</v>
      </c>
      <c r="B14" t="s">
        <v>265</v>
      </c>
      <c r="C14" t="s">
        <v>88</v>
      </c>
      <c r="D14" t="s">
        <v>1272</v>
      </c>
      <c r="E14" t="s">
        <v>88</v>
      </c>
    </row>
    <row r="15" spans="1:5" x14ac:dyDescent="0.25">
      <c r="A15" t="s">
        <v>314</v>
      </c>
      <c r="B15" t="s">
        <v>315</v>
      </c>
      <c r="C15" t="s">
        <v>88</v>
      </c>
      <c r="D15" t="s">
        <v>1272</v>
      </c>
      <c r="E15" t="s">
        <v>88</v>
      </c>
    </row>
    <row r="16" spans="1:5" x14ac:dyDescent="0.25">
      <c r="A16" t="s">
        <v>316</v>
      </c>
      <c r="B16" t="s">
        <v>317</v>
      </c>
      <c r="C16" t="s">
        <v>88</v>
      </c>
      <c r="D16" t="s">
        <v>1272</v>
      </c>
      <c r="E16" t="s">
        <v>88</v>
      </c>
    </row>
    <row r="17" spans="1:5" x14ac:dyDescent="0.25">
      <c r="A17" t="s">
        <v>318</v>
      </c>
      <c r="B17" t="s">
        <v>319</v>
      </c>
      <c r="C17" t="s">
        <v>88</v>
      </c>
      <c r="D17" t="s">
        <v>1272</v>
      </c>
      <c r="E17" t="s">
        <v>88</v>
      </c>
    </row>
    <row r="18" spans="1:5" x14ac:dyDescent="0.25">
      <c r="A18" t="s">
        <v>55</v>
      </c>
      <c r="B18" t="s">
        <v>9</v>
      </c>
      <c r="C18" t="s">
        <v>653</v>
      </c>
      <c r="D18" t="s">
        <v>1467</v>
      </c>
      <c r="E18" t="s">
        <v>1499</v>
      </c>
    </row>
    <row r="19" spans="1:5" x14ac:dyDescent="0.25">
      <c r="A19" t="s">
        <v>320</v>
      </c>
      <c r="B19" t="s">
        <v>321</v>
      </c>
      <c r="C19" t="s">
        <v>653</v>
      </c>
      <c r="D19" t="s">
        <v>1467</v>
      </c>
      <c r="E19" t="s">
        <v>1505</v>
      </c>
    </row>
    <row r="20" spans="1:5" x14ac:dyDescent="0.25">
      <c r="A20" t="s">
        <v>322</v>
      </c>
      <c r="B20" t="s">
        <v>323</v>
      </c>
      <c r="C20" t="s">
        <v>653</v>
      </c>
      <c r="D20" t="s">
        <v>1467</v>
      </c>
      <c r="E20" t="s">
        <v>1506</v>
      </c>
    </row>
    <row r="21" spans="1:5" x14ac:dyDescent="0.25">
      <c r="A21" t="s">
        <v>324</v>
      </c>
      <c r="B21" t="s">
        <v>325</v>
      </c>
      <c r="C21" t="s">
        <v>653</v>
      </c>
      <c r="D21" t="s">
        <v>1467</v>
      </c>
      <c r="E21" t="s">
        <v>1507</v>
      </c>
    </row>
    <row r="22" spans="1:5" x14ac:dyDescent="0.25">
      <c r="A22" t="s">
        <v>326</v>
      </c>
      <c r="B22" t="s">
        <v>327</v>
      </c>
      <c r="C22" t="s">
        <v>88</v>
      </c>
      <c r="D22" t="s">
        <v>1272</v>
      </c>
      <c r="E22" t="s">
        <v>88</v>
      </c>
    </row>
    <row r="23" spans="1:5" x14ac:dyDescent="0.25">
      <c r="A23" t="s">
        <v>101</v>
      </c>
      <c r="B23" t="s">
        <v>102</v>
      </c>
      <c r="C23" t="s">
        <v>88</v>
      </c>
      <c r="D23" t="s">
        <v>1272</v>
      </c>
      <c r="E23" t="s">
        <v>88</v>
      </c>
    </row>
    <row r="24" spans="1:5" x14ac:dyDescent="0.25">
      <c r="A24" t="s">
        <v>328</v>
      </c>
      <c r="B24" t="s">
        <v>329</v>
      </c>
      <c r="C24" t="s">
        <v>653</v>
      </c>
      <c r="D24" t="s">
        <v>1467</v>
      </c>
      <c r="E24" t="s">
        <v>1508</v>
      </c>
    </row>
    <row r="25" spans="1:5" x14ac:dyDescent="0.25">
      <c r="A25" t="s">
        <v>103</v>
      </c>
      <c r="B25" t="s">
        <v>104</v>
      </c>
      <c r="C25" t="s">
        <v>88</v>
      </c>
      <c r="D25" t="s">
        <v>1272</v>
      </c>
      <c r="E25" t="s">
        <v>88</v>
      </c>
    </row>
    <row r="26" spans="1:5" x14ac:dyDescent="0.25">
      <c r="A26" t="s">
        <v>330</v>
      </c>
      <c r="B26" t="s">
        <v>331</v>
      </c>
      <c r="C26" t="s">
        <v>88</v>
      </c>
      <c r="D26" t="s">
        <v>1272</v>
      </c>
      <c r="E26" t="s">
        <v>88</v>
      </c>
    </row>
    <row r="27" spans="1:5" x14ac:dyDescent="0.25">
      <c r="A27" t="s">
        <v>332</v>
      </c>
      <c r="B27" t="s">
        <v>333</v>
      </c>
      <c r="C27" t="s">
        <v>88</v>
      </c>
      <c r="D27" t="s">
        <v>1272</v>
      </c>
      <c r="E27" t="s">
        <v>88</v>
      </c>
    </row>
    <row r="28" spans="1:5" x14ac:dyDescent="0.25">
      <c r="A28" t="s">
        <v>105</v>
      </c>
      <c r="B28" t="s">
        <v>106</v>
      </c>
      <c r="C28" t="s">
        <v>88</v>
      </c>
      <c r="D28" t="s">
        <v>1272</v>
      </c>
      <c r="E28" t="s">
        <v>88</v>
      </c>
    </row>
    <row r="29" spans="1:5" x14ac:dyDescent="0.25">
      <c r="A29" t="s">
        <v>66</v>
      </c>
      <c r="B29" t="s">
        <v>1395</v>
      </c>
      <c r="C29" t="s">
        <v>88</v>
      </c>
      <c r="D29" t="s">
        <v>1272</v>
      </c>
      <c r="E29" t="s">
        <v>88</v>
      </c>
    </row>
    <row r="30" spans="1:5" x14ac:dyDescent="0.25">
      <c r="A30" t="s">
        <v>334</v>
      </c>
      <c r="B30" t="s">
        <v>335</v>
      </c>
      <c r="C30" t="s">
        <v>653</v>
      </c>
      <c r="D30" t="s">
        <v>1467</v>
      </c>
      <c r="E30" t="s">
        <v>1509</v>
      </c>
    </row>
    <row r="31" spans="1:5" x14ac:dyDescent="0.25">
      <c r="A31" t="s">
        <v>107</v>
      </c>
      <c r="B31" t="s">
        <v>108</v>
      </c>
      <c r="C31" t="s">
        <v>88</v>
      </c>
      <c r="D31" t="s">
        <v>1272</v>
      </c>
      <c r="E31" t="s">
        <v>88</v>
      </c>
    </row>
    <row r="32" spans="1:5" x14ac:dyDescent="0.25">
      <c r="A32" t="s">
        <v>266</v>
      </c>
      <c r="B32" t="s">
        <v>267</v>
      </c>
      <c r="C32" t="s">
        <v>88</v>
      </c>
      <c r="D32" t="s">
        <v>1272</v>
      </c>
      <c r="E32" t="s">
        <v>88</v>
      </c>
    </row>
    <row r="33" spans="1:5" x14ac:dyDescent="0.25">
      <c r="A33" t="s">
        <v>336</v>
      </c>
      <c r="B33" t="s">
        <v>337</v>
      </c>
      <c r="C33" t="s">
        <v>653</v>
      </c>
      <c r="D33" t="s">
        <v>1467</v>
      </c>
      <c r="E33" t="s">
        <v>1511</v>
      </c>
    </row>
    <row r="34" spans="1:5" x14ac:dyDescent="0.25">
      <c r="A34" t="s">
        <v>338</v>
      </c>
      <c r="B34" t="s">
        <v>339</v>
      </c>
      <c r="C34" t="s">
        <v>88</v>
      </c>
      <c r="D34" t="s">
        <v>1272</v>
      </c>
      <c r="E34" t="s">
        <v>88</v>
      </c>
    </row>
    <row r="35" spans="1:5" x14ac:dyDescent="0.25">
      <c r="A35" t="s">
        <v>268</v>
      </c>
      <c r="B35" t="s">
        <v>269</v>
      </c>
      <c r="C35" t="s">
        <v>88</v>
      </c>
      <c r="D35" t="s">
        <v>1272</v>
      </c>
      <c r="E35" t="s">
        <v>88</v>
      </c>
    </row>
    <row r="36" spans="1:5" x14ac:dyDescent="0.25">
      <c r="A36" t="s">
        <v>340</v>
      </c>
      <c r="B36" t="s">
        <v>341</v>
      </c>
      <c r="C36" t="s">
        <v>653</v>
      </c>
      <c r="D36" t="s">
        <v>1467</v>
      </c>
      <c r="E36" t="s">
        <v>1512</v>
      </c>
    </row>
    <row r="37" spans="1:5" x14ac:dyDescent="0.25">
      <c r="A37" t="s">
        <v>109</v>
      </c>
      <c r="B37" t="s">
        <v>110</v>
      </c>
      <c r="C37" t="s">
        <v>88</v>
      </c>
      <c r="D37" t="s">
        <v>1272</v>
      </c>
      <c r="E37" t="s">
        <v>88</v>
      </c>
    </row>
    <row r="38" spans="1:5" x14ac:dyDescent="0.25">
      <c r="A38" t="s">
        <v>342</v>
      </c>
      <c r="B38" t="s">
        <v>343</v>
      </c>
      <c r="C38" t="s">
        <v>653</v>
      </c>
      <c r="D38" t="s">
        <v>1467</v>
      </c>
      <c r="E38" t="s">
        <v>1513</v>
      </c>
    </row>
    <row r="39" spans="1:5" x14ac:dyDescent="0.25">
      <c r="A39" t="s">
        <v>344</v>
      </c>
      <c r="B39" t="s">
        <v>345</v>
      </c>
      <c r="C39" t="s">
        <v>88</v>
      </c>
      <c r="D39" t="s">
        <v>1272</v>
      </c>
      <c r="E39" t="s">
        <v>88</v>
      </c>
    </row>
    <row r="40" spans="1:5" x14ac:dyDescent="0.25">
      <c r="A40" t="s">
        <v>346</v>
      </c>
      <c r="B40" t="s">
        <v>347</v>
      </c>
      <c r="C40" t="s">
        <v>653</v>
      </c>
      <c r="D40" t="s">
        <v>1467</v>
      </c>
      <c r="E40" t="s">
        <v>1514</v>
      </c>
    </row>
    <row r="41" spans="1:5" x14ac:dyDescent="0.25">
      <c r="A41" t="s">
        <v>270</v>
      </c>
      <c r="B41" t="s">
        <v>271</v>
      </c>
      <c r="C41" t="s">
        <v>88</v>
      </c>
      <c r="D41" t="s">
        <v>1272</v>
      </c>
      <c r="E41" t="s">
        <v>88</v>
      </c>
    </row>
    <row r="42" spans="1:5" x14ac:dyDescent="0.25">
      <c r="A42" t="s">
        <v>348</v>
      </c>
      <c r="B42" t="s">
        <v>349</v>
      </c>
      <c r="C42" t="s">
        <v>88</v>
      </c>
      <c r="D42" t="s">
        <v>1272</v>
      </c>
      <c r="E42" t="s">
        <v>88</v>
      </c>
    </row>
    <row r="43" spans="1:5" x14ac:dyDescent="0.25">
      <c r="A43" t="s">
        <v>350</v>
      </c>
      <c r="B43" t="s">
        <v>351</v>
      </c>
      <c r="C43" t="s">
        <v>88</v>
      </c>
      <c r="D43" t="s">
        <v>1272</v>
      </c>
      <c r="E43" t="s">
        <v>88</v>
      </c>
    </row>
    <row r="44" spans="1:5" x14ac:dyDescent="0.25">
      <c r="A44" t="s">
        <v>352</v>
      </c>
      <c r="B44" t="s">
        <v>1387</v>
      </c>
      <c r="C44" t="s">
        <v>653</v>
      </c>
      <c r="D44" t="s">
        <v>1467</v>
      </c>
      <c r="E44" t="s">
        <v>1515</v>
      </c>
    </row>
    <row r="45" spans="1:5" x14ac:dyDescent="0.25">
      <c r="A45" t="s">
        <v>353</v>
      </c>
      <c r="B45" t="s">
        <v>1388</v>
      </c>
      <c r="C45" t="s">
        <v>88</v>
      </c>
      <c r="D45" t="s">
        <v>1272</v>
      </c>
      <c r="E45" t="s">
        <v>88</v>
      </c>
    </row>
    <row r="46" spans="1:5" x14ac:dyDescent="0.25">
      <c r="A46" t="s">
        <v>354</v>
      </c>
      <c r="B46" t="s">
        <v>355</v>
      </c>
      <c r="C46" t="s">
        <v>653</v>
      </c>
      <c r="D46" t="s">
        <v>1467</v>
      </c>
      <c r="E46" t="s">
        <v>1516</v>
      </c>
    </row>
    <row r="47" spans="1:5" x14ac:dyDescent="0.25">
      <c r="A47" t="s">
        <v>356</v>
      </c>
      <c r="B47" t="s">
        <v>357</v>
      </c>
      <c r="C47" t="s">
        <v>88</v>
      </c>
      <c r="D47" t="s">
        <v>1272</v>
      </c>
      <c r="E47" t="s">
        <v>88</v>
      </c>
    </row>
    <row r="48" spans="1:5" x14ac:dyDescent="0.25">
      <c r="A48" t="s">
        <v>111</v>
      </c>
      <c r="B48" t="s">
        <v>112</v>
      </c>
      <c r="C48" t="s">
        <v>88</v>
      </c>
      <c r="D48" t="s">
        <v>1272</v>
      </c>
      <c r="E48" t="s">
        <v>88</v>
      </c>
    </row>
    <row r="49" spans="1:5" x14ac:dyDescent="0.25">
      <c r="A49" t="s">
        <v>113</v>
      </c>
      <c r="B49" t="s">
        <v>114</v>
      </c>
      <c r="C49" t="s">
        <v>88</v>
      </c>
      <c r="D49" t="s">
        <v>1272</v>
      </c>
      <c r="E49" t="s">
        <v>88</v>
      </c>
    </row>
    <row r="50" spans="1:5" x14ac:dyDescent="0.25">
      <c r="A50" t="s">
        <v>358</v>
      </c>
      <c r="B50" t="s">
        <v>359</v>
      </c>
      <c r="C50" t="s">
        <v>653</v>
      </c>
      <c r="D50" t="s">
        <v>1467</v>
      </c>
      <c r="E50" t="s">
        <v>1517</v>
      </c>
    </row>
    <row r="51" spans="1:5" x14ac:dyDescent="0.25">
      <c r="A51" t="s">
        <v>360</v>
      </c>
      <c r="B51" t="s">
        <v>361</v>
      </c>
      <c r="C51" t="s">
        <v>88</v>
      </c>
      <c r="D51" t="s">
        <v>1272</v>
      </c>
      <c r="E51" t="s">
        <v>88</v>
      </c>
    </row>
    <row r="52" spans="1:5" x14ac:dyDescent="0.25">
      <c r="A52" t="s">
        <v>362</v>
      </c>
      <c r="B52" t="s">
        <v>363</v>
      </c>
      <c r="C52" t="s">
        <v>653</v>
      </c>
      <c r="D52" t="s">
        <v>1467</v>
      </c>
      <c r="E52" t="s">
        <v>1518</v>
      </c>
    </row>
    <row r="53" spans="1:5" x14ac:dyDescent="0.25">
      <c r="A53" t="s">
        <v>364</v>
      </c>
      <c r="B53" t="s">
        <v>365</v>
      </c>
      <c r="C53" t="s">
        <v>88</v>
      </c>
      <c r="D53" t="s">
        <v>1272</v>
      </c>
      <c r="E53" t="s">
        <v>88</v>
      </c>
    </row>
    <row r="54" spans="1:5" x14ac:dyDescent="0.25">
      <c r="A54" t="s">
        <v>366</v>
      </c>
      <c r="B54" t="s">
        <v>367</v>
      </c>
      <c r="C54" t="s">
        <v>653</v>
      </c>
      <c r="D54" t="s">
        <v>1467</v>
      </c>
      <c r="E54" t="s">
        <v>1519</v>
      </c>
    </row>
    <row r="55" spans="1:5" x14ac:dyDescent="0.25">
      <c r="A55" t="s">
        <v>368</v>
      </c>
      <c r="B55" t="s">
        <v>369</v>
      </c>
      <c r="C55" t="s">
        <v>653</v>
      </c>
      <c r="D55" t="s">
        <v>1467</v>
      </c>
      <c r="E55" t="s">
        <v>1520</v>
      </c>
    </row>
    <row r="56" spans="1:5" x14ac:dyDescent="0.25">
      <c r="A56" t="s">
        <v>115</v>
      </c>
      <c r="B56" t="s">
        <v>116</v>
      </c>
      <c r="C56" t="s">
        <v>88</v>
      </c>
      <c r="D56" t="s">
        <v>1272</v>
      </c>
      <c r="E56" t="s">
        <v>88</v>
      </c>
    </row>
    <row r="57" spans="1:5" x14ac:dyDescent="0.25">
      <c r="A57" t="s">
        <v>272</v>
      </c>
      <c r="B57" t="s">
        <v>273</v>
      </c>
      <c r="C57" t="s">
        <v>88</v>
      </c>
      <c r="D57" t="s">
        <v>1272</v>
      </c>
      <c r="E57" t="s">
        <v>88</v>
      </c>
    </row>
    <row r="58" spans="1:5" x14ac:dyDescent="0.25">
      <c r="A58" t="s">
        <v>370</v>
      </c>
      <c r="B58" t="s">
        <v>371</v>
      </c>
      <c r="C58" t="s">
        <v>88</v>
      </c>
      <c r="D58" t="s">
        <v>1272</v>
      </c>
      <c r="E58" t="s">
        <v>88</v>
      </c>
    </row>
    <row r="59" spans="1:5" x14ac:dyDescent="0.25">
      <c r="A59" t="s">
        <v>372</v>
      </c>
      <c r="B59" t="s">
        <v>373</v>
      </c>
      <c r="C59" t="s">
        <v>653</v>
      </c>
      <c r="D59" t="s">
        <v>1467</v>
      </c>
      <c r="E59" t="s">
        <v>1521</v>
      </c>
    </row>
    <row r="60" spans="1:5" x14ac:dyDescent="0.25">
      <c r="A60" t="s">
        <v>374</v>
      </c>
      <c r="B60" t="s">
        <v>375</v>
      </c>
      <c r="C60" t="s">
        <v>88</v>
      </c>
      <c r="D60" t="s">
        <v>1272</v>
      </c>
      <c r="E60" t="s">
        <v>88</v>
      </c>
    </row>
    <row r="61" spans="1:5" x14ac:dyDescent="0.25">
      <c r="A61" t="s">
        <v>274</v>
      </c>
      <c r="B61" t="s">
        <v>275</v>
      </c>
      <c r="C61" t="s">
        <v>88</v>
      </c>
      <c r="D61" t="s">
        <v>1272</v>
      </c>
      <c r="E61" t="s">
        <v>88</v>
      </c>
    </row>
    <row r="62" spans="1:5" x14ac:dyDescent="0.25">
      <c r="A62" t="s">
        <v>376</v>
      </c>
      <c r="B62" t="s">
        <v>377</v>
      </c>
      <c r="C62" t="s">
        <v>88</v>
      </c>
      <c r="D62" t="s">
        <v>1272</v>
      </c>
      <c r="E62" t="s">
        <v>88</v>
      </c>
    </row>
    <row r="63" spans="1:5" x14ac:dyDescent="0.25">
      <c r="A63" t="s">
        <v>378</v>
      </c>
      <c r="B63" t="s">
        <v>379</v>
      </c>
      <c r="C63" t="s">
        <v>88</v>
      </c>
      <c r="D63" t="s">
        <v>1272</v>
      </c>
      <c r="E63" t="s">
        <v>88</v>
      </c>
    </row>
    <row r="64" spans="1:5" x14ac:dyDescent="0.25">
      <c r="A64" t="s">
        <v>380</v>
      </c>
      <c r="B64" t="s">
        <v>381</v>
      </c>
      <c r="C64" t="s">
        <v>88</v>
      </c>
      <c r="D64" t="s">
        <v>1272</v>
      </c>
      <c r="E64" t="s">
        <v>88</v>
      </c>
    </row>
    <row r="65" spans="1:5" x14ac:dyDescent="0.25">
      <c r="A65" t="s">
        <v>382</v>
      </c>
      <c r="B65" t="s">
        <v>383</v>
      </c>
      <c r="C65" t="s">
        <v>88</v>
      </c>
      <c r="D65" t="s">
        <v>1272</v>
      </c>
      <c r="E65" t="s">
        <v>88</v>
      </c>
    </row>
    <row r="66" spans="1:5" x14ac:dyDescent="0.25">
      <c r="A66" t="s">
        <v>117</v>
      </c>
      <c r="B66" t="s">
        <v>118</v>
      </c>
      <c r="C66" t="s">
        <v>88</v>
      </c>
      <c r="D66" t="s">
        <v>1272</v>
      </c>
      <c r="E66" t="s">
        <v>88</v>
      </c>
    </row>
    <row r="67" spans="1:5" x14ac:dyDescent="0.25">
      <c r="A67" t="s">
        <v>119</v>
      </c>
      <c r="B67" t="s">
        <v>120</v>
      </c>
      <c r="C67" t="s">
        <v>88</v>
      </c>
      <c r="D67" t="s">
        <v>1272</v>
      </c>
      <c r="E67" t="s">
        <v>88</v>
      </c>
    </row>
    <row r="68" spans="1:5" x14ac:dyDescent="0.25">
      <c r="A68" t="s">
        <v>121</v>
      </c>
      <c r="B68" t="s">
        <v>122</v>
      </c>
      <c r="C68" t="s">
        <v>88</v>
      </c>
      <c r="D68" t="s">
        <v>1272</v>
      </c>
      <c r="E68" t="s">
        <v>88</v>
      </c>
    </row>
    <row r="69" spans="1:5" x14ac:dyDescent="0.25">
      <c r="A69" t="s">
        <v>384</v>
      </c>
      <c r="B69" t="s">
        <v>385</v>
      </c>
      <c r="C69" t="s">
        <v>88</v>
      </c>
      <c r="D69" t="s">
        <v>1272</v>
      </c>
      <c r="E69" t="s">
        <v>88</v>
      </c>
    </row>
    <row r="70" spans="1:5" x14ac:dyDescent="0.25">
      <c r="A70" t="s">
        <v>386</v>
      </c>
      <c r="B70" t="s">
        <v>387</v>
      </c>
      <c r="C70" t="s">
        <v>653</v>
      </c>
      <c r="D70" t="s">
        <v>1467</v>
      </c>
      <c r="E70" t="s">
        <v>1469</v>
      </c>
    </row>
    <row r="71" spans="1:5" x14ac:dyDescent="0.25">
      <c r="A71" t="s">
        <v>388</v>
      </c>
      <c r="B71" t="s">
        <v>389</v>
      </c>
      <c r="C71" t="s">
        <v>653</v>
      </c>
      <c r="D71" t="s">
        <v>1467</v>
      </c>
      <c r="E71" t="s">
        <v>1522</v>
      </c>
    </row>
    <row r="72" spans="1:5" x14ac:dyDescent="0.25">
      <c r="A72" t="s">
        <v>390</v>
      </c>
      <c r="B72" t="s">
        <v>391</v>
      </c>
      <c r="C72" t="s">
        <v>653</v>
      </c>
      <c r="D72" t="s">
        <v>1467</v>
      </c>
      <c r="E72" t="s">
        <v>1523</v>
      </c>
    </row>
    <row r="73" spans="1:5" x14ac:dyDescent="0.25">
      <c r="A73" t="s">
        <v>123</v>
      </c>
      <c r="B73" t="s">
        <v>124</v>
      </c>
      <c r="C73" t="s">
        <v>88</v>
      </c>
      <c r="D73" t="s">
        <v>1272</v>
      </c>
      <c r="E73" t="s">
        <v>88</v>
      </c>
    </row>
    <row r="74" spans="1:5" x14ac:dyDescent="0.25">
      <c r="A74" t="s">
        <v>392</v>
      </c>
      <c r="B74" t="s">
        <v>393</v>
      </c>
      <c r="C74" t="s">
        <v>88</v>
      </c>
      <c r="D74" t="s">
        <v>1272</v>
      </c>
      <c r="E74" t="s">
        <v>88</v>
      </c>
    </row>
    <row r="75" spans="1:5" x14ac:dyDescent="0.25">
      <c r="A75" t="s">
        <v>394</v>
      </c>
      <c r="B75" t="s">
        <v>395</v>
      </c>
      <c r="C75" t="s">
        <v>88</v>
      </c>
      <c r="D75" t="s">
        <v>1272</v>
      </c>
      <c r="E75" t="s">
        <v>88</v>
      </c>
    </row>
    <row r="76" spans="1:5" x14ac:dyDescent="0.25">
      <c r="A76" t="s">
        <v>125</v>
      </c>
      <c r="B76" t="s">
        <v>126</v>
      </c>
      <c r="C76" t="s">
        <v>88</v>
      </c>
      <c r="D76" t="s">
        <v>1272</v>
      </c>
      <c r="E76" t="s">
        <v>88</v>
      </c>
    </row>
    <row r="77" spans="1:5" x14ac:dyDescent="0.25">
      <c r="A77" t="s">
        <v>276</v>
      </c>
      <c r="B77" t="s">
        <v>277</v>
      </c>
      <c r="C77" t="s">
        <v>88</v>
      </c>
      <c r="D77" t="s">
        <v>1272</v>
      </c>
      <c r="E77" t="s">
        <v>88</v>
      </c>
    </row>
    <row r="78" spans="1:5" x14ac:dyDescent="0.25">
      <c r="A78" t="s">
        <v>396</v>
      </c>
      <c r="B78" t="s">
        <v>397</v>
      </c>
      <c r="C78" t="s">
        <v>653</v>
      </c>
      <c r="D78" t="s">
        <v>1467</v>
      </c>
      <c r="E78" t="s">
        <v>1502</v>
      </c>
    </row>
    <row r="79" spans="1:5" x14ac:dyDescent="0.25">
      <c r="A79" t="s">
        <v>398</v>
      </c>
      <c r="B79" t="s">
        <v>399</v>
      </c>
      <c r="C79" t="s">
        <v>653</v>
      </c>
      <c r="D79" t="s">
        <v>1467</v>
      </c>
      <c r="E79" t="s">
        <v>1524</v>
      </c>
    </row>
    <row r="80" spans="1:5" x14ac:dyDescent="0.25">
      <c r="A80" t="s">
        <v>127</v>
      </c>
      <c r="B80" t="s">
        <v>128</v>
      </c>
      <c r="C80" t="s">
        <v>88</v>
      </c>
      <c r="D80" t="s">
        <v>1272</v>
      </c>
      <c r="E80" t="s">
        <v>88</v>
      </c>
    </row>
    <row r="81" spans="1:5" x14ac:dyDescent="0.25">
      <c r="A81" t="s">
        <v>129</v>
      </c>
      <c r="B81" t="s">
        <v>130</v>
      </c>
      <c r="C81" t="s">
        <v>88</v>
      </c>
      <c r="D81" t="s">
        <v>1272</v>
      </c>
      <c r="E81" t="s">
        <v>88</v>
      </c>
    </row>
    <row r="82" spans="1:5" x14ac:dyDescent="0.25">
      <c r="A82" t="s">
        <v>400</v>
      </c>
      <c r="B82" t="s">
        <v>401</v>
      </c>
      <c r="C82" t="s">
        <v>88</v>
      </c>
      <c r="D82" t="s">
        <v>1272</v>
      </c>
      <c r="E82" t="s">
        <v>88</v>
      </c>
    </row>
    <row r="83" spans="1:5" x14ac:dyDescent="0.25">
      <c r="A83" t="s">
        <v>402</v>
      </c>
      <c r="B83" t="s">
        <v>403</v>
      </c>
      <c r="C83" t="s">
        <v>653</v>
      </c>
      <c r="D83" t="s">
        <v>1467</v>
      </c>
      <c r="E83" t="s">
        <v>1525</v>
      </c>
    </row>
    <row r="84" spans="1:5" x14ac:dyDescent="0.25">
      <c r="A84" t="s">
        <v>131</v>
      </c>
      <c r="B84" t="s">
        <v>132</v>
      </c>
      <c r="C84" t="s">
        <v>88</v>
      </c>
      <c r="D84" t="s">
        <v>1272</v>
      </c>
      <c r="E84" t="s">
        <v>88</v>
      </c>
    </row>
    <row r="85" spans="1:5" x14ac:dyDescent="0.25">
      <c r="A85" t="s">
        <v>404</v>
      </c>
      <c r="B85" t="s">
        <v>405</v>
      </c>
      <c r="C85" t="s">
        <v>653</v>
      </c>
      <c r="D85" t="s">
        <v>1467</v>
      </c>
      <c r="E85" t="s">
        <v>1526</v>
      </c>
    </row>
    <row r="86" spans="1:5" x14ac:dyDescent="0.25">
      <c r="A86" t="s">
        <v>133</v>
      </c>
      <c r="B86" t="s">
        <v>134</v>
      </c>
      <c r="C86" t="s">
        <v>653</v>
      </c>
      <c r="D86" t="s">
        <v>1467</v>
      </c>
      <c r="E86" t="s">
        <v>1527</v>
      </c>
    </row>
    <row r="87" spans="1:5" x14ac:dyDescent="0.25">
      <c r="A87" t="s">
        <v>406</v>
      </c>
      <c r="B87" t="s">
        <v>407</v>
      </c>
      <c r="C87" t="s">
        <v>653</v>
      </c>
      <c r="D87" t="s">
        <v>1467</v>
      </c>
      <c r="E87" t="s">
        <v>1470</v>
      </c>
    </row>
    <row r="88" spans="1:5" x14ac:dyDescent="0.25">
      <c r="A88" t="s">
        <v>408</v>
      </c>
      <c r="B88" t="s">
        <v>409</v>
      </c>
      <c r="C88" t="s">
        <v>653</v>
      </c>
      <c r="D88" t="s">
        <v>1467</v>
      </c>
      <c r="E88" t="s">
        <v>1528</v>
      </c>
    </row>
    <row r="89" spans="1:5" x14ac:dyDescent="0.25">
      <c r="A89" t="s">
        <v>410</v>
      </c>
      <c r="B89" t="s">
        <v>411</v>
      </c>
      <c r="C89" t="s">
        <v>653</v>
      </c>
      <c r="D89" t="s">
        <v>1467</v>
      </c>
      <c r="E89" t="s">
        <v>1529</v>
      </c>
    </row>
    <row r="90" spans="1:5" x14ac:dyDescent="0.25">
      <c r="A90" t="s">
        <v>412</v>
      </c>
      <c r="B90" t="s">
        <v>413</v>
      </c>
      <c r="C90" t="s">
        <v>653</v>
      </c>
      <c r="D90" t="s">
        <v>1467</v>
      </c>
      <c r="E90" t="s">
        <v>1471</v>
      </c>
    </row>
    <row r="91" spans="1:5" x14ac:dyDescent="0.25">
      <c r="A91" t="s">
        <v>135</v>
      </c>
      <c r="B91" t="s">
        <v>136</v>
      </c>
      <c r="C91" t="s">
        <v>88</v>
      </c>
      <c r="D91" t="s">
        <v>1272</v>
      </c>
      <c r="E91" t="s">
        <v>88</v>
      </c>
    </row>
    <row r="92" spans="1:5" x14ac:dyDescent="0.25">
      <c r="A92" t="s">
        <v>414</v>
      </c>
      <c r="B92" t="s">
        <v>415</v>
      </c>
      <c r="C92" t="s">
        <v>88</v>
      </c>
      <c r="D92" t="s">
        <v>1272</v>
      </c>
      <c r="E92" t="s">
        <v>88</v>
      </c>
    </row>
    <row r="93" spans="1:5" x14ac:dyDescent="0.25">
      <c r="A93" t="s">
        <v>416</v>
      </c>
      <c r="B93" t="s">
        <v>417</v>
      </c>
      <c r="C93" t="s">
        <v>653</v>
      </c>
      <c r="D93" t="s">
        <v>1467</v>
      </c>
      <c r="E93" t="s">
        <v>1472</v>
      </c>
    </row>
    <row r="94" spans="1:5" x14ac:dyDescent="0.25">
      <c r="A94" t="s">
        <v>137</v>
      </c>
      <c r="B94" t="s">
        <v>138</v>
      </c>
      <c r="C94" t="s">
        <v>88</v>
      </c>
      <c r="D94" t="s">
        <v>1272</v>
      </c>
      <c r="E94" t="s">
        <v>88</v>
      </c>
    </row>
    <row r="95" spans="1:5" x14ac:dyDescent="0.25">
      <c r="A95" t="s">
        <v>139</v>
      </c>
      <c r="B95" t="s">
        <v>140</v>
      </c>
      <c r="C95" t="s">
        <v>88</v>
      </c>
      <c r="D95" t="s">
        <v>1272</v>
      </c>
      <c r="E95" t="s">
        <v>88</v>
      </c>
    </row>
    <row r="96" spans="1:5" x14ac:dyDescent="0.25">
      <c r="A96" t="s">
        <v>418</v>
      </c>
      <c r="B96" t="s">
        <v>419</v>
      </c>
      <c r="C96" t="s">
        <v>653</v>
      </c>
      <c r="D96" t="s">
        <v>1467</v>
      </c>
      <c r="E96" t="s">
        <v>1530</v>
      </c>
    </row>
    <row r="97" spans="1:5" x14ac:dyDescent="0.25">
      <c r="A97" t="s">
        <v>420</v>
      </c>
      <c r="B97" t="s">
        <v>421</v>
      </c>
      <c r="C97" t="s">
        <v>88</v>
      </c>
      <c r="D97" t="s">
        <v>1272</v>
      </c>
      <c r="E97" t="s">
        <v>88</v>
      </c>
    </row>
    <row r="98" spans="1:5" x14ac:dyDescent="0.25">
      <c r="A98" t="s">
        <v>57</v>
      </c>
      <c r="B98" t="s">
        <v>17</v>
      </c>
      <c r="C98" t="s">
        <v>653</v>
      </c>
      <c r="D98" t="s">
        <v>1467</v>
      </c>
      <c r="E98" t="s">
        <v>1531</v>
      </c>
    </row>
    <row r="99" spans="1:5" x14ac:dyDescent="0.25">
      <c r="A99" t="s">
        <v>141</v>
      </c>
      <c r="B99" t="s">
        <v>142</v>
      </c>
      <c r="C99" t="s">
        <v>88</v>
      </c>
      <c r="D99" t="s">
        <v>1272</v>
      </c>
      <c r="E99" t="s">
        <v>88</v>
      </c>
    </row>
    <row r="100" spans="1:5" x14ac:dyDescent="0.25">
      <c r="A100" t="s">
        <v>422</v>
      </c>
      <c r="B100" t="s">
        <v>423</v>
      </c>
      <c r="C100" t="s">
        <v>653</v>
      </c>
      <c r="D100" t="s">
        <v>1467</v>
      </c>
      <c r="E100" t="s">
        <v>1533</v>
      </c>
    </row>
    <row r="101" spans="1:5" x14ac:dyDescent="0.25">
      <c r="A101" t="s">
        <v>424</v>
      </c>
      <c r="B101" t="s">
        <v>425</v>
      </c>
      <c r="C101" t="s">
        <v>653</v>
      </c>
      <c r="D101" t="s">
        <v>1467</v>
      </c>
      <c r="E101" t="s">
        <v>1473</v>
      </c>
    </row>
    <row r="102" spans="1:5" x14ac:dyDescent="0.25">
      <c r="A102" t="s">
        <v>74</v>
      </c>
      <c r="B102" t="s">
        <v>41</v>
      </c>
      <c r="C102" t="s">
        <v>653</v>
      </c>
      <c r="D102" t="s">
        <v>1467</v>
      </c>
      <c r="E102" t="s">
        <v>1534</v>
      </c>
    </row>
    <row r="103" spans="1:5" x14ac:dyDescent="0.25">
      <c r="A103" t="s">
        <v>1420</v>
      </c>
      <c r="B103" t="s">
        <v>1424</v>
      </c>
      <c r="C103" t="s">
        <v>653</v>
      </c>
      <c r="D103" t="s">
        <v>1467</v>
      </c>
      <c r="E103" t="s">
        <v>88</v>
      </c>
    </row>
    <row r="104" spans="1:5" x14ac:dyDescent="0.25">
      <c r="A104" t="s">
        <v>75</v>
      </c>
      <c r="B104" t="s">
        <v>45</v>
      </c>
      <c r="C104" t="s">
        <v>653</v>
      </c>
      <c r="D104" t="s">
        <v>1467</v>
      </c>
      <c r="E104" t="s">
        <v>1535</v>
      </c>
    </row>
    <row r="105" spans="1:5" x14ac:dyDescent="0.25">
      <c r="A105" t="s">
        <v>79</v>
      </c>
      <c r="B105" t="s">
        <v>1397</v>
      </c>
      <c r="C105" t="s">
        <v>88</v>
      </c>
      <c r="D105" t="s">
        <v>1272</v>
      </c>
      <c r="E105" t="s">
        <v>88</v>
      </c>
    </row>
    <row r="106" spans="1:5" x14ac:dyDescent="0.25">
      <c r="A106" t="s">
        <v>426</v>
      </c>
      <c r="B106" t="s">
        <v>427</v>
      </c>
      <c r="C106" t="s">
        <v>653</v>
      </c>
      <c r="D106" t="s">
        <v>1467</v>
      </c>
      <c r="E106" t="s">
        <v>1501</v>
      </c>
    </row>
    <row r="107" spans="1:5" x14ac:dyDescent="0.25">
      <c r="A107" t="s">
        <v>428</v>
      </c>
      <c r="B107" t="s">
        <v>429</v>
      </c>
      <c r="C107" t="s">
        <v>88</v>
      </c>
      <c r="D107" t="s">
        <v>1272</v>
      </c>
      <c r="E107" t="s">
        <v>88</v>
      </c>
    </row>
    <row r="108" spans="1:5" x14ac:dyDescent="0.25">
      <c r="A108" t="s">
        <v>143</v>
      </c>
      <c r="B108" t="s">
        <v>144</v>
      </c>
      <c r="C108" t="s">
        <v>88</v>
      </c>
      <c r="D108" t="s">
        <v>1272</v>
      </c>
      <c r="E108" t="s">
        <v>88</v>
      </c>
    </row>
    <row r="109" spans="1:5" x14ac:dyDescent="0.25">
      <c r="A109" t="s">
        <v>145</v>
      </c>
      <c r="B109" t="s">
        <v>146</v>
      </c>
      <c r="C109" t="s">
        <v>88</v>
      </c>
      <c r="D109" t="s">
        <v>1272</v>
      </c>
      <c r="E109" t="s">
        <v>88</v>
      </c>
    </row>
    <row r="110" spans="1:5" x14ac:dyDescent="0.25">
      <c r="A110" t="s">
        <v>147</v>
      </c>
      <c r="B110" t="s">
        <v>148</v>
      </c>
      <c r="C110" t="s">
        <v>88</v>
      </c>
      <c r="D110" t="s">
        <v>1272</v>
      </c>
      <c r="E110" t="s">
        <v>88</v>
      </c>
    </row>
    <row r="111" spans="1:5" x14ac:dyDescent="0.25">
      <c r="A111" t="s">
        <v>430</v>
      </c>
      <c r="B111" t="s">
        <v>431</v>
      </c>
      <c r="C111" t="s">
        <v>653</v>
      </c>
      <c r="D111" t="s">
        <v>1467</v>
      </c>
      <c r="E111" t="s">
        <v>1474</v>
      </c>
    </row>
    <row r="112" spans="1:5" x14ac:dyDescent="0.25">
      <c r="A112" t="s">
        <v>432</v>
      </c>
      <c r="B112" t="s">
        <v>433</v>
      </c>
      <c r="C112" t="s">
        <v>653</v>
      </c>
      <c r="D112" t="s">
        <v>1467</v>
      </c>
      <c r="E112" t="s">
        <v>1503</v>
      </c>
    </row>
    <row r="113" spans="1:5" x14ac:dyDescent="0.25">
      <c r="A113" t="s">
        <v>434</v>
      </c>
      <c r="B113" t="s">
        <v>435</v>
      </c>
      <c r="C113" t="s">
        <v>88</v>
      </c>
      <c r="D113" t="s">
        <v>1272</v>
      </c>
      <c r="E113" t="s">
        <v>88</v>
      </c>
    </row>
    <row r="114" spans="1:5" x14ac:dyDescent="0.25">
      <c r="A114" t="s">
        <v>436</v>
      </c>
      <c r="B114" t="s">
        <v>437</v>
      </c>
      <c r="C114" t="s">
        <v>88</v>
      </c>
      <c r="D114" t="s">
        <v>1272</v>
      </c>
      <c r="E114" t="s">
        <v>88</v>
      </c>
    </row>
    <row r="115" spans="1:5" x14ac:dyDescent="0.25">
      <c r="A115" t="s">
        <v>438</v>
      </c>
      <c r="B115" t="s">
        <v>439</v>
      </c>
      <c r="C115" t="s">
        <v>653</v>
      </c>
      <c r="D115" t="s">
        <v>1467</v>
      </c>
      <c r="E115" t="s">
        <v>1536</v>
      </c>
    </row>
    <row r="116" spans="1:5" x14ac:dyDescent="0.25">
      <c r="A116" t="s">
        <v>440</v>
      </c>
      <c r="B116" t="s">
        <v>1389</v>
      </c>
      <c r="C116" t="s">
        <v>88</v>
      </c>
      <c r="D116" t="s">
        <v>1272</v>
      </c>
      <c r="E116" t="s">
        <v>88</v>
      </c>
    </row>
    <row r="117" spans="1:5" x14ac:dyDescent="0.25">
      <c r="A117" t="s">
        <v>278</v>
      </c>
      <c r="B117" t="s">
        <v>279</v>
      </c>
      <c r="C117" t="s">
        <v>88</v>
      </c>
      <c r="D117" t="s">
        <v>1272</v>
      </c>
      <c r="E117" t="s">
        <v>88</v>
      </c>
    </row>
    <row r="118" spans="1:5" x14ac:dyDescent="0.25">
      <c r="A118" t="s">
        <v>441</v>
      </c>
      <c r="B118" t="s">
        <v>442</v>
      </c>
      <c r="C118" t="s">
        <v>88</v>
      </c>
      <c r="D118" t="s">
        <v>1272</v>
      </c>
      <c r="E118" t="s">
        <v>88</v>
      </c>
    </row>
    <row r="119" spans="1:5" x14ac:dyDescent="0.25">
      <c r="A119" t="s">
        <v>149</v>
      </c>
      <c r="B119" t="s">
        <v>150</v>
      </c>
      <c r="C119" t="s">
        <v>88</v>
      </c>
      <c r="D119" t="s">
        <v>1272</v>
      </c>
      <c r="E119" t="s">
        <v>88</v>
      </c>
    </row>
    <row r="120" spans="1:5" x14ac:dyDescent="0.25">
      <c r="A120" t="s">
        <v>280</v>
      </c>
      <c r="B120" t="s">
        <v>281</v>
      </c>
      <c r="C120" t="s">
        <v>88</v>
      </c>
      <c r="D120" t="s">
        <v>1272</v>
      </c>
      <c r="E120" t="s">
        <v>88</v>
      </c>
    </row>
    <row r="121" spans="1:5" x14ac:dyDescent="0.25">
      <c r="A121" t="s">
        <v>443</v>
      </c>
      <c r="B121" t="s">
        <v>444</v>
      </c>
      <c r="C121" t="s">
        <v>653</v>
      </c>
      <c r="D121" t="s">
        <v>1467</v>
      </c>
      <c r="E121" t="s">
        <v>1537</v>
      </c>
    </row>
    <row r="122" spans="1:5" x14ac:dyDescent="0.25">
      <c r="A122" t="s">
        <v>282</v>
      </c>
      <c r="B122" t="s">
        <v>283</v>
      </c>
      <c r="C122" t="s">
        <v>88</v>
      </c>
      <c r="D122" t="s">
        <v>1272</v>
      </c>
      <c r="E122" t="s">
        <v>88</v>
      </c>
    </row>
    <row r="123" spans="1:5" x14ac:dyDescent="0.25">
      <c r="A123" t="s">
        <v>445</v>
      </c>
      <c r="B123" t="s">
        <v>446</v>
      </c>
      <c r="C123" t="s">
        <v>653</v>
      </c>
      <c r="D123" t="s">
        <v>1467</v>
      </c>
      <c r="E123" t="s">
        <v>1430</v>
      </c>
    </row>
    <row r="124" spans="1:5" x14ac:dyDescent="0.25">
      <c r="A124" t="s">
        <v>151</v>
      </c>
      <c r="B124" t="s">
        <v>152</v>
      </c>
      <c r="C124" t="s">
        <v>88</v>
      </c>
      <c r="D124" t="s">
        <v>1272</v>
      </c>
      <c r="E124" t="s">
        <v>88</v>
      </c>
    </row>
    <row r="125" spans="1:5" x14ac:dyDescent="0.25">
      <c r="A125" t="s">
        <v>153</v>
      </c>
      <c r="B125" t="s">
        <v>154</v>
      </c>
      <c r="C125" t="s">
        <v>88</v>
      </c>
      <c r="D125" t="s">
        <v>1272</v>
      </c>
      <c r="E125" t="s">
        <v>88</v>
      </c>
    </row>
    <row r="126" spans="1:5" x14ac:dyDescent="0.25">
      <c r="A126" t="s">
        <v>155</v>
      </c>
      <c r="B126" t="s">
        <v>156</v>
      </c>
      <c r="C126" t="s">
        <v>88</v>
      </c>
      <c r="D126" t="s">
        <v>1272</v>
      </c>
      <c r="E126" t="s">
        <v>88</v>
      </c>
    </row>
    <row r="127" spans="1:5" x14ac:dyDescent="0.25">
      <c r="A127" t="s">
        <v>157</v>
      </c>
      <c r="B127" t="s">
        <v>158</v>
      </c>
      <c r="C127" t="s">
        <v>653</v>
      </c>
      <c r="D127" t="s">
        <v>1467</v>
      </c>
      <c r="E127" t="s">
        <v>1538</v>
      </c>
    </row>
    <row r="128" spans="1:5" x14ac:dyDescent="0.25">
      <c r="A128" t="s">
        <v>159</v>
      </c>
      <c r="B128" t="s">
        <v>160</v>
      </c>
      <c r="C128" t="s">
        <v>88</v>
      </c>
      <c r="D128" t="s">
        <v>1272</v>
      </c>
      <c r="E128" t="s">
        <v>88</v>
      </c>
    </row>
    <row r="129" spans="1:5" x14ac:dyDescent="0.25">
      <c r="A129" t="s">
        <v>447</v>
      </c>
      <c r="B129" t="s">
        <v>448</v>
      </c>
      <c r="C129" t="s">
        <v>653</v>
      </c>
      <c r="D129" t="s">
        <v>1467</v>
      </c>
      <c r="E129" t="s">
        <v>1475</v>
      </c>
    </row>
    <row r="130" spans="1:5" x14ac:dyDescent="0.25">
      <c r="A130" t="s">
        <v>449</v>
      </c>
      <c r="B130" t="s">
        <v>450</v>
      </c>
      <c r="C130" t="s">
        <v>653</v>
      </c>
      <c r="D130" t="s">
        <v>1467</v>
      </c>
      <c r="E130" t="s">
        <v>1539</v>
      </c>
    </row>
    <row r="131" spans="1:5" x14ac:dyDescent="0.25">
      <c r="A131" t="s">
        <v>451</v>
      </c>
      <c r="B131" t="s">
        <v>452</v>
      </c>
      <c r="C131" t="s">
        <v>653</v>
      </c>
      <c r="D131" t="s">
        <v>1467</v>
      </c>
      <c r="E131" t="s">
        <v>1540</v>
      </c>
    </row>
    <row r="132" spans="1:5" x14ac:dyDescent="0.25">
      <c r="A132" t="s">
        <v>453</v>
      </c>
      <c r="B132" t="s">
        <v>454</v>
      </c>
      <c r="C132" t="s">
        <v>653</v>
      </c>
      <c r="D132" t="s">
        <v>1467</v>
      </c>
      <c r="E132" t="s">
        <v>1517</v>
      </c>
    </row>
    <row r="133" spans="1:5" x14ac:dyDescent="0.25">
      <c r="A133" t="s">
        <v>76</v>
      </c>
      <c r="B133" t="s">
        <v>30</v>
      </c>
      <c r="C133" t="s">
        <v>88</v>
      </c>
      <c r="D133" t="s">
        <v>1272</v>
      </c>
      <c r="E133" t="s">
        <v>88</v>
      </c>
    </row>
    <row r="134" spans="1:5" x14ac:dyDescent="0.25">
      <c r="A134" t="s">
        <v>455</v>
      </c>
      <c r="B134" t="s">
        <v>456</v>
      </c>
      <c r="C134" t="s">
        <v>653</v>
      </c>
      <c r="D134" t="s">
        <v>1467</v>
      </c>
      <c r="E134" t="s">
        <v>1541</v>
      </c>
    </row>
    <row r="135" spans="1:5" x14ac:dyDescent="0.25">
      <c r="A135" t="s">
        <v>161</v>
      </c>
      <c r="B135" t="s">
        <v>162</v>
      </c>
      <c r="C135" t="s">
        <v>88</v>
      </c>
      <c r="D135" t="s">
        <v>1272</v>
      </c>
      <c r="E135" t="s">
        <v>88</v>
      </c>
    </row>
    <row r="136" spans="1:5" x14ac:dyDescent="0.25">
      <c r="A136" t="s">
        <v>457</v>
      </c>
      <c r="B136" t="s">
        <v>458</v>
      </c>
      <c r="C136" t="s">
        <v>653</v>
      </c>
      <c r="D136" t="s">
        <v>1467</v>
      </c>
      <c r="E136" t="s">
        <v>1476</v>
      </c>
    </row>
    <row r="137" spans="1:5" x14ac:dyDescent="0.25">
      <c r="A137" t="s">
        <v>459</v>
      </c>
      <c r="B137" t="s">
        <v>460</v>
      </c>
      <c r="C137" t="s">
        <v>88</v>
      </c>
      <c r="D137" t="s">
        <v>1272</v>
      </c>
      <c r="E137" t="s">
        <v>88</v>
      </c>
    </row>
    <row r="138" spans="1:5" x14ac:dyDescent="0.25">
      <c r="A138" t="s">
        <v>284</v>
      </c>
      <c r="B138" t="s">
        <v>285</v>
      </c>
      <c r="C138" t="s">
        <v>653</v>
      </c>
      <c r="D138" t="s">
        <v>1467</v>
      </c>
      <c r="E138" t="s">
        <v>1477</v>
      </c>
    </row>
    <row r="139" spans="1:5" x14ac:dyDescent="0.25">
      <c r="A139" t="s">
        <v>461</v>
      </c>
      <c r="B139" t="s">
        <v>462</v>
      </c>
      <c r="C139" t="s">
        <v>88</v>
      </c>
      <c r="D139" t="s">
        <v>1272</v>
      </c>
      <c r="E139" t="s">
        <v>88</v>
      </c>
    </row>
    <row r="140" spans="1:5" x14ac:dyDescent="0.25">
      <c r="A140" t="s">
        <v>463</v>
      </c>
      <c r="B140" t="s">
        <v>464</v>
      </c>
      <c r="C140" t="s">
        <v>653</v>
      </c>
      <c r="D140" t="s">
        <v>1467</v>
      </c>
      <c r="E140" t="s">
        <v>1478</v>
      </c>
    </row>
    <row r="141" spans="1:5" x14ac:dyDescent="0.25">
      <c r="A141" t="s">
        <v>163</v>
      </c>
      <c r="B141" t="s">
        <v>164</v>
      </c>
      <c r="C141" t="s">
        <v>88</v>
      </c>
      <c r="D141" t="s">
        <v>1272</v>
      </c>
      <c r="E141" t="s">
        <v>88</v>
      </c>
    </row>
    <row r="142" spans="1:5" x14ac:dyDescent="0.25">
      <c r="A142" t="s">
        <v>465</v>
      </c>
      <c r="B142" t="s">
        <v>466</v>
      </c>
      <c r="C142" t="s">
        <v>88</v>
      </c>
      <c r="D142" t="s">
        <v>1272</v>
      </c>
      <c r="E142" t="s">
        <v>88</v>
      </c>
    </row>
    <row r="143" spans="1:5" x14ac:dyDescent="0.25">
      <c r="A143" t="s">
        <v>165</v>
      </c>
      <c r="B143" t="s">
        <v>166</v>
      </c>
      <c r="C143" t="s">
        <v>88</v>
      </c>
      <c r="D143" t="s">
        <v>1272</v>
      </c>
      <c r="E143" t="s">
        <v>88</v>
      </c>
    </row>
    <row r="144" spans="1:5" x14ac:dyDescent="0.25">
      <c r="A144" t="s">
        <v>167</v>
      </c>
      <c r="B144" t="s">
        <v>168</v>
      </c>
      <c r="C144" t="s">
        <v>88</v>
      </c>
      <c r="D144" t="s">
        <v>1272</v>
      </c>
      <c r="E144" t="s">
        <v>88</v>
      </c>
    </row>
    <row r="145" spans="1:5" x14ac:dyDescent="0.25">
      <c r="A145" t="s">
        <v>169</v>
      </c>
      <c r="B145" t="s">
        <v>170</v>
      </c>
      <c r="C145" t="s">
        <v>88</v>
      </c>
      <c r="D145" t="s">
        <v>1272</v>
      </c>
      <c r="E145" t="s">
        <v>88</v>
      </c>
    </row>
    <row r="146" spans="1:5" x14ac:dyDescent="0.25">
      <c r="A146" t="s">
        <v>171</v>
      </c>
      <c r="B146" t="s">
        <v>172</v>
      </c>
      <c r="C146" t="s">
        <v>88</v>
      </c>
      <c r="D146" t="s">
        <v>1272</v>
      </c>
      <c r="E146" t="s">
        <v>88</v>
      </c>
    </row>
    <row r="147" spans="1:5" x14ac:dyDescent="0.25">
      <c r="A147" t="s">
        <v>467</v>
      </c>
      <c r="B147" t="s">
        <v>468</v>
      </c>
      <c r="C147" t="s">
        <v>653</v>
      </c>
      <c r="D147" t="s">
        <v>1467</v>
      </c>
      <c r="E147" t="s">
        <v>1542</v>
      </c>
    </row>
    <row r="148" spans="1:5" x14ac:dyDescent="0.25">
      <c r="A148" t="s">
        <v>469</v>
      </c>
      <c r="B148" t="s">
        <v>470</v>
      </c>
      <c r="C148" t="s">
        <v>653</v>
      </c>
      <c r="D148" t="s">
        <v>1467</v>
      </c>
      <c r="E148" t="s">
        <v>1479</v>
      </c>
    </row>
    <row r="149" spans="1:5" x14ac:dyDescent="0.25">
      <c r="A149" t="s">
        <v>173</v>
      </c>
      <c r="B149" t="s">
        <v>174</v>
      </c>
      <c r="C149" t="s">
        <v>88</v>
      </c>
      <c r="D149" t="s">
        <v>1272</v>
      </c>
      <c r="E149" t="s">
        <v>88</v>
      </c>
    </row>
    <row r="150" spans="1:5" x14ac:dyDescent="0.25">
      <c r="A150" t="s">
        <v>471</v>
      </c>
      <c r="B150" t="s">
        <v>472</v>
      </c>
      <c r="C150" t="s">
        <v>88</v>
      </c>
      <c r="D150" t="s">
        <v>1272</v>
      </c>
      <c r="E150" t="s">
        <v>88</v>
      </c>
    </row>
    <row r="151" spans="1:5" x14ac:dyDescent="0.25">
      <c r="A151" t="s">
        <v>473</v>
      </c>
      <c r="B151" t="s">
        <v>474</v>
      </c>
      <c r="C151" t="s">
        <v>88</v>
      </c>
      <c r="D151" t="s">
        <v>1272</v>
      </c>
      <c r="E151" t="s">
        <v>88</v>
      </c>
    </row>
    <row r="152" spans="1:5" x14ac:dyDescent="0.25">
      <c r="A152" t="s">
        <v>475</v>
      </c>
      <c r="B152" t="s">
        <v>476</v>
      </c>
      <c r="C152" t="s">
        <v>653</v>
      </c>
      <c r="D152" t="s">
        <v>1467</v>
      </c>
      <c r="E152" t="s">
        <v>1543</v>
      </c>
    </row>
    <row r="153" spans="1:5" x14ac:dyDescent="0.25">
      <c r="A153" t="s">
        <v>477</v>
      </c>
      <c r="B153" t="s">
        <v>478</v>
      </c>
      <c r="C153" t="s">
        <v>88</v>
      </c>
      <c r="D153" t="s">
        <v>1272</v>
      </c>
      <c r="E153" t="s">
        <v>88</v>
      </c>
    </row>
    <row r="154" spans="1:5" x14ac:dyDescent="0.25">
      <c r="A154" t="s">
        <v>479</v>
      </c>
      <c r="B154" t="s">
        <v>480</v>
      </c>
      <c r="C154" t="s">
        <v>88</v>
      </c>
      <c r="D154" t="s">
        <v>1272</v>
      </c>
      <c r="E154" t="s">
        <v>88</v>
      </c>
    </row>
    <row r="155" spans="1:5" x14ac:dyDescent="0.25">
      <c r="A155" t="s">
        <v>481</v>
      </c>
      <c r="B155" t="s">
        <v>482</v>
      </c>
      <c r="C155" t="s">
        <v>88</v>
      </c>
      <c r="D155" t="s">
        <v>1272</v>
      </c>
      <c r="E155" t="s">
        <v>88</v>
      </c>
    </row>
    <row r="156" spans="1:5" x14ac:dyDescent="0.25">
      <c r="A156" t="s">
        <v>175</v>
      </c>
      <c r="B156" t="s">
        <v>176</v>
      </c>
      <c r="C156" t="s">
        <v>88</v>
      </c>
      <c r="D156" t="s">
        <v>1272</v>
      </c>
      <c r="E156" t="s">
        <v>88</v>
      </c>
    </row>
    <row r="157" spans="1:5" x14ac:dyDescent="0.25">
      <c r="A157" t="s">
        <v>483</v>
      </c>
      <c r="B157" t="s">
        <v>484</v>
      </c>
      <c r="C157" t="s">
        <v>88</v>
      </c>
      <c r="D157" t="s">
        <v>1272</v>
      </c>
      <c r="E157" t="s">
        <v>88</v>
      </c>
    </row>
    <row r="158" spans="1:5" x14ac:dyDescent="0.25">
      <c r="A158" t="s">
        <v>286</v>
      </c>
      <c r="B158" t="s">
        <v>287</v>
      </c>
      <c r="C158" t="s">
        <v>88</v>
      </c>
      <c r="D158" t="s">
        <v>1272</v>
      </c>
      <c r="E158" t="s">
        <v>88</v>
      </c>
    </row>
    <row r="159" spans="1:5" x14ac:dyDescent="0.25">
      <c r="A159" t="s">
        <v>485</v>
      </c>
      <c r="B159" t="s">
        <v>486</v>
      </c>
      <c r="C159" t="s">
        <v>88</v>
      </c>
      <c r="D159" t="s">
        <v>1272</v>
      </c>
      <c r="E159" t="s">
        <v>88</v>
      </c>
    </row>
    <row r="160" spans="1:5" x14ac:dyDescent="0.25">
      <c r="A160" t="s">
        <v>487</v>
      </c>
      <c r="B160" t="s">
        <v>488</v>
      </c>
      <c r="C160" t="s">
        <v>88</v>
      </c>
      <c r="D160" t="s">
        <v>1272</v>
      </c>
      <c r="E160" t="s">
        <v>88</v>
      </c>
    </row>
    <row r="161" spans="1:5" x14ac:dyDescent="0.25">
      <c r="A161" t="s">
        <v>489</v>
      </c>
      <c r="B161" t="s">
        <v>490</v>
      </c>
      <c r="C161" t="s">
        <v>88</v>
      </c>
      <c r="D161" t="s">
        <v>1272</v>
      </c>
      <c r="E161" t="s">
        <v>88</v>
      </c>
    </row>
    <row r="162" spans="1:5" x14ac:dyDescent="0.25">
      <c r="A162" t="s">
        <v>491</v>
      </c>
      <c r="B162" t="s">
        <v>492</v>
      </c>
      <c r="C162" t="s">
        <v>653</v>
      </c>
      <c r="D162" t="s">
        <v>1467</v>
      </c>
      <c r="E162" t="s">
        <v>1523</v>
      </c>
    </row>
    <row r="163" spans="1:5" x14ac:dyDescent="0.25">
      <c r="A163" t="s">
        <v>493</v>
      </c>
      <c r="B163" t="s">
        <v>494</v>
      </c>
      <c r="C163" t="s">
        <v>653</v>
      </c>
      <c r="D163" t="s">
        <v>1467</v>
      </c>
      <c r="E163" t="s">
        <v>1544</v>
      </c>
    </row>
    <row r="164" spans="1:5" x14ac:dyDescent="0.25">
      <c r="A164" t="s">
        <v>495</v>
      </c>
      <c r="B164" t="s">
        <v>496</v>
      </c>
      <c r="C164" t="s">
        <v>88</v>
      </c>
      <c r="D164" t="s">
        <v>1272</v>
      </c>
      <c r="E164" t="s">
        <v>88</v>
      </c>
    </row>
    <row r="165" spans="1:5" x14ac:dyDescent="0.25">
      <c r="A165" t="s">
        <v>177</v>
      </c>
      <c r="B165" t="s">
        <v>178</v>
      </c>
      <c r="C165" t="s">
        <v>88</v>
      </c>
      <c r="D165" t="s">
        <v>1272</v>
      </c>
      <c r="E165" t="s">
        <v>88</v>
      </c>
    </row>
    <row r="166" spans="1:5" x14ac:dyDescent="0.25">
      <c r="A166" t="s">
        <v>497</v>
      </c>
      <c r="B166" t="s">
        <v>498</v>
      </c>
      <c r="C166" t="s">
        <v>653</v>
      </c>
      <c r="D166" t="s">
        <v>1467</v>
      </c>
      <c r="E166" t="s">
        <v>1480</v>
      </c>
    </row>
    <row r="167" spans="1:5" x14ac:dyDescent="0.25">
      <c r="A167" t="s">
        <v>499</v>
      </c>
      <c r="B167" t="s">
        <v>500</v>
      </c>
      <c r="C167" t="s">
        <v>88</v>
      </c>
      <c r="D167" t="s">
        <v>1272</v>
      </c>
      <c r="E167" t="s">
        <v>88</v>
      </c>
    </row>
    <row r="168" spans="1:5" x14ac:dyDescent="0.25">
      <c r="A168" t="s">
        <v>179</v>
      </c>
      <c r="B168" t="s">
        <v>180</v>
      </c>
      <c r="C168" t="s">
        <v>88</v>
      </c>
      <c r="D168" t="s">
        <v>1272</v>
      </c>
      <c r="E168" t="s">
        <v>88</v>
      </c>
    </row>
    <row r="169" spans="1:5" x14ac:dyDescent="0.25">
      <c r="A169" t="s">
        <v>501</v>
      </c>
      <c r="B169" t="s">
        <v>502</v>
      </c>
      <c r="C169" t="s">
        <v>653</v>
      </c>
      <c r="D169" t="s">
        <v>1467</v>
      </c>
      <c r="E169" t="s">
        <v>1545</v>
      </c>
    </row>
    <row r="170" spans="1:5" x14ac:dyDescent="0.25">
      <c r="A170" t="s">
        <v>503</v>
      </c>
      <c r="B170" t="s">
        <v>504</v>
      </c>
      <c r="C170" t="s">
        <v>653</v>
      </c>
      <c r="D170" t="s">
        <v>1467</v>
      </c>
      <c r="E170" t="s">
        <v>1538</v>
      </c>
    </row>
    <row r="171" spans="1:5" x14ac:dyDescent="0.25">
      <c r="A171" t="s">
        <v>181</v>
      </c>
      <c r="B171" t="s">
        <v>182</v>
      </c>
      <c r="C171" t="s">
        <v>88</v>
      </c>
      <c r="D171" t="s">
        <v>1272</v>
      </c>
      <c r="E171" t="s">
        <v>88</v>
      </c>
    </row>
    <row r="172" spans="1:5" x14ac:dyDescent="0.25">
      <c r="A172" t="s">
        <v>505</v>
      </c>
      <c r="B172" t="s">
        <v>506</v>
      </c>
      <c r="C172" t="s">
        <v>653</v>
      </c>
      <c r="D172" t="s">
        <v>1467</v>
      </c>
      <c r="E172" t="s">
        <v>1481</v>
      </c>
    </row>
    <row r="173" spans="1:5" x14ac:dyDescent="0.25">
      <c r="A173" t="s">
        <v>183</v>
      </c>
      <c r="B173" t="s">
        <v>184</v>
      </c>
      <c r="C173" t="s">
        <v>88</v>
      </c>
      <c r="D173" t="s">
        <v>1272</v>
      </c>
      <c r="E173" t="s">
        <v>88</v>
      </c>
    </row>
    <row r="174" spans="1:5" x14ac:dyDescent="0.25">
      <c r="A174" t="s">
        <v>185</v>
      </c>
      <c r="B174" t="s">
        <v>186</v>
      </c>
      <c r="C174" t="s">
        <v>88</v>
      </c>
      <c r="D174" t="s">
        <v>1272</v>
      </c>
      <c r="E174" t="s">
        <v>88</v>
      </c>
    </row>
    <row r="175" spans="1:5" x14ac:dyDescent="0.25">
      <c r="A175" t="s">
        <v>187</v>
      </c>
      <c r="B175" t="s">
        <v>188</v>
      </c>
      <c r="C175" t="s">
        <v>88</v>
      </c>
      <c r="D175" t="s">
        <v>1272</v>
      </c>
      <c r="E175" t="s">
        <v>88</v>
      </c>
    </row>
    <row r="176" spans="1:5" x14ac:dyDescent="0.25">
      <c r="A176" t="s">
        <v>507</v>
      </c>
      <c r="B176" t="s">
        <v>508</v>
      </c>
      <c r="C176" t="s">
        <v>653</v>
      </c>
      <c r="D176" t="s">
        <v>1467</v>
      </c>
      <c r="E176" t="s">
        <v>1508</v>
      </c>
    </row>
    <row r="177" spans="1:5" x14ac:dyDescent="0.25">
      <c r="A177" t="s">
        <v>509</v>
      </c>
      <c r="B177" t="s">
        <v>510</v>
      </c>
      <c r="C177" t="s">
        <v>653</v>
      </c>
      <c r="D177" t="s">
        <v>1467</v>
      </c>
      <c r="E177" t="s">
        <v>1546</v>
      </c>
    </row>
    <row r="178" spans="1:5" x14ac:dyDescent="0.25">
      <c r="A178" t="s">
        <v>511</v>
      </c>
      <c r="B178" t="s">
        <v>512</v>
      </c>
      <c r="C178" t="s">
        <v>653</v>
      </c>
      <c r="D178" t="s">
        <v>1467</v>
      </c>
      <c r="E178" t="s">
        <v>1482</v>
      </c>
    </row>
    <row r="179" spans="1:5" x14ac:dyDescent="0.25">
      <c r="A179" t="s">
        <v>288</v>
      </c>
      <c r="B179" t="s">
        <v>289</v>
      </c>
      <c r="C179" t="s">
        <v>88</v>
      </c>
      <c r="D179" t="s">
        <v>1272</v>
      </c>
      <c r="E179" t="s">
        <v>88</v>
      </c>
    </row>
    <row r="180" spans="1:5" x14ac:dyDescent="0.25">
      <c r="A180" t="s">
        <v>513</v>
      </c>
      <c r="B180" t="s">
        <v>514</v>
      </c>
      <c r="C180" t="s">
        <v>653</v>
      </c>
      <c r="D180" t="s">
        <v>1467</v>
      </c>
      <c r="E180" t="s">
        <v>1483</v>
      </c>
    </row>
    <row r="181" spans="1:5" x14ac:dyDescent="0.25">
      <c r="A181" t="s">
        <v>189</v>
      </c>
      <c r="B181" t="s">
        <v>190</v>
      </c>
      <c r="C181" t="s">
        <v>88</v>
      </c>
      <c r="D181" t="s">
        <v>1272</v>
      </c>
      <c r="E181" t="s">
        <v>88</v>
      </c>
    </row>
    <row r="182" spans="1:5" x14ac:dyDescent="0.25">
      <c r="A182" t="s">
        <v>515</v>
      </c>
      <c r="B182" t="s">
        <v>516</v>
      </c>
      <c r="C182" t="s">
        <v>653</v>
      </c>
      <c r="D182" t="s">
        <v>1467</v>
      </c>
      <c r="E182" t="s">
        <v>1547</v>
      </c>
    </row>
    <row r="183" spans="1:5" x14ac:dyDescent="0.25">
      <c r="A183" t="s">
        <v>517</v>
      </c>
      <c r="B183" t="s">
        <v>518</v>
      </c>
      <c r="C183" t="s">
        <v>88</v>
      </c>
      <c r="D183" t="s">
        <v>1272</v>
      </c>
      <c r="E183" t="s">
        <v>88</v>
      </c>
    </row>
    <row r="184" spans="1:5" x14ac:dyDescent="0.25">
      <c r="A184" t="s">
        <v>519</v>
      </c>
      <c r="B184" t="s">
        <v>520</v>
      </c>
      <c r="C184" t="s">
        <v>653</v>
      </c>
      <c r="D184" t="s">
        <v>1467</v>
      </c>
      <c r="E184" t="s">
        <v>1509</v>
      </c>
    </row>
    <row r="185" spans="1:5" x14ac:dyDescent="0.25">
      <c r="A185" t="s">
        <v>521</v>
      </c>
      <c r="B185" t="s">
        <v>522</v>
      </c>
      <c r="C185" t="s">
        <v>88</v>
      </c>
      <c r="D185" t="s">
        <v>1272</v>
      </c>
      <c r="E185" t="s">
        <v>88</v>
      </c>
    </row>
    <row r="186" spans="1:5" x14ac:dyDescent="0.25">
      <c r="A186" t="s">
        <v>290</v>
      </c>
      <c r="B186" t="s">
        <v>291</v>
      </c>
      <c r="C186" t="s">
        <v>88</v>
      </c>
      <c r="D186" t="s">
        <v>1272</v>
      </c>
      <c r="E186" t="s">
        <v>88</v>
      </c>
    </row>
    <row r="187" spans="1:5" x14ac:dyDescent="0.25">
      <c r="A187" t="s">
        <v>523</v>
      </c>
      <c r="B187" t="s">
        <v>524</v>
      </c>
      <c r="C187" t="s">
        <v>653</v>
      </c>
      <c r="D187" t="s">
        <v>1467</v>
      </c>
      <c r="E187" t="s">
        <v>1548</v>
      </c>
    </row>
    <row r="188" spans="1:5" x14ac:dyDescent="0.25">
      <c r="A188" t="s">
        <v>525</v>
      </c>
      <c r="B188" t="s">
        <v>526</v>
      </c>
      <c r="C188" t="s">
        <v>88</v>
      </c>
      <c r="D188" t="s">
        <v>1272</v>
      </c>
      <c r="E188" t="s">
        <v>88</v>
      </c>
    </row>
    <row r="189" spans="1:5" x14ac:dyDescent="0.25">
      <c r="A189" t="s">
        <v>527</v>
      </c>
      <c r="B189" t="s">
        <v>528</v>
      </c>
      <c r="C189" t="s">
        <v>653</v>
      </c>
      <c r="D189" t="s">
        <v>1467</v>
      </c>
      <c r="E189" t="s">
        <v>1484</v>
      </c>
    </row>
    <row r="190" spans="1:5" x14ac:dyDescent="0.25">
      <c r="A190" t="s">
        <v>292</v>
      </c>
      <c r="B190" t="s">
        <v>293</v>
      </c>
      <c r="C190" t="s">
        <v>88</v>
      </c>
      <c r="D190" t="s">
        <v>1272</v>
      </c>
      <c r="E190" t="s">
        <v>88</v>
      </c>
    </row>
    <row r="191" spans="1:5" x14ac:dyDescent="0.25">
      <c r="A191" t="s">
        <v>529</v>
      </c>
      <c r="B191" t="s">
        <v>530</v>
      </c>
      <c r="C191" t="s">
        <v>653</v>
      </c>
      <c r="D191" t="s">
        <v>1467</v>
      </c>
      <c r="E191" t="s">
        <v>1549</v>
      </c>
    </row>
    <row r="192" spans="1:5" x14ac:dyDescent="0.25">
      <c r="A192" t="s">
        <v>531</v>
      </c>
      <c r="B192" t="s">
        <v>532</v>
      </c>
      <c r="C192" t="s">
        <v>88</v>
      </c>
      <c r="D192" t="s">
        <v>1272</v>
      </c>
      <c r="E192" t="s">
        <v>88</v>
      </c>
    </row>
    <row r="193" spans="1:5" x14ac:dyDescent="0.25">
      <c r="A193" t="s">
        <v>533</v>
      </c>
      <c r="B193" t="s">
        <v>534</v>
      </c>
      <c r="C193" t="s">
        <v>88</v>
      </c>
      <c r="D193" t="s">
        <v>1272</v>
      </c>
      <c r="E193" t="s">
        <v>88</v>
      </c>
    </row>
    <row r="194" spans="1:5" x14ac:dyDescent="0.25">
      <c r="A194" t="s">
        <v>651</v>
      </c>
      <c r="B194" t="s">
        <v>652</v>
      </c>
      <c r="C194" t="s">
        <v>653</v>
      </c>
      <c r="D194" t="s">
        <v>1467</v>
      </c>
      <c r="E194" t="s">
        <v>1485</v>
      </c>
    </row>
    <row r="195" spans="1:5" x14ac:dyDescent="0.25">
      <c r="A195" t="s">
        <v>535</v>
      </c>
      <c r="B195" t="s">
        <v>536</v>
      </c>
      <c r="C195" t="s">
        <v>653</v>
      </c>
      <c r="D195" t="s">
        <v>1467</v>
      </c>
      <c r="E195" t="s">
        <v>1550</v>
      </c>
    </row>
    <row r="196" spans="1:5" x14ac:dyDescent="0.25">
      <c r="A196" t="s">
        <v>537</v>
      </c>
      <c r="B196" t="s">
        <v>538</v>
      </c>
      <c r="C196" t="s">
        <v>88</v>
      </c>
      <c r="D196" t="s">
        <v>1272</v>
      </c>
      <c r="E196" t="s">
        <v>88</v>
      </c>
    </row>
    <row r="197" spans="1:5" x14ac:dyDescent="0.25">
      <c r="A197" t="s">
        <v>191</v>
      </c>
      <c r="B197" t="s">
        <v>192</v>
      </c>
      <c r="C197" t="s">
        <v>88</v>
      </c>
      <c r="D197" t="s">
        <v>1272</v>
      </c>
      <c r="E197" t="s">
        <v>88</v>
      </c>
    </row>
    <row r="198" spans="1:5" x14ac:dyDescent="0.25">
      <c r="A198" t="s">
        <v>294</v>
      </c>
      <c r="B198" t="s">
        <v>295</v>
      </c>
      <c r="C198" t="s">
        <v>88</v>
      </c>
      <c r="D198" t="s">
        <v>1272</v>
      </c>
      <c r="E198" t="s">
        <v>88</v>
      </c>
    </row>
    <row r="199" spans="1:5" x14ac:dyDescent="0.25">
      <c r="A199" t="s">
        <v>193</v>
      </c>
      <c r="B199" t="s">
        <v>194</v>
      </c>
      <c r="C199" t="s">
        <v>88</v>
      </c>
      <c r="D199" t="s">
        <v>1272</v>
      </c>
      <c r="E199" t="s">
        <v>88</v>
      </c>
    </row>
    <row r="200" spans="1:5" x14ac:dyDescent="0.25">
      <c r="A200" t="s">
        <v>83</v>
      </c>
      <c r="B200" t="s">
        <v>1398</v>
      </c>
      <c r="C200" t="s">
        <v>88</v>
      </c>
      <c r="D200" t="s">
        <v>1272</v>
      </c>
      <c r="E200" t="s">
        <v>88</v>
      </c>
    </row>
    <row r="201" spans="1:5" x14ac:dyDescent="0.25">
      <c r="A201" t="s">
        <v>539</v>
      </c>
      <c r="B201" t="s">
        <v>540</v>
      </c>
      <c r="C201" t="s">
        <v>88</v>
      </c>
      <c r="D201" t="s">
        <v>1272</v>
      </c>
      <c r="E201" t="s">
        <v>88</v>
      </c>
    </row>
    <row r="202" spans="1:5" x14ac:dyDescent="0.25">
      <c r="A202" t="s">
        <v>541</v>
      </c>
      <c r="B202" t="s">
        <v>542</v>
      </c>
      <c r="C202" t="s">
        <v>653</v>
      </c>
      <c r="D202" t="s">
        <v>1467</v>
      </c>
      <c r="E202" t="s">
        <v>1501</v>
      </c>
    </row>
    <row r="203" spans="1:5" x14ac:dyDescent="0.25">
      <c r="A203" t="s">
        <v>543</v>
      </c>
      <c r="B203" t="s">
        <v>544</v>
      </c>
      <c r="C203" t="s">
        <v>88</v>
      </c>
      <c r="D203" t="s">
        <v>1272</v>
      </c>
      <c r="E203" t="s">
        <v>88</v>
      </c>
    </row>
    <row r="204" spans="1:5" x14ac:dyDescent="0.25">
      <c r="A204" t="s">
        <v>545</v>
      </c>
      <c r="B204" t="s">
        <v>546</v>
      </c>
      <c r="C204" t="s">
        <v>653</v>
      </c>
      <c r="D204" t="s">
        <v>1467</v>
      </c>
      <c r="E204" t="s">
        <v>1551</v>
      </c>
    </row>
    <row r="205" spans="1:5" x14ac:dyDescent="0.25">
      <c r="A205" t="s">
        <v>547</v>
      </c>
      <c r="B205" t="s">
        <v>548</v>
      </c>
      <c r="C205" t="s">
        <v>653</v>
      </c>
      <c r="D205" t="s">
        <v>1467</v>
      </c>
      <c r="E205" t="s">
        <v>1552</v>
      </c>
    </row>
    <row r="206" spans="1:5" x14ac:dyDescent="0.25">
      <c r="A206" t="s">
        <v>77</v>
      </c>
      <c r="B206" t="s">
        <v>34</v>
      </c>
      <c r="C206" t="s">
        <v>88</v>
      </c>
      <c r="D206" t="s">
        <v>1272</v>
      </c>
      <c r="E206" t="s">
        <v>88</v>
      </c>
    </row>
    <row r="207" spans="1:5" x14ac:dyDescent="0.25">
      <c r="A207" t="s">
        <v>549</v>
      </c>
      <c r="B207" t="s">
        <v>550</v>
      </c>
      <c r="C207" t="s">
        <v>88</v>
      </c>
      <c r="D207" t="s">
        <v>1272</v>
      </c>
      <c r="E207" t="s">
        <v>88</v>
      </c>
    </row>
    <row r="208" spans="1:5" x14ac:dyDescent="0.25">
      <c r="A208" t="s">
        <v>58</v>
      </c>
      <c r="B208" t="s">
        <v>1425</v>
      </c>
      <c r="C208" t="s">
        <v>88</v>
      </c>
      <c r="D208" t="s">
        <v>1272</v>
      </c>
      <c r="E208" t="s">
        <v>88</v>
      </c>
    </row>
    <row r="209" spans="1:5" x14ac:dyDescent="0.25">
      <c r="A209" t="s">
        <v>195</v>
      </c>
      <c r="B209" t="s">
        <v>196</v>
      </c>
      <c r="C209" t="s">
        <v>88</v>
      </c>
      <c r="D209" t="s">
        <v>1272</v>
      </c>
      <c r="E209" t="s">
        <v>88</v>
      </c>
    </row>
    <row r="210" spans="1:5" x14ac:dyDescent="0.25">
      <c r="A210" t="s">
        <v>551</v>
      </c>
      <c r="B210" t="s">
        <v>552</v>
      </c>
      <c r="C210" t="s">
        <v>88</v>
      </c>
      <c r="D210" t="s">
        <v>1272</v>
      </c>
      <c r="E210" t="s">
        <v>88</v>
      </c>
    </row>
    <row r="211" spans="1:5" x14ac:dyDescent="0.25">
      <c r="A211" t="s">
        <v>553</v>
      </c>
      <c r="B211" t="s">
        <v>554</v>
      </c>
      <c r="C211" t="s">
        <v>653</v>
      </c>
      <c r="D211" t="s">
        <v>1467</v>
      </c>
      <c r="E211" t="s">
        <v>1553</v>
      </c>
    </row>
    <row r="212" spans="1:5" x14ac:dyDescent="0.25">
      <c r="A212" t="s">
        <v>555</v>
      </c>
      <c r="B212" t="s">
        <v>556</v>
      </c>
      <c r="C212" t="s">
        <v>653</v>
      </c>
      <c r="D212" t="s">
        <v>1467</v>
      </c>
      <c r="E212" t="s">
        <v>1486</v>
      </c>
    </row>
    <row r="213" spans="1:5" x14ac:dyDescent="0.25">
      <c r="A213" t="s">
        <v>557</v>
      </c>
      <c r="B213" t="s">
        <v>558</v>
      </c>
      <c r="C213" t="s">
        <v>88</v>
      </c>
      <c r="D213" t="s">
        <v>1272</v>
      </c>
      <c r="E213" t="s">
        <v>88</v>
      </c>
    </row>
    <row r="214" spans="1:5" x14ac:dyDescent="0.25">
      <c r="A214" t="s">
        <v>69</v>
      </c>
      <c r="B214" t="s">
        <v>16</v>
      </c>
      <c r="C214" t="s">
        <v>653</v>
      </c>
      <c r="D214" t="s">
        <v>1467</v>
      </c>
      <c r="E214" t="s">
        <v>1532</v>
      </c>
    </row>
    <row r="215" spans="1:5" x14ac:dyDescent="0.25">
      <c r="A215" t="s">
        <v>197</v>
      </c>
      <c r="B215" t="s">
        <v>198</v>
      </c>
      <c r="C215" t="s">
        <v>88</v>
      </c>
      <c r="D215" t="s">
        <v>1272</v>
      </c>
      <c r="E215" t="s">
        <v>88</v>
      </c>
    </row>
    <row r="216" spans="1:5" x14ac:dyDescent="0.25">
      <c r="A216" t="s">
        <v>71</v>
      </c>
      <c r="B216" t="s">
        <v>22</v>
      </c>
      <c r="C216" t="s">
        <v>88</v>
      </c>
      <c r="D216" t="s">
        <v>1272</v>
      </c>
      <c r="E216" t="s">
        <v>88</v>
      </c>
    </row>
    <row r="217" spans="1:5" x14ac:dyDescent="0.25">
      <c r="A217" t="s">
        <v>559</v>
      </c>
      <c r="B217" t="s">
        <v>560</v>
      </c>
      <c r="C217" t="s">
        <v>653</v>
      </c>
      <c r="D217" t="s">
        <v>1467</v>
      </c>
      <c r="E217" t="s">
        <v>1554</v>
      </c>
    </row>
    <row r="218" spans="1:5" x14ac:dyDescent="0.25">
      <c r="A218" t="s">
        <v>561</v>
      </c>
      <c r="B218" t="s">
        <v>562</v>
      </c>
      <c r="C218" t="s">
        <v>88</v>
      </c>
      <c r="D218" t="s">
        <v>1272</v>
      </c>
      <c r="E218" t="s">
        <v>88</v>
      </c>
    </row>
    <row r="219" spans="1:5" x14ac:dyDescent="0.25">
      <c r="A219" t="s">
        <v>563</v>
      </c>
      <c r="B219" t="s">
        <v>1426</v>
      </c>
      <c r="C219" t="s">
        <v>88</v>
      </c>
      <c r="D219" t="s">
        <v>1272</v>
      </c>
      <c r="E219" t="s">
        <v>88</v>
      </c>
    </row>
    <row r="220" spans="1:5" x14ac:dyDescent="0.25">
      <c r="A220" t="s">
        <v>564</v>
      </c>
      <c r="B220" t="s">
        <v>565</v>
      </c>
      <c r="C220" t="s">
        <v>653</v>
      </c>
      <c r="D220" t="s">
        <v>1467</v>
      </c>
      <c r="E220" t="s">
        <v>1555</v>
      </c>
    </row>
    <row r="221" spans="1:5" x14ac:dyDescent="0.25">
      <c r="A221" t="s">
        <v>199</v>
      </c>
      <c r="B221" t="s">
        <v>200</v>
      </c>
      <c r="C221" t="s">
        <v>88</v>
      </c>
      <c r="D221" t="s">
        <v>1272</v>
      </c>
      <c r="E221" t="s">
        <v>88</v>
      </c>
    </row>
    <row r="222" spans="1:5" x14ac:dyDescent="0.25">
      <c r="A222" t="s">
        <v>201</v>
      </c>
      <c r="B222" t="s">
        <v>202</v>
      </c>
      <c r="C222" t="s">
        <v>88</v>
      </c>
      <c r="D222" t="s">
        <v>1272</v>
      </c>
      <c r="E222" t="s">
        <v>88</v>
      </c>
    </row>
    <row r="223" spans="1:5" x14ac:dyDescent="0.25">
      <c r="A223" t="s">
        <v>203</v>
      </c>
      <c r="B223" t="s">
        <v>204</v>
      </c>
      <c r="C223" t="s">
        <v>88</v>
      </c>
      <c r="D223" t="s">
        <v>1272</v>
      </c>
      <c r="E223" t="s">
        <v>88</v>
      </c>
    </row>
    <row r="224" spans="1:5" x14ac:dyDescent="0.25">
      <c r="A224" t="s">
        <v>296</v>
      </c>
      <c r="B224" t="s">
        <v>297</v>
      </c>
      <c r="C224" t="s">
        <v>88</v>
      </c>
      <c r="D224" t="s">
        <v>1272</v>
      </c>
      <c r="E224" t="s">
        <v>88</v>
      </c>
    </row>
    <row r="225" spans="1:5" x14ac:dyDescent="0.25">
      <c r="A225" t="s">
        <v>205</v>
      </c>
      <c r="B225" t="s">
        <v>206</v>
      </c>
      <c r="C225" t="s">
        <v>88</v>
      </c>
      <c r="D225" t="s">
        <v>1272</v>
      </c>
      <c r="E225" t="s">
        <v>88</v>
      </c>
    </row>
    <row r="226" spans="1:5" x14ac:dyDescent="0.25">
      <c r="A226" t="s">
        <v>566</v>
      </c>
      <c r="B226" t="s">
        <v>567</v>
      </c>
      <c r="C226" t="s">
        <v>88</v>
      </c>
      <c r="D226" t="s">
        <v>1272</v>
      </c>
      <c r="E226" t="s">
        <v>88</v>
      </c>
    </row>
    <row r="227" spans="1:5" x14ac:dyDescent="0.25">
      <c r="A227" t="s">
        <v>298</v>
      </c>
      <c r="B227" t="s">
        <v>299</v>
      </c>
      <c r="C227" t="s">
        <v>88</v>
      </c>
      <c r="D227" t="s">
        <v>1272</v>
      </c>
      <c r="E227" t="s">
        <v>88</v>
      </c>
    </row>
    <row r="228" spans="1:5" x14ac:dyDescent="0.25">
      <c r="A228" t="s">
        <v>1422</v>
      </c>
      <c r="B228" t="s">
        <v>1427</v>
      </c>
      <c r="C228" t="s">
        <v>88</v>
      </c>
      <c r="D228" t="s">
        <v>1272</v>
      </c>
      <c r="E228" t="s">
        <v>88</v>
      </c>
    </row>
    <row r="229" spans="1:5" x14ac:dyDescent="0.25">
      <c r="A229" t="s">
        <v>568</v>
      </c>
      <c r="B229" t="s">
        <v>569</v>
      </c>
      <c r="C229" t="s">
        <v>653</v>
      </c>
      <c r="D229" t="s">
        <v>1467</v>
      </c>
      <c r="E229" t="s">
        <v>1556</v>
      </c>
    </row>
    <row r="230" spans="1:5" x14ac:dyDescent="0.25">
      <c r="A230" t="s">
        <v>570</v>
      </c>
      <c r="B230" t="s">
        <v>571</v>
      </c>
      <c r="C230" t="s">
        <v>88</v>
      </c>
      <c r="D230" t="s">
        <v>1272</v>
      </c>
      <c r="E230" t="s">
        <v>88</v>
      </c>
    </row>
    <row r="231" spans="1:5" x14ac:dyDescent="0.25">
      <c r="A231" t="s">
        <v>207</v>
      </c>
      <c r="B231" t="s">
        <v>208</v>
      </c>
      <c r="C231" t="s">
        <v>88</v>
      </c>
      <c r="D231" t="s">
        <v>1272</v>
      </c>
      <c r="E231" t="s">
        <v>88</v>
      </c>
    </row>
    <row r="232" spans="1:5" x14ac:dyDescent="0.25">
      <c r="A232" t="s">
        <v>572</v>
      </c>
      <c r="B232" t="s">
        <v>573</v>
      </c>
      <c r="C232" t="s">
        <v>88</v>
      </c>
      <c r="D232" t="s">
        <v>1272</v>
      </c>
      <c r="E232" t="s">
        <v>88</v>
      </c>
    </row>
    <row r="233" spans="1:5" x14ac:dyDescent="0.25">
      <c r="A233" t="s">
        <v>82</v>
      </c>
      <c r="B233" t="s">
        <v>51</v>
      </c>
      <c r="C233" t="s">
        <v>88</v>
      </c>
      <c r="D233" t="s">
        <v>1272</v>
      </c>
      <c r="E233" t="s">
        <v>88</v>
      </c>
    </row>
    <row r="234" spans="1:5" x14ac:dyDescent="0.25">
      <c r="A234" t="s">
        <v>81</v>
      </c>
      <c r="B234" t="s">
        <v>47</v>
      </c>
      <c r="C234" t="s">
        <v>88</v>
      </c>
      <c r="D234" t="s">
        <v>1272</v>
      </c>
      <c r="E234" t="s">
        <v>88</v>
      </c>
    </row>
    <row r="235" spans="1:5" x14ac:dyDescent="0.25">
      <c r="A235" t="s">
        <v>59</v>
      </c>
      <c r="B235" t="s">
        <v>23</v>
      </c>
      <c r="C235" t="s">
        <v>653</v>
      </c>
      <c r="D235" t="s">
        <v>1467</v>
      </c>
      <c r="E235" t="s">
        <v>1557</v>
      </c>
    </row>
    <row r="236" spans="1:5" x14ac:dyDescent="0.25">
      <c r="A236" t="s">
        <v>300</v>
      </c>
      <c r="B236" t="s">
        <v>301</v>
      </c>
      <c r="C236" t="s">
        <v>88</v>
      </c>
      <c r="D236" t="s">
        <v>1272</v>
      </c>
      <c r="E236" t="s">
        <v>88</v>
      </c>
    </row>
    <row r="237" spans="1:5" x14ac:dyDescent="0.25">
      <c r="A237" t="s">
        <v>574</v>
      </c>
      <c r="B237" t="s">
        <v>575</v>
      </c>
      <c r="C237" t="s">
        <v>88</v>
      </c>
      <c r="D237" t="s">
        <v>1272</v>
      </c>
      <c r="E237" t="s">
        <v>88</v>
      </c>
    </row>
    <row r="238" spans="1:5" x14ac:dyDescent="0.25">
      <c r="A238" t="s">
        <v>576</v>
      </c>
      <c r="B238" t="s">
        <v>577</v>
      </c>
      <c r="C238" t="s">
        <v>653</v>
      </c>
      <c r="D238" t="s">
        <v>1467</v>
      </c>
      <c r="E238" t="s">
        <v>1558</v>
      </c>
    </row>
    <row r="239" spans="1:5" x14ac:dyDescent="0.25">
      <c r="A239" t="s">
        <v>578</v>
      </c>
      <c r="B239" t="s">
        <v>579</v>
      </c>
      <c r="C239" t="s">
        <v>88</v>
      </c>
      <c r="D239" t="s">
        <v>1272</v>
      </c>
      <c r="E239" t="s">
        <v>88</v>
      </c>
    </row>
    <row r="240" spans="1:5" x14ac:dyDescent="0.25">
      <c r="A240" t="s">
        <v>209</v>
      </c>
      <c r="B240" t="s">
        <v>210</v>
      </c>
      <c r="C240" t="s">
        <v>88</v>
      </c>
      <c r="D240" t="s">
        <v>1272</v>
      </c>
      <c r="E240" t="s">
        <v>88</v>
      </c>
    </row>
    <row r="241" spans="1:5" x14ac:dyDescent="0.25">
      <c r="A241" t="s">
        <v>580</v>
      </c>
      <c r="B241" t="s">
        <v>581</v>
      </c>
      <c r="C241" t="s">
        <v>653</v>
      </c>
      <c r="D241" t="s">
        <v>1467</v>
      </c>
      <c r="E241" t="s">
        <v>1559</v>
      </c>
    </row>
    <row r="242" spans="1:5" x14ac:dyDescent="0.25">
      <c r="A242" t="s">
        <v>211</v>
      </c>
      <c r="B242" t="s">
        <v>212</v>
      </c>
      <c r="C242" t="s">
        <v>88</v>
      </c>
      <c r="D242" t="s">
        <v>1272</v>
      </c>
      <c r="E242" t="s">
        <v>88</v>
      </c>
    </row>
    <row r="243" spans="1:5" x14ac:dyDescent="0.25">
      <c r="A243" t="s">
        <v>302</v>
      </c>
      <c r="B243" t="s">
        <v>303</v>
      </c>
      <c r="C243" t="s">
        <v>88</v>
      </c>
      <c r="D243" t="s">
        <v>1272</v>
      </c>
      <c r="E243" t="s">
        <v>88</v>
      </c>
    </row>
    <row r="244" spans="1:5" x14ac:dyDescent="0.25">
      <c r="A244" t="s">
        <v>213</v>
      </c>
      <c r="B244" t="s">
        <v>214</v>
      </c>
      <c r="C244" t="s">
        <v>88</v>
      </c>
      <c r="D244" t="s">
        <v>1272</v>
      </c>
      <c r="E244" t="s">
        <v>88</v>
      </c>
    </row>
    <row r="245" spans="1:5" x14ac:dyDescent="0.25">
      <c r="A245" t="s">
        <v>215</v>
      </c>
      <c r="B245" t="s">
        <v>216</v>
      </c>
      <c r="C245" t="s">
        <v>88</v>
      </c>
      <c r="D245" t="s">
        <v>1272</v>
      </c>
      <c r="E245" t="s">
        <v>88</v>
      </c>
    </row>
    <row r="246" spans="1:5" x14ac:dyDescent="0.25">
      <c r="A246" t="s">
        <v>217</v>
      </c>
      <c r="B246" t="s">
        <v>218</v>
      </c>
      <c r="C246" t="s">
        <v>88</v>
      </c>
      <c r="D246" t="s">
        <v>1272</v>
      </c>
      <c r="E246" t="s">
        <v>88</v>
      </c>
    </row>
    <row r="247" spans="1:5" x14ac:dyDescent="0.25">
      <c r="A247" t="s">
        <v>582</v>
      </c>
      <c r="B247" t="s">
        <v>583</v>
      </c>
      <c r="C247" t="s">
        <v>653</v>
      </c>
      <c r="D247" t="s">
        <v>1467</v>
      </c>
      <c r="E247" t="s">
        <v>1560</v>
      </c>
    </row>
    <row r="248" spans="1:5" x14ac:dyDescent="0.25">
      <c r="A248" t="s">
        <v>584</v>
      </c>
      <c r="B248" t="s">
        <v>585</v>
      </c>
      <c r="C248" t="s">
        <v>653</v>
      </c>
      <c r="D248" t="s">
        <v>1467</v>
      </c>
      <c r="E248" t="s">
        <v>1487</v>
      </c>
    </row>
    <row r="249" spans="1:5" x14ac:dyDescent="0.25">
      <c r="A249" t="s">
        <v>219</v>
      </c>
      <c r="B249" t="s">
        <v>220</v>
      </c>
      <c r="C249" t="s">
        <v>88</v>
      </c>
      <c r="D249" t="s">
        <v>1272</v>
      </c>
      <c r="E249" t="s">
        <v>88</v>
      </c>
    </row>
    <row r="250" spans="1:5" x14ac:dyDescent="0.25">
      <c r="A250" t="s">
        <v>221</v>
      </c>
      <c r="B250" t="s">
        <v>222</v>
      </c>
      <c r="C250" t="s">
        <v>88</v>
      </c>
      <c r="D250" t="s">
        <v>1272</v>
      </c>
      <c r="E250" t="s">
        <v>88</v>
      </c>
    </row>
    <row r="251" spans="1:5" x14ac:dyDescent="0.25">
      <c r="A251" t="s">
        <v>586</v>
      </c>
      <c r="B251" t="s">
        <v>587</v>
      </c>
      <c r="C251" t="s">
        <v>653</v>
      </c>
      <c r="D251" t="s">
        <v>1467</v>
      </c>
      <c r="E251" t="s">
        <v>1552</v>
      </c>
    </row>
    <row r="252" spans="1:5" x14ac:dyDescent="0.25">
      <c r="A252" t="s">
        <v>61</v>
      </c>
      <c r="B252" t="s">
        <v>31</v>
      </c>
      <c r="C252" t="s">
        <v>88</v>
      </c>
      <c r="D252" t="s">
        <v>1272</v>
      </c>
      <c r="E252" t="s">
        <v>88</v>
      </c>
    </row>
    <row r="253" spans="1:5" x14ac:dyDescent="0.25">
      <c r="A253" t="s">
        <v>78</v>
      </c>
      <c r="B253" t="s">
        <v>36</v>
      </c>
      <c r="C253" t="s">
        <v>88</v>
      </c>
      <c r="D253" t="s">
        <v>1272</v>
      </c>
      <c r="E253" t="s">
        <v>88</v>
      </c>
    </row>
    <row r="254" spans="1:5" x14ac:dyDescent="0.25">
      <c r="A254" t="s">
        <v>588</v>
      </c>
      <c r="B254" t="s">
        <v>589</v>
      </c>
      <c r="C254" t="s">
        <v>653</v>
      </c>
      <c r="D254" t="s">
        <v>1467</v>
      </c>
      <c r="E254" t="s">
        <v>1561</v>
      </c>
    </row>
    <row r="255" spans="1:5" x14ac:dyDescent="0.25">
      <c r="A255" t="s">
        <v>590</v>
      </c>
      <c r="B255" t="s">
        <v>591</v>
      </c>
      <c r="C255" t="s">
        <v>88</v>
      </c>
      <c r="D255" t="s">
        <v>1272</v>
      </c>
      <c r="E255" t="s">
        <v>88</v>
      </c>
    </row>
    <row r="256" spans="1:5" x14ac:dyDescent="0.25">
      <c r="A256" t="s">
        <v>223</v>
      </c>
      <c r="B256" t="s">
        <v>224</v>
      </c>
      <c r="C256" t="s">
        <v>88</v>
      </c>
      <c r="D256" t="s">
        <v>1272</v>
      </c>
      <c r="E256" t="s">
        <v>88</v>
      </c>
    </row>
    <row r="257" spans="1:5" x14ac:dyDescent="0.25">
      <c r="A257" t="s">
        <v>225</v>
      </c>
      <c r="B257" t="s">
        <v>226</v>
      </c>
      <c r="C257" t="s">
        <v>88</v>
      </c>
      <c r="D257" t="s">
        <v>1272</v>
      </c>
      <c r="E257" t="s">
        <v>88</v>
      </c>
    </row>
    <row r="258" spans="1:5" x14ac:dyDescent="0.25">
      <c r="A258" t="s">
        <v>592</v>
      </c>
      <c r="B258" t="s">
        <v>593</v>
      </c>
      <c r="C258" t="s">
        <v>88</v>
      </c>
      <c r="D258" t="s">
        <v>1272</v>
      </c>
      <c r="E258" t="s">
        <v>88</v>
      </c>
    </row>
    <row r="259" spans="1:5" x14ac:dyDescent="0.25">
      <c r="A259" t="s">
        <v>227</v>
      </c>
      <c r="B259" t="s">
        <v>228</v>
      </c>
      <c r="C259" t="s">
        <v>88</v>
      </c>
      <c r="D259" t="s">
        <v>1272</v>
      </c>
      <c r="E259" t="s">
        <v>88</v>
      </c>
    </row>
    <row r="260" spans="1:5" x14ac:dyDescent="0.25">
      <c r="A260" t="s">
        <v>229</v>
      </c>
      <c r="B260" t="s">
        <v>230</v>
      </c>
      <c r="C260" t="s">
        <v>88</v>
      </c>
      <c r="D260" t="s">
        <v>1272</v>
      </c>
      <c r="E260" t="s">
        <v>88</v>
      </c>
    </row>
    <row r="261" spans="1:5" x14ac:dyDescent="0.25">
      <c r="A261" t="s">
        <v>594</v>
      </c>
      <c r="B261" t="s">
        <v>595</v>
      </c>
      <c r="C261" t="s">
        <v>88</v>
      </c>
      <c r="D261" t="s">
        <v>1272</v>
      </c>
      <c r="E261" t="s">
        <v>88</v>
      </c>
    </row>
    <row r="262" spans="1:5" x14ac:dyDescent="0.25">
      <c r="A262" t="s">
        <v>596</v>
      </c>
      <c r="B262" t="s">
        <v>597</v>
      </c>
      <c r="C262" t="s">
        <v>653</v>
      </c>
      <c r="D262" t="s">
        <v>1467</v>
      </c>
      <c r="E262" t="s">
        <v>1563</v>
      </c>
    </row>
    <row r="263" spans="1:5" x14ac:dyDescent="0.25">
      <c r="A263" t="s">
        <v>231</v>
      </c>
      <c r="B263" t="s">
        <v>232</v>
      </c>
      <c r="C263" t="s">
        <v>88</v>
      </c>
      <c r="D263" t="s">
        <v>1272</v>
      </c>
      <c r="E263" t="s">
        <v>88</v>
      </c>
    </row>
    <row r="264" spans="1:5" x14ac:dyDescent="0.25">
      <c r="A264" t="s">
        <v>598</v>
      </c>
      <c r="B264" t="s">
        <v>599</v>
      </c>
      <c r="C264" t="s">
        <v>653</v>
      </c>
      <c r="D264" t="s">
        <v>1467</v>
      </c>
      <c r="E264" t="s">
        <v>1507</v>
      </c>
    </row>
    <row r="265" spans="1:5" x14ac:dyDescent="0.25">
      <c r="A265" t="s">
        <v>72</v>
      </c>
      <c r="B265" t="s">
        <v>26</v>
      </c>
      <c r="C265" t="s">
        <v>88</v>
      </c>
      <c r="D265" t="s">
        <v>1272</v>
      </c>
      <c r="E265" t="s">
        <v>88</v>
      </c>
    </row>
    <row r="266" spans="1:5" x14ac:dyDescent="0.25">
      <c r="A266" t="s">
        <v>73</v>
      </c>
      <c r="B266" t="s">
        <v>28</v>
      </c>
      <c r="C266" t="s">
        <v>88</v>
      </c>
      <c r="D266" t="s">
        <v>1272</v>
      </c>
      <c r="E266" t="s">
        <v>88</v>
      </c>
    </row>
    <row r="267" spans="1:5" x14ac:dyDescent="0.25">
      <c r="A267" t="s">
        <v>233</v>
      </c>
      <c r="B267" t="s">
        <v>234</v>
      </c>
      <c r="C267" t="s">
        <v>88</v>
      </c>
      <c r="D267" t="s">
        <v>1272</v>
      </c>
      <c r="E267" t="s">
        <v>88</v>
      </c>
    </row>
    <row r="268" spans="1:5" x14ac:dyDescent="0.25">
      <c r="A268" t="s">
        <v>600</v>
      </c>
      <c r="B268" t="s">
        <v>601</v>
      </c>
      <c r="C268" t="s">
        <v>653</v>
      </c>
      <c r="D268" t="s">
        <v>1467</v>
      </c>
      <c r="E268" t="s">
        <v>1564</v>
      </c>
    </row>
    <row r="269" spans="1:5" x14ac:dyDescent="0.25">
      <c r="A269" t="s">
        <v>67</v>
      </c>
      <c r="B269" t="s">
        <v>12</v>
      </c>
      <c r="C269" t="s">
        <v>653</v>
      </c>
      <c r="D269" t="s">
        <v>1467</v>
      </c>
      <c r="E269" t="s">
        <v>1500</v>
      </c>
    </row>
    <row r="270" spans="1:5" x14ac:dyDescent="0.25">
      <c r="A270" t="s">
        <v>62</v>
      </c>
      <c r="B270" t="s">
        <v>38</v>
      </c>
      <c r="C270" t="s">
        <v>88</v>
      </c>
      <c r="D270" t="s">
        <v>1272</v>
      </c>
      <c r="E270" t="s">
        <v>88</v>
      </c>
    </row>
    <row r="271" spans="1:5" x14ac:dyDescent="0.25">
      <c r="A271" t="s">
        <v>602</v>
      </c>
      <c r="B271" t="s">
        <v>603</v>
      </c>
      <c r="C271" t="s">
        <v>653</v>
      </c>
      <c r="D271" t="s">
        <v>1467</v>
      </c>
      <c r="E271" t="s">
        <v>1488</v>
      </c>
    </row>
    <row r="272" spans="1:5" x14ac:dyDescent="0.25">
      <c r="A272" t="s">
        <v>235</v>
      </c>
      <c r="B272" t="s">
        <v>236</v>
      </c>
      <c r="C272" t="s">
        <v>88</v>
      </c>
      <c r="D272" t="s">
        <v>1272</v>
      </c>
      <c r="E272" t="s">
        <v>88</v>
      </c>
    </row>
    <row r="273" spans="1:5" x14ac:dyDescent="0.25">
      <c r="A273" t="s">
        <v>237</v>
      </c>
      <c r="B273" t="s">
        <v>238</v>
      </c>
      <c r="C273" t="s">
        <v>88</v>
      </c>
      <c r="D273" t="s">
        <v>1272</v>
      </c>
      <c r="E273" t="s">
        <v>88</v>
      </c>
    </row>
    <row r="274" spans="1:5" x14ac:dyDescent="0.25">
      <c r="A274" t="s">
        <v>304</v>
      </c>
      <c r="B274" t="s">
        <v>305</v>
      </c>
      <c r="C274" t="s">
        <v>88</v>
      </c>
      <c r="D274" t="s">
        <v>1272</v>
      </c>
      <c r="E274" t="s">
        <v>88</v>
      </c>
    </row>
    <row r="275" spans="1:5" x14ac:dyDescent="0.25">
      <c r="A275" t="s">
        <v>239</v>
      </c>
      <c r="B275" t="s">
        <v>240</v>
      </c>
      <c r="C275" t="s">
        <v>88</v>
      </c>
      <c r="D275" t="s">
        <v>1272</v>
      </c>
      <c r="E275" t="s">
        <v>88</v>
      </c>
    </row>
    <row r="276" spans="1:5" x14ac:dyDescent="0.25">
      <c r="A276" t="s">
        <v>241</v>
      </c>
      <c r="B276" t="s">
        <v>242</v>
      </c>
      <c r="C276" t="s">
        <v>88</v>
      </c>
      <c r="D276" t="s">
        <v>1272</v>
      </c>
      <c r="E276" t="s">
        <v>88</v>
      </c>
    </row>
    <row r="277" spans="1:5" x14ac:dyDescent="0.25">
      <c r="A277" t="s">
        <v>604</v>
      </c>
      <c r="B277" t="s">
        <v>605</v>
      </c>
      <c r="C277" t="s">
        <v>653</v>
      </c>
      <c r="D277" t="s">
        <v>1467</v>
      </c>
      <c r="E277" t="s">
        <v>1565</v>
      </c>
    </row>
    <row r="278" spans="1:5" x14ac:dyDescent="0.25">
      <c r="A278" t="s">
        <v>606</v>
      </c>
      <c r="B278" t="s">
        <v>607</v>
      </c>
      <c r="C278" t="s">
        <v>653</v>
      </c>
      <c r="D278" t="s">
        <v>1467</v>
      </c>
      <c r="E278" t="s">
        <v>1566</v>
      </c>
    </row>
    <row r="279" spans="1:5" x14ac:dyDescent="0.25">
      <c r="A279" t="s">
        <v>243</v>
      </c>
      <c r="B279" t="s">
        <v>244</v>
      </c>
      <c r="C279" t="s">
        <v>88</v>
      </c>
      <c r="D279" t="s">
        <v>1272</v>
      </c>
      <c r="E279" t="s">
        <v>88</v>
      </c>
    </row>
    <row r="280" spans="1:5" x14ac:dyDescent="0.25">
      <c r="A280" t="s">
        <v>245</v>
      </c>
      <c r="B280" t="s">
        <v>246</v>
      </c>
      <c r="C280" t="s">
        <v>88</v>
      </c>
      <c r="D280" t="s">
        <v>1272</v>
      </c>
      <c r="E280" t="s">
        <v>88</v>
      </c>
    </row>
    <row r="281" spans="1:5" x14ac:dyDescent="0.25">
      <c r="A281" t="s">
        <v>608</v>
      </c>
      <c r="B281" t="s">
        <v>609</v>
      </c>
      <c r="C281" t="s">
        <v>653</v>
      </c>
      <c r="D281" t="s">
        <v>1467</v>
      </c>
      <c r="E281" t="s">
        <v>1548</v>
      </c>
    </row>
    <row r="282" spans="1:5" x14ac:dyDescent="0.25">
      <c r="A282" t="s">
        <v>60</v>
      </c>
      <c r="B282" t="s">
        <v>42</v>
      </c>
      <c r="C282" t="s">
        <v>653</v>
      </c>
      <c r="D282" t="s">
        <v>1467</v>
      </c>
      <c r="E282" t="s">
        <v>1562</v>
      </c>
    </row>
    <row r="283" spans="1:5" x14ac:dyDescent="0.25">
      <c r="A283" t="s">
        <v>247</v>
      </c>
      <c r="B283" t="s">
        <v>248</v>
      </c>
      <c r="C283" t="s">
        <v>88</v>
      </c>
      <c r="D283" t="s">
        <v>1272</v>
      </c>
      <c r="E283" t="s">
        <v>88</v>
      </c>
    </row>
    <row r="284" spans="1:5" x14ac:dyDescent="0.25">
      <c r="A284" t="s">
        <v>610</v>
      </c>
      <c r="B284" t="s">
        <v>611</v>
      </c>
      <c r="C284" t="s">
        <v>653</v>
      </c>
      <c r="D284" t="s">
        <v>1467</v>
      </c>
      <c r="E284" t="s">
        <v>1567</v>
      </c>
    </row>
    <row r="285" spans="1:5" x14ac:dyDescent="0.25">
      <c r="A285" t="s">
        <v>249</v>
      </c>
      <c r="B285" t="s">
        <v>250</v>
      </c>
      <c r="C285" t="s">
        <v>88</v>
      </c>
      <c r="D285" t="s">
        <v>1272</v>
      </c>
      <c r="E285" t="s">
        <v>88</v>
      </c>
    </row>
    <row r="286" spans="1:5" x14ac:dyDescent="0.25">
      <c r="A286" t="s">
        <v>612</v>
      </c>
      <c r="B286" t="s">
        <v>613</v>
      </c>
      <c r="C286" t="s">
        <v>653</v>
      </c>
      <c r="D286" t="s">
        <v>1467</v>
      </c>
      <c r="E286" t="s">
        <v>1568</v>
      </c>
    </row>
    <row r="287" spans="1:5" x14ac:dyDescent="0.25">
      <c r="A287" t="s">
        <v>63</v>
      </c>
      <c r="B287" t="s">
        <v>48</v>
      </c>
      <c r="C287" t="s">
        <v>88</v>
      </c>
      <c r="D287" t="s">
        <v>1272</v>
      </c>
      <c r="E287" t="s">
        <v>88</v>
      </c>
    </row>
    <row r="288" spans="1:5" x14ac:dyDescent="0.25">
      <c r="A288" t="s">
        <v>251</v>
      </c>
      <c r="B288" t="s">
        <v>252</v>
      </c>
      <c r="C288" t="s">
        <v>88</v>
      </c>
      <c r="D288" t="s">
        <v>1272</v>
      </c>
      <c r="E288" t="s">
        <v>88</v>
      </c>
    </row>
    <row r="289" spans="1:5" x14ac:dyDescent="0.25">
      <c r="A289" t="s">
        <v>614</v>
      </c>
      <c r="B289" t="s">
        <v>615</v>
      </c>
      <c r="C289" t="s">
        <v>653</v>
      </c>
      <c r="D289" t="s">
        <v>1467</v>
      </c>
      <c r="E289" t="s">
        <v>1489</v>
      </c>
    </row>
    <row r="290" spans="1:5" x14ac:dyDescent="0.25">
      <c r="A290" t="s">
        <v>616</v>
      </c>
      <c r="B290" t="s">
        <v>617</v>
      </c>
      <c r="C290" t="s">
        <v>653</v>
      </c>
      <c r="D290" t="s">
        <v>1467</v>
      </c>
      <c r="E290" t="s">
        <v>1569</v>
      </c>
    </row>
    <row r="291" spans="1:5" x14ac:dyDescent="0.25">
      <c r="A291" t="s">
        <v>618</v>
      </c>
      <c r="B291" t="s">
        <v>619</v>
      </c>
      <c r="C291" t="s">
        <v>88</v>
      </c>
      <c r="D291" t="s">
        <v>1272</v>
      </c>
      <c r="E291" t="s">
        <v>88</v>
      </c>
    </row>
    <row r="292" spans="1:5" x14ac:dyDescent="0.25">
      <c r="A292" t="s">
        <v>620</v>
      </c>
      <c r="B292" t="s">
        <v>1399</v>
      </c>
      <c r="C292" t="s">
        <v>653</v>
      </c>
      <c r="D292" t="s">
        <v>1467</v>
      </c>
      <c r="E292" t="s">
        <v>1570</v>
      </c>
    </row>
    <row r="293" spans="1:5" x14ac:dyDescent="0.25">
      <c r="A293" t="s">
        <v>621</v>
      </c>
      <c r="B293" t="s">
        <v>622</v>
      </c>
      <c r="C293" t="s">
        <v>653</v>
      </c>
      <c r="D293" t="s">
        <v>1467</v>
      </c>
      <c r="E293" t="s">
        <v>1571</v>
      </c>
    </row>
    <row r="294" spans="1:5" x14ac:dyDescent="0.25">
      <c r="A294" t="s">
        <v>623</v>
      </c>
      <c r="B294" t="s">
        <v>624</v>
      </c>
      <c r="C294" t="s">
        <v>653</v>
      </c>
      <c r="D294" t="s">
        <v>1467</v>
      </c>
      <c r="E294" t="s">
        <v>1572</v>
      </c>
    </row>
    <row r="295" spans="1:5" x14ac:dyDescent="0.25">
      <c r="A295" t="s">
        <v>253</v>
      </c>
      <c r="B295" t="s">
        <v>254</v>
      </c>
      <c r="C295" t="s">
        <v>88</v>
      </c>
      <c r="D295" t="s">
        <v>1272</v>
      </c>
      <c r="E295" t="s">
        <v>88</v>
      </c>
    </row>
    <row r="296" spans="1:5" x14ac:dyDescent="0.25">
      <c r="A296" t="s">
        <v>625</v>
      </c>
      <c r="B296" t="s">
        <v>626</v>
      </c>
      <c r="C296" t="s">
        <v>88</v>
      </c>
      <c r="D296" t="s">
        <v>1272</v>
      </c>
      <c r="E296" t="s">
        <v>88</v>
      </c>
    </row>
    <row r="297" spans="1:5" x14ac:dyDescent="0.25">
      <c r="A297" t="s">
        <v>627</v>
      </c>
      <c r="B297" t="s">
        <v>628</v>
      </c>
      <c r="C297" t="s">
        <v>88</v>
      </c>
      <c r="D297" t="s">
        <v>1272</v>
      </c>
      <c r="E297" t="s">
        <v>88</v>
      </c>
    </row>
    <row r="298" spans="1:5" x14ac:dyDescent="0.25">
      <c r="A298" t="s">
        <v>629</v>
      </c>
      <c r="B298" t="s">
        <v>630</v>
      </c>
      <c r="C298" t="s">
        <v>653</v>
      </c>
      <c r="D298" t="s">
        <v>1467</v>
      </c>
      <c r="E298" t="s">
        <v>1573</v>
      </c>
    </row>
    <row r="299" spans="1:5" x14ac:dyDescent="0.25">
      <c r="A299" t="s">
        <v>64</v>
      </c>
      <c r="B299" t="s">
        <v>1390</v>
      </c>
      <c r="C299" t="s">
        <v>88</v>
      </c>
      <c r="D299" t="s">
        <v>1272</v>
      </c>
      <c r="E299" t="s">
        <v>88</v>
      </c>
    </row>
    <row r="300" spans="1:5" x14ac:dyDescent="0.25">
      <c r="A300" t="s">
        <v>306</v>
      </c>
      <c r="B300" t="s">
        <v>1386</v>
      </c>
      <c r="C300" t="s">
        <v>88</v>
      </c>
      <c r="D300" t="s">
        <v>1272</v>
      </c>
      <c r="E300" t="s">
        <v>88</v>
      </c>
    </row>
    <row r="301" spans="1:5" x14ac:dyDescent="0.25">
      <c r="A301" t="s">
        <v>255</v>
      </c>
      <c r="B301" t="s">
        <v>1385</v>
      </c>
      <c r="C301" t="s">
        <v>88</v>
      </c>
      <c r="D301" t="s">
        <v>1272</v>
      </c>
      <c r="E301" t="s">
        <v>88</v>
      </c>
    </row>
    <row r="302" spans="1:5" x14ac:dyDescent="0.25">
      <c r="A302" t="s">
        <v>68</v>
      </c>
      <c r="B302" t="s">
        <v>1383</v>
      </c>
      <c r="C302" t="s">
        <v>88</v>
      </c>
      <c r="D302" t="s">
        <v>1272</v>
      </c>
      <c r="E302" t="s">
        <v>88</v>
      </c>
    </row>
    <row r="303" spans="1:5" x14ac:dyDescent="0.25">
      <c r="A303" t="s">
        <v>631</v>
      </c>
      <c r="B303" t="s">
        <v>632</v>
      </c>
      <c r="C303" t="s">
        <v>653</v>
      </c>
      <c r="D303" t="s">
        <v>1467</v>
      </c>
      <c r="E303" t="s">
        <v>1574</v>
      </c>
    </row>
    <row r="304" spans="1:5" x14ac:dyDescent="0.25">
      <c r="A304" t="s">
        <v>256</v>
      </c>
      <c r="B304" t="s">
        <v>257</v>
      </c>
      <c r="C304" t="s">
        <v>88</v>
      </c>
      <c r="D304" t="s">
        <v>1272</v>
      </c>
      <c r="E304" t="s">
        <v>88</v>
      </c>
    </row>
    <row r="305" spans="1:5" x14ac:dyDescent="0.25">
      <c r="A305" t="s">
        <v>307</v>
      </c>
      <c r="B305" t="s">
        <v>308</v>
      </c>
      <c r="C305" t="s">
        <v>88</v>
      </c>
      <c r="D305" t="s">
        <v>1272</v>
      </c>
      <c r="E305" t="s">
        <v>88</v>
      </c>
    </row>
    <row r="306" spans="1:5" x14ac:dyDescent="0.25">
      <c r="A306" t="s">
        <v>70</v>
      </c>
      <c r="B306" t="s">
        <v>1396</v>
      </c>
      <c r="C306" t="s">
        <v>653</v>
      </c>
      <c r="D306" t="s">
        <v>1467</v>
      </c>
      <c r="E306" t="s">
        <v>1510</v>
      </c>
    </row>
    <row r="307" spans="1:5" x14ac:dyDescent="0.25">
      <c r="A307" t="s">
        <v>258</v>
      </c>
      <c r="B307" t="s">
        <v>259</v>
      </c>
      <c r="C307" t="s">
        <v>88</v>
      </c>
      <c r="D307" t="s">
        <v>1272</v>
      </c>
      <c r="E307" t="s">
        <v>88</v>
      </c>
    </row>
    <row r="308" spans="1:5" x14ac:dyDescent="0.25">
      <c r="A308" t="s">
        <v>633</v>
      </c>
      <c r="B308" t="s">
        <v>634</v>
      </c>
      <c r="C308" t="s">
        <v>88</v>
      </c>
      <c r="D308" t="s">
        <v>1272</v>
      </c>
      <c r="E308" t="s">
        <v>88</v>
      </c>
    </row>
    <row r="309" spans="1:5" x14ac:dyDescent="0.25">
      <c r="A309" t="s">
        <v>635</v>
      </c>
      <c r="B309" t="s">
        <v>636</v>
      </c>
      <c r="C309" t="s">
        <v>88</v>
      </c>
      <c r="D309" t="s">
        <v>1272</v>
      </c>
      <c r="E309" t="s">
        <v>88</v>
      </c>
    </row>
    <row r="310" spans="1:5" x14ac:dyDescent="0.25">
      <c r="A310" t="s">
        <v>637</v>
      </c>
      <c r="B310" t="s">
        <v>638</v>
      </c>
      <c r="C310" t="s">
        <v>88</v>
      </c>
      <c r="D310" t="s">
        <v>1272</v>
      </c>
      <c r="E310" t="s">
        <v>88</v>
      </c>
    </row>
    <row r="311" spans="1:5" x14ac:dyDescent="0.25">
      <c r="A311" t="s">
        <v>639</v>
      </c>
      <c r="B311" t="s">
        <v>640</v>
      </c>
      <c r="C311" t="s">
        <v>653</v>
      </c>
      <c r="D311" t="s">
        <v>1467</v>
      </c>
      <c r="E311" t="s">
        <v>1575</v>
      </c>
    </row>
    <row r="312" spans="1:5" x14ac:dyDescent="0.25">
      <c r="A312" t="s">
        <v>641</v>
      </c>
      <c r="B312" t="s">
        <v>642</v>
      </c>
      <c r="C312" t="s">
        <v>653</v>
      </c>
      <c r="D312" t="s">
        <v>1467</v>
      </c>
      <c r="E312" t="s">
        <v>1553</v>
      </c>
    </row>
    <row r="313" spans="1:5" x14ac:dyDescent="0.25">
      <c r="A313" t="s">
        <v>643</v>
      </c>
      <c r="B313" t="s">
        <v>644</v>
      </c>
      <c r="C313" t="s">
        <v>88</v>
      </c>
      <c r="D313" t="s">
        <v>1272</v>
      </c>
      <c r="E313" t="s">
        <v>88</v>
      </c>
    </row>
    <row r="314" spans="1:5" x14ac:dyDescent="0.25">
      <c r="A314" t="s">
        <v>645</v>
      </c>
      <c r="B314" t="s">
        <v>646</v>
      </c>
      <c r="C314" t="s">
        <v>653</v>
      </c>
      <c r="D314" t="s">
        <v>1467</v>
      </c>
      <c r="E314" t="s">
        <v>1576</v>
      </c>
    </row>
    <row r="315" spans="1:5" x14ac:dyDescent="0.25">
      <c r="A315" t="s">
        <v>647</v>
      </c>
      <c r="B315" t="s">
        <v>648</v>
      </c>
      <c r="C315" t="s">
        <v>88</v>
      </c>
      <c r="D315" t="s">
        <v>1272</v>
      </c>
      <c r="E315" t="s">
        <v>88</v>
      </c>
    </row>
    <row r="316" spans="1:5" x14ac:dyDescent="0.25">
      <c r="A316" t="s">
        <v>649</v>
      </c>
      <c r="B316" t="s">
        <v>650</v>
      </c>
      <c r="C316" t="s">
        <v>88</v>
      </c>
      <c r="D316" t="s">
        <v>1272</v>
      </c>
      <c r="E316" t="s">
        <v>88</v>
      </c>
    </row>
    <row r="317" spans="1:5" x14ac:dyDescent="0.25">
      <c r="D317" t="s">
        <v>1272</v>
      </c>
    </row>
  </sheetData>
  <sheetProtection algorithmName="SHA-512" hashValue="IznWdm76pJp3vrGstegAWrrulxJLfSReeUAq6atdH35UXXxNvk82b/vXKvyb1B6Ldfk4xKRCdow2f6WMW+2ueQ==" saltValue="Qzi+/nKDxUSB2GA8yzYEMw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C2383-2AEC-469C-A5AF-4DD061F0E81C}">
  <sheetPr codeName="Sheet2">
    <tabColor rgb="FFFFFF00"/>
  </sheetPr>
  <dimension ref="A1:Y23"/>
  <sheetViews>
    <sheetView workbookViewId="0">
      <selection activeCell="B19" sqref="B19"/>
    </sheetView>
  </sheetViews>
  <sheetFormatPr defaultRowHeight="15" x14ac:dyDescent="0.25"/>
  <cols>
    <col min="1" max="1" width="45.7109375" customWidth="1"/>
    <col min="2" max="2" width="67.85546875" bestFit="1" customWidth="1"/>
    <col min="3" max="3" width="13.85546875" bestFit="1" customWidth="1"/>
    <col min="4" max="4" width="16.28515625" bestFit="1" customWidth="1"/>
    <col min="5" max="5" width="26.85546875" bestFit="1" customWidth="1"/>
    <col min="6" max="6" width="20.42578125" bestFit="1" customWidth="1"/>
    <col min="7" max="7" width="15" bestFit="1" customWidth="1"/>
    <col min="8" max="8" width="20.42578125" bestFit="1" customWidth="1"/>
    <col min="9" max="9" width="54.5703125" bestFit="1" customWidth="1"/>
    <col min="10" max="12" width="62.140625" bestFit="1" customWidth="1"/>
    <col min="13" max="13" width="38.85546875" bestFit="1" customWidth="1"/>
    <col min="14" max="14" width="32.42578125" bestFit="1" customWidth="1"/>
    <col min="15" max="15" width="52.7109375" bestFit="1" customWidth="1"/>
    <col min="16" max="16" width="20.42578125" bestFit="1" customWidth="1"/>
    <col min="17" max="21" width="62.140625" bestFit="1" customWidth="1"/>
    <col min="22" max="22" width="16.28515625" bestFit="1" customWidth="1"/>
    <col min="23" max="23" width="16.85546875" bestFit="1" customWidth="1"/>
    <col min="24" max="24" width="20.42578125" bestFit="1" customWidth="1"/>
    <col min="25" max="25" width="15" bestFit="1" customWidth="1"/>
    <col min="26" max="26" width="20.42578125" bestFit="1" customWidth="1"/>
    <col min="27" max="28" width="62.140625" bestFit="1" customWidth="1"/>
  </cols>
  <sheetData>
    <row r="1" spans="1:25" x14ac:dyDescent="0.25">
      <c r="B1" t="s">
        <v>1273</v>
      </c>
      <c r="C1" t="s">
        <v>1273</v>
      </c>
      <c r="D1" t="s">
        <v>1391</v>
      </c>
      <c r="E1" t="s">
        <v>1392</v>
      </c>
      <c r="F1" t="s">
        <v>1393</v>
      </c>
      <c r="G1" t="s">
        <v>1394</v>
      </c>
      <c r="H1" t="s">
        <v>1259</v>
      </c>
      <c r="I1" t="s">
        <v>1577</v>
      </c>
    </row>
    <row r="2" spans="1:25" x14ac:dyDescent="0.25">
      <c r="B2" t="s">
        <v>1498</v>
      </c>
      <c r="C2" t="s">
        <v>657</v>
      </c>
      <c r="D2" t="s">
        <v>1493</v>
      </c>
      <c r="E2" t="s">
        <v>1494</v>
      </c>
      <c r="F2" t="s">
        <v>1495</v>
      </c>
      <c r="G2" t="s">
        <v>1496</v>
      </c>
      <c r="H2" t="s">
        <v>1497</v>
      </c>
      <c r="I2">
        <v>224312533</v>
      </c>
    </row>
    <row r="3" spans="1:25" ht="15.75" thickBot="1" x14ac:dyDescent="0.3"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1:25" x14ac:dyDescent="0.25">
      <c r="A4" s="52" t="s">
        <v>1260</v>
      </c>
      <c r="B4" s="64" t="str" cm="1">
        <f t="array" ref="B4">Assumptions[TOTAL LEA GRANTS]</f>
        <v>314909562</v>
      </c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</row>
    <row r="5" spans="1:25" x14ac:dyDescent="0.25">
      <c r="A5" s="53" t="s">
        <v>1261</v>
      </c>
      <c r="B5" s="65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</row>
    <row r="6" spans="1:25" x14ac:dyDescent="0.25">
      <c r="A6" s="54" t="s">
        <v>1262</v>
      </c>
      <c r="B6" s="65">
        <f>B4+B5</f>
        <v>314909562</v>
      </c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</row>
    <row r="7" spans="1:25" x14ac:dyDescent="0.25">
      <c r="A7" s="55"/>
      <c r="B7" s="65"/>
      <c r="C7" s="2"/>
      <c r="D7" s="2"/>
      <c r="E7" s="2"/>
      <c r="F7" s="2"/>
      <c r="G7" s="2"/>
      <c r="H7" s="2"/>
      <c r="I7" s="2"/>
      <c r="J7" s="2"/>
      <c r="K7" s="2"/>
      <c r="L7" s="2"/>
      <c r="M7" s="2"/>
    </row>
    <row r="8" spans="1:25" x14ac:dyDescent="0.25">
      <c r="A8" s="55" t="s">
        <v>1263</v>
      </c>
      <c r="B8" s="65">
        <v>0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25" x14ac:dyDescent="0.25">
      <c r="A9" s="55" t="s">
        <v>1334</v>
      </c>
      <c r="B9" s="65">
        <f>'State Reservations'!$I$3</f>
        <v>314811294.95332044</v>
      </c>
      <c r="C9" s="77"/>
      <c r="D9" s="2"/>
      <c r="E9" s="2"/>
      <c r="F9" s="2"/>
      <c r="G9" s="2"/>
      <c r="H9" s="2"/>
      <c r="I9" s="2"/>
      <c r="J9" s="2"/>
      <c r="K9" s="2"/>
      <c r="L9" s="2"/>
      <c r="M9" s="2"/>
    </row>
    <row r="10" spans="1:25" x14ac:dyDescent="0.25">
      <c r="A10" s="55" t="s">
        <v>1264</v>
      </c>
      <c r="B10" s="65">
        <f>(7%*B6)*-1</f>
        <v>-22043669.340000004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1:25" x14ac:dyDescent="0.25">
      <c r="A11" s="55" t="s">
        <v>1357</v>
      </c>
      <c r="B11" s="66">
        <f>'State Reservations'!$I$1-'State Reservations'!$I$3</f>
        <v>98267.04667955637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O11" s="61"/>
    </row>
    <row r="12" spans="1:25" x14ac:dyDescent="0.25">
      <c r="A12" s="55" t="s">
        <v>1366</v>
      </c>
      <c r="B12" s="65">
        <f>B10+B11</f>
        <v>-21945402.293320447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spans="1:25" x14ac:dyDescent="0.25">
      <c r="A13" s="55"/>
      <c r="B13" s="65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 spans="1:25" x14ac:dyDescent="0.25">
      <c r="A14" s="55" t="s">
        <v>1265</v>
      </c>
      <c r="B14" s="67">
        <f>B12/B9</f>
        <v>-6.9709704337560269E-2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  <row r="15" spans="1:25" x14ac:dyDescent="0.25">
      <c r="A15" s="55"/>
      <c r="B15" s="68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1:25" x14ac:dyDescent="0.25">
      <c r="A16" s="56" t="s">
        <v>1266</v>
      </c>
      <c r="B16" s="65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</row>
    <row r="17" spans="1:15" x14ac:dyDescent="0.25">
      <c r="A17" s="57" t="s">
        <v>1267</v>
      </c>
      <c r="B17" s="65">
        <f>B6+B10</f>
        <v>292865892.65999997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O17" s="43"/>
    </row>
    <row r="18" spans="1:15" x14ac:dyDescent="0.25">
      <c r="A18" s="58" t="s">
        <v>1268</v>
      </c>
      <c r="B18" s="65" cm="1">
        <f t="array" ref="B18">Assumptions[T-I State Adm  1004(b).TITLE I, PART A TOTAL LEA GRANTS]</f>
        <v>224312533</v>
      </c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</row>
    <row r="19" spans="1:15" x14ac:dyDescent="0.25">
      <c r="A19" s="55" t="s">
        <v>1269</v>
      </c>
      <c r="B19" s="65">
        <f>ROUND((B18*1%),0)*-1</f>
        <v>-2243125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</row>
    <row r="20" spans="1:15" x14ac:dyDescent="0.25">
      <c r="A20" s="55"/>
      <c r="B20" s="65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</row>
    <row r="21" spans="1:15" x14ac:dyDescent="0.25">
      <c r="A21" s="55" t="s">
        <v>660</v>
      </c>
      <c r="B21" s="65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</row>
    <row r="22" spans="1:15" x14ac:dyDescent="0.25">
      <c r="A22" s="55" t="s">
        <v>1270</v>
      </c>
      <c r="B22" s="65">
        <f>'State Reservations'!AD3*-1</f>
        <v>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</row>
    <row r="23" spans="1:15" ht="15.75" thickBot="1" x14ac:dyDescent="0.3">
      <c r="A23" s="10" t="s">
        <v>1271</v>
      </c>
      <c r="B23" s="69">
        <f>B17+B19+B22</f>
        <v>290622767.65999997</v>
      </c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O23" s="43"/>
    </row>
  </sheetData>
  <sheetProtection algorithmName="SHA-512" hashValue="CxtezIeWaMwXEdmManpIR6RRRl/tCgKXniuUmPYOEKd1/FCFH90Q20BBbHS1YVZdRbjxY3F3qMhh0oDgl5ywyQ==" saltValue="1/fFza/Q+G22kNPtp8x5eg==" spinCount="100000" sheet="1" objects="1" scenarios="1"/>
  <phoneticPr fontId="2" type="noConversion"/>
  <pageMargins left="0.7" right="0.7" top="0.75" bottom="0.75" header="0.3" footer="0.3"/>
  <pageSetup orientation="portrait" horizontalDpi="1200" verticalDpi="1200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E85DC-62F1-4FC0-9717-51C5497BC9D0}">
  <sheetPr filterMode="1"/>
  <dimension ref="A1:AG318"/>
  <sheetViews>
    <sheetView topLeftCell="I1" workbookViewId="0">
      <selection activeCell="X20" sqref="X20"/>
    </sheetView>
  </sheetViews>
  <sheetFormatPr defaultRowHeight="15" x14ac:dyDescent="0.25"/>
  <cols>
    <col min="2" max="2" width="23.5703125" customWidth="1"/>
    <col min="4" max="4" width="20.7109375" customWidth="1"/>
    <col min="5" max="5" width="16.7109375" customWidth="1"/>
    <col min="6" max="7" width="15" customWidth="1"/>
    <col min="8" max="8" width="19" customWidth="1"/>
    <col min="9" max="9" width="24.5703125" customWidth="1"/>
    <col min="10" max="10" width="19" customWidth="1"/>
    <col min="11" max="11" width="24.140625" customWidth="1"/>
    <col min="12" max="12" width="13.85546875" customWidth="1"/>
    <col min="13" max="13" width="13.140625" customWidth="1"/>
    <col min="14" max="14" width="14.140625" customWidth="1"/>
    <col min="15" max="15" width="14" customWidth="1"/>
    <col min="16" max="16" width="13.7109375" customWidth="1"/>
    <col min="17" max="17" width="15.85546875" customWidth="1"/>
    <col min="18" max="18" width="15.140625" customWidth="1"/>
    <col min="19" max="19" width="11.7109375" customWidth="1"/>
    <col min="20" max="20" width="15.28515625" customWidth="1"/>
    <col min="21" max="22" width="12" bestFit="1" customWidth="1"/>
    <col min="23" max="24" width="15.5703125" customWidth="1"/>
    <col min="25" max="25" width="20" customWidth="1"/>
    <col min="26" max="26" width="17" customWidth="1"/>
    <col min="28" max="28" width="16" customWidth="1"/>
    <col min="30" max="30" width="13.28515625" bestFit="1" customWidth="1"/>
    <col min="31" max="31" width="35.5703125" customWidth="1"/>
    <col min="32" max="32" width="15.28515625" bestFit="1" customWidth="1"/>
  </cols>
  <sheetData>
    <row r="1" spans="1:33" x14ac:dyDescent="0.25">
      <c r="G1" s="43"/>
      <c r="H1" s="43"/>
      <c r="I1" s="12">
        <f>'Assumptions '!B6</f>
        <v>314909562</v>
      </c>
      <c r="J1" s="41"/>
      <c r="K1" s="42">
        <f>'Assumptions '!B12*-1</f>
        <v>21945402.293320447</v>
      </c>
      <c r="L1" s="87" t="s">
        <v>1274</v>
      </c>
      <c r="M1" s="87"/>
      <c r="N1" s="87"/>
      <c r="O1" s="87" t="s">
        <v>1275</v>
      </c>
      <c r="P1" s="87"/>
      <c r="Q1" s="87"/>
      <c r="R1" s="87" t="s">
        <v>1276</v>
      </c>
      <c r="S1" s="87"/>
      <c r="T1" s="87"/>
      <c r="U1" s="87" t="s">
        <v>1277</v>
      </c>
      <c r="V1" s="87"/>
      <c r="W1" s="87"/>
      <c r="X1" s="44">
        <f>X3-K1</f>
        <v>0</v>
      </c>
      <c r="Y1" s="13">
        <f>'Assumptions '!B19*-1</f>
        <v>2243125</v>
      </c>
      <c r="Z1" s="44"/>
      <c r="AA1" s="13">
        <v>0</v>
      </c>
      <c r="AE1" s="39">
        <f>'Assumptions '!B23</f>
        <v>290622767.65999997</v>
      </c>
      <c r="AF1" s="43" t="str">
        <f>IF(ROUND(AE3,2)=ROUND(AE1,2), "looks good", "Check model")</f>
        <v>looks good</v>
      </c>
    </row>
    <row r="2" spans="1:33" s="24" customFormat="1" ht="81.75" customHeight="1" x14ac:dyDescent="0.25">
      <c r="A2" s="15" t="s">
        <v>4</v>
      </c>
      <c r="B2" s="16" t="s">
        <v>1278</v>
      </c>
      <c r="C2" s="14" t="s">
        <v>0</v>
      </c>
      <c r="D2" s="17" t="s">
        <v>1279</v>
      </c>
      <c r="E2" s="17" t="s">
        <v>1280</v>
      </c>
      <c r="F2" s="18" t="s">
        <v>1281</v>
      </c>
      <c r="G2" s="18" t="s">
        <v>1282</v>
      </c>
      <c r="H2" s="18" t="s">
        <v>1283</v>
      </c>
      <c r="I2" s="18" t="s">
        <v>1284</v>
      </c>
      <c r="J2" s="18" t="s">
        <v>1419</v>
      </c>
      <c r="K2" s="18" t="s">
        <v>1365</v>
      </c>
      <c r="L2" s="19" t="s">
        <v>1285</v>
      </c>
      <c r="M2" s="20" t="s">
        <v>658</v>
      </c>
      <c r="N2" s="21" t="s">
        <v>659</v>
      </c>
      <c r="O2" s="19" t="s">
        <v>1285</v>
      </c>
      <c r="P2" s="20" t="s">
        <v>658</v>
      </c>
      <c r="Q2" s="21" t="s">
        <v>659</v>
      </c>
      <c r="R2" s="19" t="s">
        <v>1285</v>
      </c>
      <c r="S2" s="20" t="s">
        <v>658</v>
      </c>
      <c r="T2" s="21" t="s">
        <v>659</v>
      </c>
      <c r="U2" s="19" t="s">
        <v>1285</v>
      </c>
      <c r="V2" s="20" t="s">
        <v>658</v>
      </c>
      <c r="W2" s="21" t="s">
        <v>659</v>
      </c>
      <c r="X2" s="19" t="s">
        <v>1381</v>
      </c>
      <c r="Y2" s="22" t="s">
        <v>1286</v>
      </c>
      <c r="Z2" s="22" t="s">
        <v>1287</v>
      </c>
      <c r="AA2" s="22" t="s">
        <v>1288</v>
      </c>
      <c r="AB2" s="22" t="s">
        <v>1289</v>
      </c>
      <c r="AC2" s="22" t="s">
        <v>660</v>
      </c>
      <c r="AD2" s="22" t="s">
        <v>1290</v>
      </c>
      <c r="AE2" s="23" t="s">
        <v>1291</v>
      </c>
      <c r="AF2" s="45">
        <f>AE1-AE3</f>
        <v>0</v>
      </c>
      <c r="AG2" s="24" t="s">
        <v>4</v>
      </c>
    </row>
    <row r="3" spans="1:33" x14ac:dyDescent="0.25">
      <c r="A3" s="5"/>
      <c r="B3" s="6"/>
      <c r="C3" s="1"/>
      <c r="E3" s="25">
        <f>SUM(E4:E318)</f>
        <v>121371950.21613172</v>
      </c>
      <c r="F3" s="25">
        <f>SUM(F4:F318)</f>
        <v>15993234.195917509</v>
      </c>
      <c r="G3" s="25">
        <f>SUM(G4:G318)</f>
        <v>75233970.05672802</v>
      </c>
      <c r="H3" s="25">
        <f>SUM(H4:H318)</f>
        <v>102212140.484543</v>
      </c>
      <c r="I3" s="81">
        <f>IF(OR(SUM(I4:I318)&gt;$I$1,ROUND(SUM(I4:I318),2)&lt;&gt;ROUND(SUM(Model_allocations[Total Title I Allocation]),2)),"bad", SUM(I4:I318))</f>
        <v>314811294.95332044</v>
      </c>
      <c r="J3" s="25">
        <f>SUM(J4:J318)</f>
        <v>241659926.49008659</v>
      </c>
      <c r="K3" s="25" cm="1">
        <f t="array" ref="K3">SUM(IF(ISERROR(K$4:K$318),0,K$4:K$318))</f>
        <v>292865892.66000009</v>
      </c>
      <c r="L3" s="25" cm="1">
        <f t="array" ref="L3">SUM(IF(ISERROR(L$4:L$318),0,L$4:L$318))</f>
        <v>2362682.6137508461</v>
      </c>
      <c r="M3" s="25" cm="1">
        <f t="array" ref="M3">SUM(IF(ISERROR(M$4:M$318),0,M$4:M$318))</f>
        <v>16530729.171869546</v>
      </c>
      <c r="N3" s="25" cm="1">
        <f t="array" ref="N3">SUM(IF(ISERROR(N$4:N$318),0,N$4:N$318))</f>
        <v>292865892.65999985</v>
      </c>
      <c r="O3" s="25" cm="1">
        <f t="array" ref="O3">SUM(IF(ISERROR(O$4:O$318),0,O$4:O$318))</f>
        <v>0</v>
      </c>
      <c r="P3" s="25" cm="1">
        <f t="array" ref="P3">SUM(IF(ISERROR(P$4:P$318),0,P$4:P$318))</f>
        <v>14168046.558118694</v>
      </c>
      <c r="Q3" s="25" cm="1">
        <f t="array" ref="Q3">SUM(IF(ISERROR(Q$4:Q$318),0,Q$4:Q$318))</f>
        <v>292865892.65999985</v>
      </c>
      <c r="R3" s="26" cm="1">
        <f t="array" ref="R3">SUM(IF(ISERROR(R$4:R$318),0,R$4:R$318))</f>
        <v>0</v>
      </c>
      <c r="S3" s="25" cm="1">
        <f t="array" ref="S3">SUM(IF(ISERROR(S$4:S$318),0,S$4:S$318))</f>
        <v>14168046.558118694</v>
      </c>
      <c r="T3" s="25" cm="1">
        <f t="array" ref="T3">SUM(IF(ISERROR(T$4:T$318),0,T$4:T$318))</f>
        <v>292865892.65999985</v>
      </c>
      <c r="U3" s="25" cm="1">
        <f t="array" ref="U3">SUM(IF(ISERROR(U$4:U$318),0,U$4:U$318))</f>
        <v>0</v>
      </c>
      <c r="V3" s="25" cm="1">
        <f t="array" ref="V3">SUM(IF(ISERROR(V$4:V$318),0,V$4:V$318))</f>
        <v>14168046.558118694</v>
      </c>
      <c r="W3" s="25" cm="1">
        <f t="array" ref="W3">SUM(IF(ISERROR(W$4:W$318),0,W$4:W$318))</f>
        <v>292865892.65999985</v>
      </c>
      <c r="X3" s="25" cm="1">
        <f t="array" ref="X3">SUM(IF(ISERROR(X$4:X$318),0,X$4:X$318))</f>
        <v>21945402.293320458</v>
      </c>
      <c r="Y3" s="40" cm="1">
        <f t="array" ref="Y3">SUM(IF(ISERROR(Y$4:Y$318),0,Y$4:Y$318))</f>
        <v>2243125</v>
      </c>
      <c r="Z3" s="25" cm="1">
        <f t="array" ref="Z3">SUM(IF(ISERROR(Z$4:Z$318),0,Z$4:Z$318))</f>
        <v>290622767.65999979</v>
      </c>
      <c r="AD3" s="27">
        <f>SUM(AD4:AD318)</f>
        <v>0</v>
      </c>
      <c r="AE3" s="49">
        <f>SUM($AE$4:$AE$318)</f>
        <v>290622767.65999979</v>
      </c>
      <c r="AF3" s="51"/>
    </row>
    <row r="4" spans="1:33" x14ac:dyDescent="0.25">
      <c r="A4" s="7" t="s">
        <v>309</v>
      </c>
      <c r="B4" s="2" t="s">
        <v>662</v>
      </c>
      <c r="C4" s="4" t="s">
        <v>661</v>
      </c>
      <c r="D4">
        <f>_xlfn.IFNA(VLOOKUP(A4,'Prior Year data'!$A$1:$T$318,12,FALSE),0)</f>
        <v>1662590.0220443809</v>
      </c>
      <c r="E4">
        <f>VLOOKUP(A4,'Basic HH'!$B$1:$Y$319,23,FALSE)</f>
        <v>634938.69375755591</v>
      </c>
      <c r="F4">
        <f>VLOOKUP(A4,'Conc. HH'!$B$1:$Y$319,23,FALSE)</f>
        <v>167295.88148094981</v>
      </c>
      <c r="G4">
        <f>VLOOKUP(A4,'Targeted HH'!$B$1:$Y$319,23,FALSE)</f>
        <v>392655.00860822888</v>
      </c>
      <c r="H4">
        <f>VLOOKUP(A4,'EFIG HH'!$B$1:$Y$319,23,FALSE)</f>
        <v>539711.39546573057</v>
      </c>
      <c r="I4">
        <f t="shared" ref="I4:I67" si="0">SUM(E4:H4)</f>
        <v>1734600.9793124651</v>
      </c>
      <c r="J4">
        <f t="shared" ref="J4:J67" si="1">IF(I4&lt;D4,0,I4)</f>
        <v>1734600.9793124651</v>
      </c>
      <c r="K4" s="43">
        <f t="shared" ref="K4:K67" si="2">IF(J4=0,I4,I4-$K$1*J4/$J$3)</f>
        <v>1577079.9667793373</v>
      </c>
      <c r="L4">
        <f t="shared" ref="L4:L67" si="3">IF($J4=0,0,IF(K4&lt;$D4,$D4-K4,0))</f>
        <v>85510.055265043629</v>
      </c>
      <c r="M4">
        <f t="shared" ref="M4:M67" si="4">IF($J4=0,0,IF(L4&gt;0,0,K4-$D4))</f>
        <v>0</v>
      </c>
      <c r="N4" s="43">
        <f t="shared" ref="N4:N67" si="5">IF(L4&gt;0,L4+K4,K4-$L$3*M4/$M$3)</f>
        <v>1662590.0220443809</v>
      </c>
      <c r="O4">
        <f t="shared" ref="O4:O67" si="6">IF($J4=0,0,IF(N4&lt;$D4,$D4-N4,0))</f>
        <v>0</v>
      </c>
      <c r="P4">
        <f t="shared" ref="P4:P67" si="7">IF($J4=0,0,IF(O4&gt;0,0,N4-$D4))</f>
        <v>0</v>
      </c>
      <c r="Q4" s="43">
        <f t="shared" ref="Q4:Q67" si="8">IF(O4&gt;0,O4+N4,N4-$O$3*P4/$P$3)</f>
        <v>1662590.0220443809</v>
      </c>
      <c r="R4">
        <f t="shared" ref="R4:R67" si="9">IF($J4=0,0,IF(Q4&lt;$D4,$D4-Q4,0))</f>
        <v>0</v>
      </c>
      <c r="S4">
        <f t="shared" ref="S4:S67" si="10">IF($J4=0,0,IF(R4&gt;0,0,Q4-$D4))</f>
        <v>0</v>
      </c>
      <c r="T4" s="43">
        <f t="shared" ref="T4:T67" si="11">IF(R4&gt;0,R4+Q4,Q4-$R$3*S4/$S$3)</f>
        <v>1662590.0220443809</v>
      </c>
      <c r="U4">
        <f t="shared" ref="U4:U67" si="12">IF($J4=0,0,IF(T4&lt;$D4,$D4-T4,0))</f>
        <v>0</v>
      </c>
      <c r="V4">
        <f t="shared" ref="V4:V67" si="13">IF($J4=0,0,IF(U4&gt;0,0,T4-$D4))</f>
        <v>0</v>
      </c>
      <c r="W4" s="43">
        <f t="shared" ref="W4:W67" si="14">IF(U4&gt;0,U4+T4,T4-$U$3*V4/$V$3)</f>
        <v>1662590.0220443809</v>
      </c>
      <c r="X4" s="43">
        <f t="shared" ref="X4:X67" si="15">I4-W4</f>
        <v>72010.957268084167</v>
      </c>
      <c r="Y4" s="27">
        <f t="shared" ref="Y4:Y67" si="16">W4/$W$3*$Y$1</f>
        <v>12734.146709012351</v>
      </c>
      <c r="Z4" s="27">
        <f t="shared" ref="Z4:Z67" si="17">W4-Y4</f>
        <v>1649855.8753353686</v>
      </c>
      <c r="AA4">
        <f t="shared" ref="AA4:AA67" si="18">Z4/$Z$3*$AA$1</f>
        <v>0</v>
      </c>
      <c r="AB4" s="27">
        <f t="shared" ref="AB4:AB67" si="19">Z4-AA4</f>
        <v>1649855.8753353686</v>
      </c>
      <c r="AD4" s="27">
        <f t="shared" ref="AD4:AD67" si="20">IF(AC4&gt;0,AC4*AB4,0)</f>
        <v>0</v>
      </c>
      <c r="AE4" s="27">
        <f t="shared" ref="AE4:AE67" si="21">AB4-AD4</f>
        <v>1649855.8753353686</v>
      </c>
      <c r="AF4" s="50"/>
      <c r="AG4" t="str">
        <f t="shared" ref="AG4:AG67" si="22">A4</f>
        <v>5300030</v>
      </c>
    </row>
    <row r="5" spans="1:33" hidden="1" x14ac:dyDescent="0.25">
      <c r="A5" s="7" t="s">
        <v>260</v>
      </c>
      <c r="B5" s="2" t="s">
        <v>664</v>
      </c>
      <c r="C5" s="4" t="s">
        <v>663</v>
      </c>
      <c r="D5">
        <f>_xlfn.IFNA(VLOOKUP(A5,'Prior Year data'!$A$1:$T$318,12,FALSE),0)</f>
        <v>69271.593677719036</v>
      </c>
      <c r="E5">
        <f>VLOOKUP(A5,'Basic HH'!$B$1:$Y$319,23,FALSE)</f>
        <v>59941.725971848675</v>
      </c>
      <c r="F5">
        <f>VLOOKUP(A5,'Conc. HH'!$B$1:$Y$319,23,FALSE)</f>
        <v>0</v>
      </c>
      <c r="G5">
        <f>VLOOKUP(A5,'Targeted HH'!$B$1:$Y$319,23,FALSE)</f>
        <v>28915.710663357662</v>
      </c>
      <c r="H5">
        <f>VLOOKUP(A5,'EFIG HH'!$B$1:$Y$319,23,FALSE)</f>
        <v>39206.347381453175</v>
      </c>
      <c r="I5">
        <f t="shared" si="0"/>
        <v>128063.78401665951</v>
      </c>
      <c r="J5">
        <f t="shared" si="1"/>
        <v>128063.78401665951</v>
      </c>
      <c r="K5" s="43">
        <f t="shared" si="2"/>
        <v>116434.17169214453</v>
      </c>
      <c r="L5">
        <f t="shared" si="3"/>
        <v>0</v>
      </c>
      <c r="M5">
        <f t="shared" si="4"/>
        <v>47162.578014425497</v>
      </c>
      <c r="N5" s="43">
        <f t="shared" si="5"/>
        <v>109693.37992574305</v>
      </c>
      <c r="O5">
        <f t="shared" si="6"/>
        <v>0</v>
      </c>
      <c r="P5">
        <f t="shared" si="7"/>
        <v>40421.786248024015</v>
      </c>
      <c r="Q5" s="43">
        <f t="shared" si="8"/>
        <v>109693.37992574305</v>
      </c>
      <c r="R5">
        <f t="shared" si="9"/>
        <v>0</v>
      </c>
      <c r="S5">
        <f t="shared" si="10"/>
        <v>40421.786248024015</v>
      </c>
      <c r="T5" s="43">
        <f t="shared" si="11"/>
        <v>109693.37992574305</v>
      </c>
      <c r="U5">
        <f t="shared" si="12"/>
        <v>0</v>
      </c>
      <c r="V5">
        <f t="shared" si="13"/>
        <v>40421.786248024015</v>
      </c>
      <c r="W5" s="43">
        <f t="shared" si="14"/>
        <v>109693.37992574305</v>
      </c>
      <c r="X5" s="43">
        <f t="shared" si="15"/>
        <v>18370.404090916461</v>
      </c>
      <c r="Y5" s="27">
        <f t="shared" si="16"/>
        <v>840.16599068976927</v>
      </c>
      <c r="Z5" s="27">
        <f t="shared" si="17"/>
        <v>108853.21393505328</v>
      </c>
      <c r="AA5">
        <f t="shared" si="18"/>
        <v>0</v>
      </c>
      <c r="AB5" s="27">
        <f t="shared" si="19"/>
        <v>108853.21393505328</v>
      </c>
      <c r="AD5" s="27">
        <f t="shared" si="20"/>
        <v>0</v>
      </c>
      <c r="AE5" s="27">
        <f t="shared" si="21"/>
        <v>108853.21393505328</v>
      </c>
      <c r="AF5" s="50"/>
      <c r="AG5" t="str">
        <f t="shared" si="22"/>
        <v>5300060</v>
      </c>
    </row>
    <row r="6" spans="1:33" hidden="1" x14ac:dyDescent="0.25">
      <c r="A6" s="7" t="s">
        <v>262</v>
      </c>
      <c r="B6" s="2" t="s">
        <v>666</v>
      </c>
      <c r="C6" s="4" t="s">
        <v>665</v>
      </c>
      <c r="D6">
        <f>_xlfn.IFNA(VLOOKUP(A6,'Prior Year data'!$A$1:$T$318,12,FALSE),0)</f>
        <v>0</v>
      </c>
      <c r="E6">
        <f>VLOOKUP(A6,'Basic HH'!$B$1:$Y$319,23,FALSE)</f>
        <v>15636.971992656177</v>
      </c>
      <c r="F6">
        <f>VLOOKUP(A6,'Conc. HH'!$B$1:$Y$319,23,FALSE)</f>
        <v>4207.2891258071513</v>
      </c>
      <c r="G6">
        <f>VLOOKUP(A6,'Targeted HH'!$B$1:$Y$319,23,FALSE)</f>
        <v>8352.805907035432</v>
      </c>
      <c r="H6">
        <f>VLOOKUP(A6,'EFIG HH'!$B$1:$Y$319,23,FALSE)</f>
        <v>11325.435290652427</v>
      </c>
      <c r="I6">
        <f t="shared" si="0"/>
        <v>39522.502316151185</v>
      </c>
      <c r="J6">
        <f t="shared" si="1"/>
        <v>39522.502316151185</v>
      </c>
      <c r="K6" s="43">
        <f t="shared" si="2"/>
        <v>35933.420644382131</v>
      </c>
      <c r="L6">
        <f t="shared" si="3"/>
        <v>0</v>
      </c>
      <c r="M6">
        <f t="shared" si="4"/>
        <v>35933.420644382131</v>
      </c>
      <c r="N6" s="43">
        <f t="shared" si="5"/>
        <v>30797.575314972764</v>
      </c>
      <c r="O6">
        <f t="shared" si="6"/>
        <v>0</v>
      </c>
      <c r="P6">
        <f t="shared" si="7"/>
        <v>30797.575314972764</v>
      </c>
      <c r="Q6" s="43">
        <f t="shared" si="8"/>
        <v>30797.575314972764</v>
      </c>
      <c r="R6">
        <f t="shared" si="9"/>
        <v>0</v>
      </c>
      <c r="S6">
        <f t="shared" si="10"/>
        <v>30797.575314972764</v>
      </c>
      <c r="T6" s="43">
        <f t="shared" si="11"/>
        <v>30797.575314972764</v>
      </c>
      <c r="U6">
        <f t="shared" si="12"/>
        <v>0</v>
      </c>
      <c r="V6">
        <f t="shared" si="13"/>
        <v>30797.575314972764</v>
      </c>
      <c r="W6" s="43">
        <f t="shared" si="14"/>
        <v>30797.575314972764</v>
      </c>
      <c r="X6" s="43">
        <f t="shared" si="15"/>
        <v>8724.9270011784211</v>
      </c>
      <c r="Y6" s="27">
        <f t="shared" si="16"/>
        <v>235.88547816525491</v>
      </c>
      <c r="Z6" s="27">
        <f t="shared" si="17"/>
        <v>30561.689836807509</v>
      </c>
      <c r="AA6">
        <f t="shared" si="18"/>
        <v>0</v>
      </c>
      <c r="AB6" s="27">
        <f t="shared" si="19"/>
        <v>30561.689836807509</v>
      </c>
      <c r="AD6" s="27">
        <f t="shared" si="20"/>
        <v>0</v>
      </c>
      <c r="AE6" s="27">
        <f t="shared" si="21"/>
        <v>30561.689836807509</v>
      </c>
      <c r="AF6" s="50"/>
      <c r="AG6" t="str">
        <f t="shared" si="22"/>
        <v>5300090</v>
      </c>
    </row>
    <row r="7" spans="1:33" hidden="1" x14ac:dyDescent="0.25">
      <c r="A7" s="7" t="s">
        <v>89</v>
      </c>
      <c r="B7" s="2" t="s">
        <v>668</v>
      </c>
      <c r="C7" s="4" t="s">
        <v>667</v>
      </c>
      <c r="D7">
        <f>_xlfn.IFNA(VLOOKUP(A7,'Prior Year data'!$A$1:$T$318,12,FALSE),0)</f>
        <v>441426.27135453548</v>
      </c>
      <c r="E7">
        <f>VLOOKUP(A7,'Basic HH'!$B$1:$Y$319,23,FALSE)</f>
        <v>202411.91523827167</v>
      </c>
      <c r="F7">
        <f>VLOOKUP(A7,'Conc. HH'!$B$1:$Y$319,23,FALSE)</f>
        <v>0</v>
      </c>
      <c r="G7">
        <f>VLOOKUP(A7,'Targeted HH'!$B$1:$Y$319,23,FALSE)</f>
        <v>97642.907022642568</v>
      </c>
      <c r="H7">
        <f>VLOOKUP(A7,'EFIG HH'!$B$1:$Y$319,23,FALSE)</f>
        <v>132392.44840403754</v>
      </c>
      <c r="I7">
        <f t="shared" si="0"/>
        <v>432447.27066495176</v>
      </c>
      <c r="J7">
        <f t="shared" si="1"/>
        <v>0</v>
      </c>
      <c r="K7" s="43">
        <f t="shared" si="2"/>
        <v>432447.27066495176</v>
      </c>
      <c r="L7">
        <f t="shared" si="3"/>
        <v>0</v>
      </c>
      <c r="M7">
        <f t="shared" si="4"/>
        <v>0</v>
      </c>
      <c r="N7" s="43">
        <f t="shared" si="5"/>
        <v>432447.27066495176</v>
      </c>
      <c r="O7">
        <f t="shared" si="6"/>
        <v>0</v>
      </c>
      <c r="P7">
        <f t="shared" si="7"/>
        <v>0</v>
      </c>
      <c r="Q7" s="43">
        <f t="shared" si="8"/>
        <v>432447.27066495176</v>
      </c>
      <c r="R7">
        <f t="shared" si="9"/>
        <v>0</v>
      </c>
      <c r="S7">
        <f t="shared" si="10"/>
        <v>0</v>
      </c>
      <c r="T7" s="43">
        <f t="shared" si="11"/>
        <v>432447.27066495176</v>
      </c>
      <c r="U7">
        <f t="shared" si="12"/>
        <v>0</v>
      </c>
      <c r="V7">
        <f t="shared" si="13"/>
        <v>0</v>
      </c>
      <c r="W7" s="43">
        <f t="shared" si="14"/>
        <v>432447.27066495176</v>
      </c>
      <c r="X7" s="43">
        <f t="shared" si="15"/>
        <v>0</v>
      </c>
      <c r="Y7" s="27">
        <f t="shared" si="16"/>
        <v>3312.2098145326599</v>
      </c>
      <c r="Z7" s="27">
        <f t="shared" si="17"/>
        <v>429135.0608504191</v>
      </c>
      <c r="AA7">
        <f t="shared" si="18"/>
        <v>0</v>
      </c>
      <c r="AB7" s="27">
        <f t="shared" si="19"/>
        <v>429135.0608504191</v>
      </c>
      <c r="AD7" s="27">
        <f t="shared" si="20"/>
        <v>0</v>
      </c>
      <c r="AE7" s="27">
        <f t="shared" si="21"/>
        <v>429135.0608504191</v>
      </c>
      <c r="AF7" s="50"/>
      <c r="AG7" t="str">
        <f t="shared" si="22"/>
        <v>5300150</v>
      </c>
    </row>
    <row r="8" spans="1:33" hidden="1" x14ac:dyDescent="0.25">
      <c r="A8" s="7" t="s">
        <v>91</v>
      </c>
      <c r="B8" s="2" t="s">
        <v>670</v>
      </c>
      <c r="C8" s="4" t="s">
        <v>669</v>
      </c>
      <c r="D8">
        <f>_xlfn.IFNA(VLOOKUP(A8,'Prior Year data'!$A$1:$T$318,12,FALSE),0)</f>
        <v>878153.98159198533</v>
      </c>
      <c r="E8">
        <f>VLOOKUP(A8,'Basic HH'!$B$1:$Y$319,23,FALSE)</f>
        <v>471715.32177846151</v>
      </c>
      <c r="F8">
        <f>VLOOKUP(A8,'Conc. HH'!$B$1:$Y$319,23,FALSE)</f>
        <v>0</v>
      </c>
      <c r="G8">
        <f>VLOOKUP(A8,'Targeted HH'!$B$1:$Y$319,23,FALSE)</f>
        <v>227554.07087251023</v>
      </c>
      <c r="H8">
        <f>VLOOKUP(A8,'EFIG HH'!$B$1:$Y$319,23,FALSE)</f>
        <v>308536.90765404451</v>
      </c>
      <c r="I8">
        <f t="shared" si="0"/>
        <v>1007806.3003050163</v>
      </c>
      <c r="J8">
        <f t="shared" si="1"/>
        <v>1007806.3003050163</v>
      </c>
      <c r="K8" s="43">
        <f t="shared" si="2"/>
        <v>916286.30766426807</v>
      </c>
      <c r="L8">
        <f t="shared" si="3"/>
        <v>0</v>
      </c>
      <c r="M8">
        <f t="shared" si="4"/>
        <v>38132.32607228274</v>
      </c>
      <c r="N8" s="43">
        <f t="shared" si="5"/>
        <v>910836.18003250123</v>
      </c>
      <c r="O8">
        <f t="shared" si="6"/>
        <v>0</v>
      </c>
      <c r="P8">
        <f t="shared" si="7"/>
        <v>32682.198440515902</v>
      </c>
      <c r="Q8" s="43">
        <f t="shared" si="8"/>
        <v>910836.18003250123</v>
      </c>
      <c r="R8">
        <f t="shared" si="9"/>
        <v>0</v>
      </c>
      <c r="S8">
        <f t="shared" si="10"/>
        <v>32682.198440515902</v>
      </c>
      <c r="T8" s="43">
        <f t="shared" si="11"/>
        <v>910836.18003250123</v>
      </c>
      <c r="U8">
        <f t="shared" si="12"/>
        <v>0</v>
      </c>
      <c r="V8">
        <f t="shared" si="13"/>
        <v>32682.198440515902</v>
      </c>
      <c r="W8" s="43">
        <f t="shared" si="14"/>
        <v>910836.18003250123</v>
      </c>
      <c r="X8" s="43">
        <f t="shared" si="15"/>
        <v>96970.120272515109</v>
      </c>
      <c r="Y8" s="27">
        <f t="shared" si="16"/>
        <v>6976.2968564842276</v>
      </c>
      <c r="Z8" s="27">
        <f t="shared" si="17"/>
        <v>903859.88317601697</v>
      </c>
      <c r="AA8">
        <f t="shared" si="18"/>
        <v>0</v>
      </c>
      <c r="AB8" s="27">
        <f t="shared" si="19"/>
        <v>903859.88317601697</v>
      </c>
      <c r="AD8" s="27">
        <f t="shared" si="20"/>
        <v>0</v>
      </c>
      <c r="AE8" s="27">
        <f t="shared" si="21"/>
        <v>903859.88317601697</v>
      </c>
      <c r="AF8" s="50"/>
      <c r="AG8" t="str">
        <f t="shared" si="22"/>
        <v>5300240</v>
      </c>
    </row>
    <row r="9" spans="1:33" hidden="1" x14ac:dyDescent="0.25">
      <c r="A9" s="7" t="s">
        <v>310</v>
      </c>
      <c r="B9" s="2" t="s">
        <v>672</v>
      </c>
      <c r="C9" s="4" t="s">
        <v>671</v>
      </c>
      <c r="D9">
        <f>_xlfn.IFNA(VLOOKUP(A9,'Prior Year data'!$A$1:$T$318,12,FALSE),0)</f>
        <v>94043.459958956228</v>
      </c>
      <c r="E9">
        <f>VLOOKUP(A9,'Basic HH'!$B$1:$Y$319,23,FALSE)</f>
        <v>37358.131662173764</v>
      </c>
      <c r="F9">
        <f>VLOOKUP(A9,'Conc. HH'!$B$1:$Y$319,23,FALSE)</f>
        <v>0</v>
      </c>
      <c r="G9">
        <f>VLOOKUP(A9,'Targeted HH'!$B$1:$Y$319,23,FALSE)</f>
        <v>18159.578573091469</v>
      </c>
      <c r="H9">
        <f>VLOOKUP(A9,'EFIG HH'!$B$1:$Y$319,23,FALSE)</f>
        <v>25040.854196024917</v>
      </c>
      <c r="I9">
        <f t="shared" si="0"/>
        <v>80558.564431290142</v>
      </c>
      <c r="J9">
        <f t="shared" si="1"/>
        <v>0</v>
      </c>
      <c r="K9" s="43">
        <f t="shared" si="2"/>
        <v>80558.564431290142</v>
      </c>
      <c r="L9">
        <f t="shared" si="3"/>
        <v>0</v>
      </c>
      <c r="M9">
        <f t="shared" si="4"/>
        <v>0</v>
      </c>
      <c r="N9" s="43">
        <f t="shared" si="5"/>
        <v>80558.564431290142</v>
      </c>
      <c r="O9">
        <f t="shared" si="6"/>
        <v>0</v>
      </c>
      <c r="P9">
        <f t="shared" si="7"/>
        <v>0</v>
      </c>
      <c r="Q9" s="43">
        <f t="shared" si="8"/>
        <v>80558.564431290142</v>
      </c>
      <c r="R9">
        <f t="shared" si="9"/>
        <v>0</v>
      </c>
      <c r="S9">
        <f t="shared" si="10"/>
        <v>0</v>
      </c>
      <c r="T9" s="43">
        <f t="shared" si="11"/>
        <v>80558.564431290142</v>
      </c>
      <c r="U9">
        <f t="shared" si="12"/>
        <v>0</v>
      </c>
      <c r="V9">
        <f t="shared" si="13"/>
        <v>0</v>
      </c>
      <c r="W9" s="43">
        <f t="shared" si="14"/>
        <v>80558.564431290142</v>
      </c>
      <c r="X9" s="43">
        <f t="shared" si="15"/>
        <v>0</v>
      </c>
      <c r="Y9" s="27">
        <f t="shared" si="16"/>
        <v>617.01595975781038</v>
      </c>
      <c r="Z9" s="27">
        <f t="shared" si="17"/>
        <v>79941.548471532325</v>
      </c>
      <c r="AA9">
        <f t="shared" si="18"/>
        <v>0</v>
      </c>
      <c r="AB9" s="27">
        <f t="shared" si="19"/>
        <v>79941.548471532325</v>
      </c>
      <c r="AD9" s="27">
        <f t="shared" si="20"/>
        <v>0</v>
      </c>
      <c r="AE9" s="27">
        <f t="shared" si="21"/>
        <v>79941.548471532325</v>
      </c>
      <c r="AF9" s="50"/>
      <c r="AG9" t="str">
        <f t="shared" si="22"/>
        <v>5300280</v>
      </c>
    </row>
    <row r="10" spans="1:33" x14ac:dyDescent="0.25">
      <c r="A10" s="7" t="s">
        <v>312</v>
      </c>
      <c r="B10" s="2" t="s">
        <v>674</v>
      </c>
      <c r="C10" s="4" t="s">
        <v>673</v>
      </c>
      <c r="D10">
        <f>_xlfn.IFNA(VLOOKUP(A10,'Prior Year data'!$A$1:$T$318,12,FALSE),0)</f>
        <v>6689919.7400318375</v>
      </c>
      <c r="E10">
        <f>VLOOKUP(A10,'Basic HH'!$B$1:$Y$319,23,FALSE)</f>
        <v>2441105.0721868817</v>
      </c>
      <c r="F10">
        <f>VLOOKUP(A10,'Conc. HH'!$B$1:$Y$319,23,FALSE)</f>
        <v>656804.58019544953</v>
      </c>
      <c r="G10">
        <f>VLOOKUP(A10,'Targeted HH'!$B$1:$Y$319,23,FALSE)</f>
        <v>1736409.3787481519</v>
      </c>
      <c r="H10">
        <f>VLOOKUP(A10,'EFIG HH'!$B$1:$Y$319,23,FALSE)</f>
        <v>2354369.5706529156</v>
      </c>
      <c r="I10">
        <f t="shared" si="0"/>
        <v>7188688.6017833985</v>
      </c>
      <c r="J10">
        <f t="shared" si="1"/>
        <v>7188688.6017833985</v>
      </c>
      <c r="K10" s="43">
        <f t="shared" si="2"/>
        <v>6535875.9256444126</v>
      </c>
      <c r="L10">
        <f t="shared" si="3"/>
        <v>154043.81438742485</v>
      </c>
      <c r="M10">
        <f t="shared" si="4"/>
        <v>0</v>
      </c>
      <c r="N10" s="43">
        <f t="shared" si="5"/>
        <v>6689919.7400318375</v>
      </c>
      <c r="O10">
        <f t="shared" si="6"/>
        <v>0</v>
      </c>
      <c r="P10">
        <f t="shared" si="7"/>
        <v>0</v>
      </c>
      <c r="Q10" s="43">
        <f t="shared" si="8"/>
        <v>6689919.7400318375</v>
      </c>
      <c r="R10">
        <f t="shared" si="9"/>
        <v>0</v>
      </c>
      <c r="S10">
        <f t="shared" si="10"/>
        <v>0</v>
      </c>
      <c r="T10" s="43">
        <f t="shared" si="11"/>
        <v>6689919.7400318375</v>
      </c>
      <c r="U10">
        <f t="shared" si="12"/>
        <v>0</v>
      </c>
      <c r="V10">
        <f t="shared" si="13"/>
        <v>0</v>
      </c>
      <c r="W10" s="43">
        <f t="shared" si="14"/>
        <v>6689919.7400318375</v>
      </c>
      <c r="X10" s="43">
        <f t="shared" si="15"/>
        <v>498768.86175156105</v>
      </c>
      <c r="Y10" s="27">
        <f t="shared" si="16"/>
        <v>51239.583006958004</v>
      </c>
      <c r="Z10" s="27">
        <f t="shared" si="17"/>
        <v>6638680.1570248799</v>
      </c>
      <c r="AA10">
        <f t="shared" si="18"/>
        <v>0</v>
      </c>
      <c r="AB10" s="27">
        <f t="shared" si="19"/>
        <v>6638680.1570248799</v>
      </c>
      <c r="AD10" s="27">
        <f t="shared" si="20"/>
        <v>0</v>
      </c>
      <c r="AE10" s="27">
        <f t="shared" si="21"/>
        <v>6638680.1570248799</v>
      </c>
      <c r="AF10" s="50"/>
      <c r="AG10" t="str">
        <f t="shared" si="22"/>
        <v>5300300</v>
      </c>
    </row>
    <row r="11" spans="1:33" hidden="1" x14ac:dyDescent="0.25">
      <c r="A11" s="7" t="s">
        <v>93</v>
      </c>
      <c r="B11" s="2" t="s">
        <v>676</v>
      </c>
      <c r="C11" s="4" t="s">
        <v>675</v>
      </c>
      <c r="D11">
        <f>_xlfn.IFNA(VLOOKUP(A11,'Prior Year data'!$A$1:$T$318,12,FALSE),0)</f>
        <v>113313.31064225844</v>
      </c>
      <c r="E11">
        <f>VLOOKUP(A11,'Basic HH'!$B$1:$Y$319,23,FALSE)</f>
        <v>130308.09993880148</v>
      </c>
      <c r="F11">
        <f>VLOOKUP(A11,'Conc. HH'!$B$1:$Y$319,23,FALSE)</f>
        <v>0</v>
      </c>
      <c r="G11">
        <f>VLOOKUP(A11,'Targeted HH'!$B$1:$Y$319,23,FALSE)</f>
        <v>0</v>
      </c>
      <c r="H11">
        <f>VLOOKUP(A11,'EFIG HH'!$B$1:$Y$319,23,FALSE)</f>
        <v>0</v>
      </c>
      <c r="I11">
        <f t="shared" si="0"/>
        <v>130308.09993880148</v>
      </c>
      <c r="J11">
        <f t="shared" si="1"/>
        <v>130308.09993880148</v>
      </c>
      <c r="K11" s="43">
        <f t="shared" si="2"/>
        <v>118474.67883018206</v>
      </c>
      <c r="L11">
        <f t="shared" si="3"/>
        <v>0</v>
      </c>
      <c r="M11">
        <f t="shared" si="4"/>
        <v>5161.3681879236246</v>
      </c>
      <c r="N11" s="43">
        <f t="shared" si="5"/>
        <v>117736.98149366495</v>
      </c>
      <c r="O11">
        <f t="shared" si="6"/>
        <v>0</v>
      </c>
      <c r="P11">
        <f t="shared" si="7"/>
        <v>4423.6708514065103</v>
      </c>
      <c r="Q11" s="43">
        <f t="shared" si="8"/>
        <v>117736.98149366495</v>
      </c>
      <c r="R11">
        <f t="shared" si="9"/>
        <v>0</v>
      </c>
      <c r="S11">
        <f t="shared" si="10"/>
        <v>4423.6708514065103</v>
      </c>
      <c r="T11" s="43">
        <f t="shared" si="11"/>
        <v>117736.98149366495</v>
      </c>
      <c r="U11">
        <f t="shared" si="12"/>
        <v>0</v>
      </c>
      <c r="V11">
        <f t="shared" si="13"/>
        <v>4423.6708514065103</v>
      </c>
      <c r="W11" s="43">
        <f t="shared" si="14"/>
        <v>117736.98149366495</v>
      </c>
      <c r="X11" s="43">
        <f t="shared" si="15"/>
        <v>12571.118445136526</v>
      </c>
      <c r="Y11" s="27">
        <f t="shared" si="16"/>
        <v>901.77372385107469</v>
      </c>
      <c r="Z11" s="27">
        <f t="shared" si="17"/>
        <v>116835.20776981387</v>
      </c>
      <c r="AA11">
        <f t="shared" si="18"/>
        <v>0</v>
      </c>
      <c r="AB11" s="27">
        <f t="shared" si="19"/>
        <v>116835.20776981387</v>
      </c>
      <c r="AD11" s="27">
        <f t="shared" si="20"/>
        <v>0</v>
      </c>
      <c r="AE11" s="27">
        <f t="shared" si="21"/>
        <v>116835.20776981387</v>
      </c>
      <c r="AF11" s="50"/>
      <c r="AG11" t="str">
        <f t="shared" si="22"/>
        <v>5300330</v>
      </c>
    </row>
    <row r="12" spans="1:33" hidden="1" x14ac:dyDescent="0.25">
      <c r="A12" s="7" t="s">
        <v>95</v>
      </c>
      <c r="B12" s="2" t="s">
        <v>678</v>
      </c>
      <c r="C12" s="4" t="s">
        <v>677</v>
      </c>
      <c r="D12">
        <f>_xlfn.IFNA(VLOOKUP(A12,'Prior Year data'!$A$1:$T$318,12,FALSE),0)</f>
        <v>1829693.5006773435</v>
      </c>
      <c r="E12">
        <f>VLOOKUP(A12,'Basic HH'!$B$1:$Y$319,23,FALSE)</f>
        <v>781848.59963280894</v>
      </c>
      <c r="F12">
        <f>VLOOKUP(A12,'Conc. HH'!$B$1:$Y$319,23,FALSE)</f>
        <v>0</v>
      </c>
      <c r="G12">
        <f>VLOOKUP(A12,'Targeted HH'!$B$1:$Y$319,23,FALSE)</f>
        <v>420954.07770061994</v>
      </c>
      <c r="H12">
        <f>VLOOKUP(A12,'EFIG HH'!$B$1:$Y$319,23,FALSE)</f>
        <v>570764.86876332923</v>
      </c>
      <c r="I12">
        <f t="shared" si="0"/>
        <v>1773567.5460967582</v>
      </c>
      <c r="J12">
        <f t="shared" si="1"/>
        <v>0</v>
      </c>
      <c r="K12" s="43">
        <f t="shared" si="2"/>
        <v>1773567.5460967582</v>
      </c>
      <c r="L12">
        <f t="shared" si="3"/>
        <v>0</v>
      </c>
      <c r="M12">
        <f t="shared" si="4"/>
        <v>0</v>
      </c>
      <c r="N12" s="43">
        <f t="shared" si="5"/>
        <v>1773567.5460967582</v>
      </c>
      <c r="O12">
        <f t="shared" si="6"/>
        <v>0</v>
      </c>
      <c r="P12">
        <f t="shared" si="7"/>
        <v>0</v>
      </c>
      <c r="Q12" s="43">
        <f t="shared" si="8"/>
        <v>1773567.5460967582</v>
      </c>
      <c r="R12">
        <f t="shared" si="9"/>
        <v>0</v>
      </c>
      <c r="S12">
        <f t="shared" si="10"/>
        <v>0</v>
      </c>
      <c r="T12" s="43">
        <f t="shared" si="11"/>
        <v>1773567.5460967582</v>
      </c>
      <c r="U12">
        <f t="shared" si="12"/>
        <v>0</v>
      </c>
      <c r="V12">
        <f t="shared" si="13"/>
        <v>0</v>
      </c>
      <c r="W12" s="43">
        <f t="shared" si="14"/>
        <v>1773567.5460967582</v>
      </c>
      <c r="X12" s="43">
        <f t="shared" si="15"/>
        <v>0</v>
      </c>
      <c r="Y12" s="27">
        <f t="shared" si="16"/>
        <v>13584.148245138615</v>
      </c>
      <c r="Z12" s="27">
        <f t="shared" si="17"/>
        <v>1759983.3978516196</v>
      </c>
      <c r="AA12">
        <f t="shared" si="18"/>
        <v>0</v>
      </c>
      <c r="AB12" s="27">
        <f t="shared" si="19"/>
        <v>1759983.3978516196</v>
      </c>
      <c r="AD12" s="27">
        <f t="shared" si="20"/>
        <v>0</v>
      </c>
      <c r="AE12" s="27">
        <f t="shared" si="21"/>
        <v>1759983.3978516196</v>
      </c>
      <c r="AF12" s="50"/>
      <c r="AG12" t="str">
        <f t="shared" si="22"/>
        <v>5300380</v>
      </c>
    </row>
    <row r="13" spans="1:33" hidden="1" x14ac:dyDescent="0.25">
      <c r="A13" s="7" t="s">
        <v>97</v>
      </c>
      <c r="B13" s="2" t="s">
        <v>680</v>
      </c>
      <c r="C13" s="4" t="s">
        <v>679</v>
      </c>
      <c r="D13">
        <f>_xlfn.IFNA(VLOOKUP(A13,'Prior Year data'!$A$1:$T$318,12,FALSE),0)</f>
        <v>2780129.1147735142</v>
      </c>
      <c r="E13">
        <f>VLOOKUP(A13,'Basic HH'!$B$1:$Y$319,23,FALSE)</f>
        <v>1271807.0554027022</v>
      </c>
      <c r="F13">
        <f>VLOOKUP(A13,'Conc. HH'!$B$1:$Y$319,23,FALSE)</f>
        <v>0</v>
      </c>
      <c r="G13">
        <f>VLOOKUP(A13,'Targeted HH'!$B$1:$Y$319,23,FALSE)</f>
        <v>775485.83452961373</v>
      </c>
      <c r="H13">
        <f>VLOOKUP(A13,'EFIG HH'!$B$1:$Y$319,23,FALSE)</f>
        <v>1051468.7801359289</v>
      </c>
      <c r="I13">
        <f t="shared" si="0"/>
        <v>3098761.6700682444</v>
      </c>
      <c r="J13">
        <f t="shared" si="1"/>
        <v>3098761.6700682444</v>
      </c>
      <c r="K13" s="43">
        <f t="shared" si="2"/>
        <v>2817359.7328564543</v>
      </c>
      <c r="L13">
        <f t="shared" si="3"/>
        <v>0</v>
      </c>
      <c r="M13">
        <f t="shared" si="4"/>
        <v>37230.618082940113</v>
      </c>
      <c r="N13" s="43">
        <f t="shared" si="5"/>
        <v>2812038.4833744019</v>
      </c>
      <c r="O13">
        <f t="shared" si="6"/>
        <v>0</v>
      </c>
      <c r="P13">
        <f t="shared" si="7"/>
        <v>31909.368600887712</v>
      </c>
      <c r="Q13" s="43">
        <f t="shared" si="8"/>
        <v>2812038.4833744019</v>
      </c>
      <c r="R13">
        <f t="shared" si="9"/>
        <v>0</v>
      </c>
      <c r="S13">
        <f t="shared" si="10"/>
        <v>31909.368600887712</v>
      </c>
      <c r="T13" s="43">
        <f t="shared" si="11"/>
        <v>2812038.4833744019</v>
      </c>
      <c r="U13">
        <f t="shared" si="12"/>
        <v>0</v>
      </c>
      <c r="V13">
        <f t="shared" si="13"/>
        <v>31909.368600887712</v>
      </c>
      <c r="W13" s="43">
        <f t="shared" si="14"/>
        <v>2812038.4833744019</v>
      </c>
      <c r="X13" s="43">
        <f t="shared" si="15"/>
        <v>286723.18669384252</v>
      </c>
      <c r="Y13" s="27">
        <f t="shared" si="16"/>
        <v>21538.028091042128</v>
      </c>
      <c r="Z13" s="27">
        <f t="shared" si="17"/>
        <v>2790500.4552833596</v>
      </c>
      <c r="AA13">
        <f t="shared" si="18"/>
        <v>0</v>
      </c>
      <c r="AB13" s="27">
        <f t="shared" si="19"/>
        <v>2790500.4552833596</v>
      </c>
      <c r="AD13" s="27">
        <f t="shared" si="20"/>
        <v>0</v>
      </c>
      <c r="AE13" s="27">
        <f t="shared" si="21"/>
        <v>2790500.4552833596</v>
      </c>
      <c r="AF13" s="50"/>
      <c r="AG13" t="str">
        <f t="shared" si="22"/>
        <v>5300390</v>
      </c>
    </row>
    <row r="14" spans="1:33" hidden="1" x14ac:dyDescent="0.25">
      <c r="A14" s="7" t="s">
        <v>56</v>
      </c>
      <c r="B14" s="2" t="s">
        <v>681</v>
      </c>
      <c r="C14" s="4" t="s">
        <v>14</v>
      </c>
      <c r="D14">
        <f>_xlfn.IFNA(VLOOKUP(A14,'Prior Year data'!$A$1:$T$318,12,FALSE),0)</f>
        <v>3081575.6047793725</v>
      </c>
      <c r="E14">
        <f>VLOOKUP(A14,'Basic HH'!$B$1:$Y$319,23,FALSE)</f>
        <v>1162986.8274737073</v>
      </c>
      <c r="F14">
        <f>VLOOKUP(A14,'Conc. HH'!$B$1:$Y$319,23,FALSE)</f>
        <v>0</v>
      </c>
      <c r="G14">
        <f>VLOOKUP(A14,'Targeted HH'!$B$1:$Y$319,23,FALSE)</f>
        <v>697632.39303194045</v>
      </c>
      <c r="H14">
        <f>VLOOKUP(A14,'EFIG HH'!$B$1:$Y$319,23,FALSE)</f>
        <v>945908.54999891226</v>
      </c>
      <c r="I14">
        <f t="shared" si="0"/>
        <v>2806527.7705045603</v>
      </c>
      <c r="J14">
        <f t="shared" si="1"/>
        <v>0</v>
      </c>
      <c r="K14" s="43">
        <f t="shared" si="2"/>
        <v>2806527.7705045603</v>
      </c>
      <c r="L14">
        <f t="shared" si="3"/>
        <v>0</v>
      </c>
      <c r="M14">
        <f t="shared" si="4"/>
        <v>0</v>
      </c>
      <c r="N14" s="43">
        <f t="shared" si="5"/>
        <v>2806527.7705045603</v>
      </c>
      <c r="O14">
        <f t="shared" si="6"/>
        <v>0</v>
      </c>
      <c r="P14">
        <f t="shared" si="7"/>
        <v>0</v>
      </c>
      <c r="Q14" s="43">
        <f t="shared" si="8"/>
        <v>2806527.7705045603</v>
      </c>
      <c r="R14">
        <f t="shared" si="9"/>
        <v>0</v>
      </c>
      <c r="S14">
        <f t="shared" si="10"/>
        <v>0</v>
      </c>
      <c r="T14" s="43">
        <f t="shared" si="11"/>
        <v>2806527.7705045603</v>
      </c>
      <c r="U14">
        <f t="shared" si="12"/>
        <v>0</v>
      </c>
      <c r="V14">
        <f t="shared" si="13"/>
        <v>0</v>
      </c>
      <c r="W14" s="43">
        <f t="shared" si="14"/>
        <v>2806527.7705045603</v>
      </c>
      <c r="X14" s="43">
        <f t="shared" si="15"/>
        <v>0</v>
      </c>
      <c r="Y14" s="27">
        <f t="shared" si="16"/>
        <v>21495.820315688397</v>
      </c>
      <c r="Z14" s="27">
        <f t="shared" si="17"/>
        <v>2785031.9501888719</v>
      </c>
      <c r="AA14">
        <f t="shared" si="18"/>
        <v>0</v>
      </c>
      <c r="AB14" s="27">
        <f t="shared" si="19"/>
        <v>2785031.9501888719</v>
      </c>
      <c r="AD14" s="27">
        <f t="shared" si="20"/>
        <v>0</v>
      </c>
      <c r="AE14" s="27">
        <f t="shared" si="21"/>
        <v>2785031.9501888719</v>
      </c>
      <c r="AF14" s="50"/>
      <c r="AG14" t="str">
        <f t="shared" si="22"/>
        <v>5300420</v>
      </c>
    </row>
    <row r="15" spans="1:33" hidden="1" x14ac:dyDescent="0.25">
      <c r="A15" s="7" t="s">
        <v>99</v>
      </c>
      <c r="B15" s="2" t="s">
        <v>683</v>
      </c>
      <c r="C15" s="4" t="s">
        <v>682</v>
      </c>
      <c r="D15">
        <f>_xlfn.IFNA(VLOOKUP(A15,'Prior Year data'!$A$1:$T$318,12,FALSE),0)</f>
        <v>0</v>
      </c>
      <c r="E15">
        <f>VLOOKUP(A15,'Basic HH'!$B$1:$Y$319,23,FALSE)</f>
        <v>0</v>
      </c>
      <c r="F15">
        <f>VLOOKUP(A15,'Conc. HH'!$B$1:$Y$319,23,FALSE)</f>
        <v>0</v>
      </c>
      <c r="G15">
        <f>VLOOKUP(A15,'Targeted HH'!$B$1:$Y$319,23,FALSE)</f>
        <v>0</v>
      </c>
      <c r="H15">
        <f>VLOOKUP(A15,'EFIG HH'!$B$1:$Y$319,23,FALSE)</f>
        <v>0</v>
      </c>
      <c r="I15">
        <f t="shared" si="0"/>
        <v>0</v>
      </c>
      <c r="J15">
        <f t="shared" si="1"/>
        <v>0</v>
      </c>
      <c r="K15" s="43">
        <f t="shared" si="2"/>
        <v>0</v>
      </c>
      <c r="L15">
        <f t="shared" si="3"/>
        <v>0</v>
      </c>
      <c r="M15">
        <f t="shared" si="4"/>
        <v>0</v>
      </c>
      <c r="N15" s="43">
        <f t="shared" si="5"/>
        <v>0</v>
      </c>
      <c r="O15">
        <f t="shared" si="6"/>
        <v>0</v>
      </c>
      <c r="P15">
        <f t="shared" si="7"/>
        <v>0</v>
      </c>
      <c r="Q15" s="43">
        <f t="shared" si="8"/>
        <v>0</v>
      </c>
      <c r="R15">
        <f t="shared" si="9"/>
        <v>0</v>
      </c>
      <c r="S15">
        <f t="shared" si="10"/>
        <v>0</v>
      </c>
      <c r="T15" s="43">
        <f t="shared" si="11"/>
        <v>0</v>
      </c>
      <c r="U15">
        <f t="shared" si="12"/>
        <v>0</v>
      </c>
      <c r="V15">
        <f t="shared" si="13"/>
        <v>0</v>
      </c>
      <c r="W15" s="43">
        <f t="shared" si="14"/>
        <v>0</v>
      </c>
      <c r="X15" s="43">
        <f t="shared" si="15"/>
        <v>0</v>
      </c>
      <c r="Y15" s="27">
        <f t="shared" si="16"/>
        <v>0</v>
      </c>
      <c r="Z15" s="27">
        <f t="shared" si="17"/>
        <v>0</v>
      </c>
      <c r="AA15">
        <f t="shared" si="18"/>
        <v>0</v>
      </c>
      <c r="AB15" s="27">
        <f t="shared" si="19"/>
        <v>0</v>
      </c>
      <c r="AD15" s="27">
        <f t="shared" si="20"/>
        <v>0</v>
      </c>
      <c r="AE15" s="27">
        <f t="shared" si="21"/>
        <v>0</v>
      </c>
      <c r="AF15" s="50"/>
      <c r="AG15" t="str">
        <f t="shared" si="22"/>
        <v>5300450</v>
      </c>
    </row>
    <row r="16" spans="1:33" hidden="1" x14ac:dyDescent="0.25">
      <c r="A16" s="7" t="s">
        <v>264</v>
      </c>
      <c r="B16" s="2" t="s">
        <v>685</v>
      </c>
      <c r="C16" s="4" t="s">
        <v>684</v>
      </c>
      <c r="D16">
        <f>_xlfn.IFNA(VLOOKUP(A16,'Prior Year data'!$A$1:$T$318,12,FALSE),0)</f>
        <v>4459076.4720772775</v>
      </c>
      <c r="E16">
        <f>VLOOKUP(A16,'Basic HH'!$B$1:$Y$319,23,FALSE)</f>
        <v>2179620.1516430196</v>
      </c>
      <c r="F16">
        <f>VLOOKUP(A16,'Conc. HH'!$B$1:$Y$319,23,FALSE)</f>
        <v>0</v>
      </c>
      <c r="G16">
        <f>VLOOKUP(A16,'Targeted HH'!$B$1:$Y$319,23,FALSE)</f>
        <v>1484130.2799171181</v>
      </c>
      <c r="H16">
        <f>VLOOKUP(A16,'EFIG HH'!$B$1:$Y$319,23,FALSE)</f>
        <v>2012308.3949480637</v>
      </c>
      <c r="I16">
        <f t="shared" si="0"/>
        <v>5676058.8265082017</v>
      </c>
      <c r="J16">
        <f t="shared" si="1"/>
        <v>5676058.8265082017</v>
      </c>
      <c r="K16" s="43">
        <f t="shared" si="2"/>
        <v>5160609.7150338395</v>
      </c>
      <c r="L16">
        <f t="shared" si="3"/>
        <v>0</v>
      </c>
      <c r="M16">
        <f t="shared" si="4"/>
        <v>701533.24295656197</v>
      </c>
      <c r="N16" s="43">
        <f t="shared" si="5"/>
        <v>5060341.8817840945</v>
      </c>
      <c r="O16">
        <f t="shared" si="6"/>
        <v>0</v>
      </c>
      <c r="P16">
        <f t="shared" si="7"/>
        <v>601265.40970681701</v>
      </c>
      <c r="Q16" s="43">
        <f t="shared" si="8"/>
        <v>5060341.8817840945</v>
      </c>
      <c r="R16">
        <f t="shared" si="9"/>
        <v>0</v>
      </c>
      <c r="S16">
        <f t="shared" si="10"/>
        <v>601265.40970681701</v>
      </c>
      <c r="T16" s="43">
        <f t="shared" si="11"/>
        <v>5060341.8817840945</v>
      </c>
      <c r="U16">
        <f t="shared" si="12"/>
        <v>0</v>
      </c>
      <c r="V16">
        <f t="shared" si="13"/>
        <v>601265.40970681701</v>
      </c>
      <c r="W16" s="43">
        <f t="shared" si="14"/>
        <v>5060341.8817840945</v>
      </c>
      <c r="X16" s="43">
        <f t="shared" si="15"/>
        <v>615716.94472410716</v>
      </c>
      <c r="Y16" s="27">
        <f t="shared" si="16"/>
        <v>38758.283801776706</v>
      </c>
      <c r="Z16" s="27">
        <f t="shared" si="17"/>
        <v>5021583.5979823181</v>
      </c>
      <c r="AA16">
        <f t="shared" si="18"/>
        <v>0</v>
      </c>
      <c r="AB16" s="27">
        <f t="shared" si="19"/>
        <v>5021583.5979823181</v>
      </c>
      <c r="AD16" s="27">
        <f t="shared" si="20"/>
        <v>0</v>
      </c>
      <c r="AE16" s="27">
        <f t="shared" si="21"/>
        <v>5021583.5979823181</v>
      </c>
      <c r="AF16" s="50"/>
      <c r="AG16" t="str">
        <f t="shared" si="22"/>
        <v>5300480</v>
      </c>
    </row>
    <row r="17" spans="1:33" hidden="1" x14ac:dyDescent="0.25">
      <c r="A17" s="7" t="s">
        <v>314</v>
      </c>
      <c r="B17" s="2" t="s">
        <v>687</v>
      </c>
      <c r="C17" s="4" t="s">
        <v>686</v>
      </c>
      <c r="D17">
        <f>_xlfn.IFNA(VLOOKUP(A17,'Prior Year data'!$A$1:$T$318,12,FALSE),0)</f>
        <v>27341.263053630544</v>
      </c>
      <c r="E17">
        <f>VLOOKUP(A17,'Basic HH'!$B$1:$Y$319,23,FALSE)</f>
        <v>0</v>
      </c>
      <c r="F17">
        <f>VLOOKUP(A17,'Conc. HH'!$B$1:$Y$319,23,FALSE)</f>
        <v>2428.0895098544547</v>
      </c>
      <c r="G17">
        <f>VLOOKUP(A17,'Targeted HH'!$B$1:$Y$319,23,FALSE)</f>
        <v>0</v>
      </c>
      <c r="H17">
        <f>VLOOKUP(A17,'EFIG HH'!$B$1:$Y$319,23,FALSE)</f>
        <v>0</v>
      </c>
      <c r="I17">
        <f t="shared" si="0"/>
        <v>2428.0895098544547</v>
      </c>
      <c r="J17">
        <f t="shared" si="1"/>
        <v>0</v>
      </c>
      <c r="K17" s="43">
        <f t="shared" si="2"/>
        <v>2428.0895098544547</v>
      </c>
      <c r="L17">
        <f t="shared" si="3"/>
        <v>0</v>
      </c>
      <c r="M17">
        <f t="shared" si="4"/>
        <v>0</v>
      </c>
      <c r="N17" s="43">
        <f t="shared" si="5"/>
        <v>2428.0895098544547</v>
      </c>
      <c r="O17">
        <f t="shared" si="6"/>
        <v>0</v>
      </c>
      <c r="P17">
        <f t="shared" si="7"/>
        <v>0</v>
      </c>
      <c r="Q17" s="43">
        <f t="shared" si="8"/>
        <v>2428.0895098544547</v>
      </c>
      <c r="R17">
        <f t="shared" si="9"/>
        <v>0</v>
      </c>
      <c r="S17">
        <f t="shared" si="10"/>
        <v>0</v>
      </c>
      <c r="T17" s="43">
        <f t="shared" si="11"/>
        <v>2428.0895098544547</v>
      </c>
      <c r="U17">
        <f t="shared" si="12"/>
        <v>0</v>
      </c>
      <c r="V17">
        <f t="shared" si="13"/>
        <v>0</v>
      </c>
      <c r="W17" s="43">
        <f t="shared" si="14"/>
        <v>2428.0895098544547</v>
      </c>
      <c r="X17" s="43">
        <f t="shared" si="15"/>
        <v>0</v>
      </c>
      <c r="Y17" s="27">
        <f t="shared" si="16"/>
        <v>18.597277519493716</v>
      </c>
      <c r="Z17" s="27">
        <f t="shared" si="17"/>
        <v>2409.492232334961</v>
      </c>
      <c r="AA17">
        <f t="shared" si="18"/>
        <v>0</v>
      </c>
      <c r="AB17" s="27">
        <f t="shared" si="19"/>
        <v>2409.492232334961</v>
      </c>
      <c r="AD17" s="27">
        <f t="shared" si="20"/>
        <v>0</v>
      </c>
      <c r="AE17" s="27">
        <f t="shared" si="21"/>
        <v>2409.492232334961</v>
      </c>
      <c r="AF17" s="50"/>
      <c r="AG17" t="str">
        <f t="shared" si="22"/>
        <v>5300510</v>
      </c>
    </row>
    <row r="18" spans="1:33" hidden="1" x14ac:dyDescent="0.25">
      <c r="A18" s="7" t="s">
        <v>316</v>
      </c>
      <c r="B18" s="2" t="s">
        <v>689</v>
      </c>
      <c r="C18" s="4" t="s">
        <v>688</v>
      </c>
      <c r="D18">
        <f>_xlfn.IFNA(VLOOKUP(A18,'Prior Year data'!$A$1:$T$318,12,FALSE),0)</f>
        <v>641032.97592553066</v>
      </c>
      <c r="E18">
        <f>VLOOKUP(A18,'Basic HH'!$B$1:$Y$319,23,FALSE)</f>
        <v>266697.24454141367</v>
      </c>
      <c r="F18">
        <f>VLOOKUP(A18,'Conc. HH'!$B$1:$Y$319,23,FALSE)</f>
        <v>59470.207143212981</v>
      </c>
      <c r="G18">
        <f>VLOOKUP(A18,'Targeted HH'!$B$1:$Y$319,23,FALSE)</f>
        <v>128653.95903841745</v>
      </c>
      <c r="H18">
        <f>VLOOKUP(A18,'EFIG HH'!$B$1:$Y$319,23,FALSE)</f>
        <v>174439.83545081335</v>
      </c>
      <c r="I18">
        <f t="shared" si="0"/>
        <v>629261.24617385748</v>
      </c>
      <c r="J18">
        <f t="shared" si="1"/>
        <v>0</v>
      </c>
      <c r="K18" s="43">
        <f t="shared" si="2"/>
        <v>629261.24617385748</v>
      </c>
      <c r="L18">
        <f t="shared" si="3"/>
        <v>0</v>
      </c>
      <c r="M18">
        <f t="shared" si="4"/>
        <v>0</v>
      </c>
      <c r="N18" s="43">
        <f t="shared" si="5"/>
        <v>629261.24617385748</v>
      </c>
      <c r="O18">
        <f t="shared" si="6"/>
        <v>0</v>
      </c>
      <c r="P18">
        <f t="shared" si="7"/>
        <v>0</v>
      </c>
      <c r="Q18" s="43">
        <f t="shared" si="8"/>
        <v>629261.24617385748</v>
      </c>
      <c r="R18">
        <f t="shared" si="9"/>
        <v>0</v>
      </c>
      <c r="S18">
        <f t="shared" si="10"/>
        <v>0</v>
      </c>
      <c r="T18" s="43">
        <f t="shared" si="11"/>
        <v>629261.24617385748</v>
      </c>
      <c r="U18">
        <f t="shared" si="12"/>
        <v>0</v>
      </c>
      <c r="V18">
        <f t="shared" si="13"/>
        <v>0</v>
      </c>
      <c r="W18" s="43">
        <f t="shared" si="14"/>
        <v>629261.24617385748</v>
      </c>
      <c r="X18" s="43">
        <f t="shared" si="15"/>
        <v>0</v>
      </c>
      <c r="Y18" s="27">
        <f t="shared" si="16"/>
        <v>4819.6518208503594</v>
      </c>
      <c r="Z18" s="27">
        <f t="shared" si="17"/>
        <v>624441.59435300715</v>
      </c>
      <c r="AA18">
        <f t="shared" si="18"/>
        <v>0</v>
      </c>
      <c r="AB18" s="27">
        <f t="shared" si="19"/>
        <v>624441.59435300715</v>
      </c>
      <c r="AD18" s="27">
        <f t="shared" si="20"/>
        <v>0</v>
      </c>
      <c r="AE18" s="27">
        <f t="shared" si="21"/>
        <v>624441.59435300715</v>
      </c>
      <c r="AF18" s="50"/>
      <c r="AG18" t="str">
        <f t="shared" si="22"/>
        <v>5300570</v>
      </c>
    </row>
    <row r="19" spans="1:33" hidden="1" x14ac:dyDescent="0.25">
      <c r="A19" s="7" t="s">
        <v>318</v>
      </c>
      <c r="B19" s="2" t="s">
        <v>691</v>
      </c>
      <c r="C19" s="4" t="s">
        <v>690</v>
      </c>
      <c r="D19">
        <f>_xlfn.IFNA(VLOOKUP(A19,'Prior Year data'!$A$1:$T$318,12,FALSE),0)</f>
        <v>49364.800662996495</v>
      </c>
      <c r="E19">
        <f>VLOOKUP(A19,'Basic HH'!$B$1:$Y$319,23,FALSE)</f>
        <v>20849.295990208251</v>
      </c>
      <c r="F19">
        <f>VLOOKUP(A19,'Conc. HH'!$B$1:$Y$319,23,FALSE)</f>
        <v>3256.4525458976077</v>
      </c>
      <c r="G19">
        <f>VLOOKUP(A19,'Targeted HH'!$B$1:$Y$319,23,FALSE)</f>
        <v>10057.638491602667</v>
      </c>
      <c r="H19">
        <f>VLOOKUP(A19,'EFIG HH'!$B$1:$Y$319,23,FALSE)</f>
        <v>13636.990393548929</v>
      </c>
      <c r="I19">
        <f t="shared" si="0"/>
        <v>47800.37742125745</v>
      </c>
      <c r="J19">
        <f t="shared" si="1"/>
        <v>0</v>
      </c>
      <c r="K19" s="43">
        <f t="shared" si="2"/>
        <v>47800.37742125745</v>
      </c>
      <c r="L19">
        <f t="shared" si="3"/>
        <v>0</v>
      </c>
      <c r="M19">
        <f t="shared" si="4"/>
        <v>0</v>
      </c>
      <c r="N19" s="43">
        <f t="shared" si="5"/>
        <v>47800.37742125745</v>
      </c>
      <c r="O19">
        <f t="shared" si="6"/>
        <v>0</v>
      </c>
      <c r="P19">
        <f t="shared" si="7"/>
        <v>0</v>
      </c>
      <c r="Q19" s="43">
        <f t="shared" si="8"/>
        <v>47800.37742125745</v>
      </c>
      <c r="R19">
        <f t="shared" si="9"/>
        <v>0</v>
      </c>
      <c r="S19">
        <f t="shared" si="10"/>
        <v>0</v>
      </c>
      <c r="T19" s="43">
        <f t="shared" si="11"/>
        <v>47800.37742125745</v>
      </c>
      <c r="U19">
        <f t="shared" si="12"/>
        <v>0</v>
      </c>
      <c r="V19">
        <f t="shared" si="13"/>
        <v>0</v>
      </c>
      <c r="W19" s="43">
        <f t="shared" si="14"/>
        <v>47800.37742125745</v>
      </c>
      <c r="X19" s="43">
        <f t="shared" si="15"/>
        <v>0</v>
      </c>
      <c r="Y19" s="27">
        <f t="shared" si="16"/>
        <v>366.11372061524702</v>
      </c>
      <c r="Z19" s="27">
        <f t="shared" si="17"/>
        <v>47434.263700642201</v>
      </c>
      <c r="AA19">
        <f t="shared" si="18"/>
        <v>0</v>
      </c>
      <c r="AB19" s="27">
        <f t="shared" si="19"/>
        <v>47434.263700642201</v>
      </c>
      <c r="AD19" s="27">
        <f t="shared" si="20"/>
        <v>0</v>
      </c>
      <c r="AE19" s="27">
        <f t="shared" si="21"/>
        <v>47434.263700642201</v>
      </c>
      <c r="AF19" s="50"/>
      <c r="AG19" t="str">
        <f t="shared" si="22"/>
        <v>5300630</v>
      </c>
    </row>
    <row r="20" spans="1:33" x14ac:dyDescent="0.25">
      <c r="A20" s="7" t="s">
        <v>55</v>
      </c>
      <c r="B20" s="2" t="s">
        <v>692</v>
      </c>
      <c r="C20" s="4" t="s">
        <v>10</v>
      </c>
      <c r="D20">
        <f>_xlfn.IFNA(VLOOKUP(A20,'Prior Year data'!$A$1:$T$318,12,FALSE),0)</f>
        <v>1818379.8739248316</v>
      </c>
      <c r="E20">
        <f>VLOOKUP(A20,'Basic HH'!$B$1:$Y$319,23,FALSE)</f>
        <v>737211.79124382534</v>
      </c>
      <c r="F20">
        <f>VLOOKUP(A20,'Conc. HH'!$B$1:$Y$319,23,FALSE)</f>
        <v>194243.15712184162</v>
      </c>
      <c r="G20">
        <f>VLOOKUP(A20,'Targeted HH'!$B$1:$Y$319,23,FALSE)</f>
        <v>412275.3155510567</v>
      </c>
      <c r="H20">
        <f>VLOOKUP(A20,'EFIG HH'!$B$1:$Y$319,23,FALSE)</f>
        <v>566679.8614407694</v>
      </c>
      <c r="I20">
        <f t="shared" si="0"/>
        <v>1910410.1253574931</v>
      </c>
      <c r="J20">
        <f t="shared" si="1"/>
        <v>1910410.1253574931</v>
      </c>
      <c r="K20" s="43">
        <f t="shared" si="2"/>
        <v>1736923.6919420515</v>
      </c>
      <c r="L20">
        <f t="shared" si="3"/>
        <v>81456.181982780108</v>
      </c>
      <c r="M20">
        <f t="shared" si="4"/>
        <v>0</v>
      </c>
      <c r="N20" s="43">
        <f t="shared" si="5"/>
        <v>1818379.8739248316</v>
      </c>
      <c r="O20">
        <f t="shared" si="6"/>
        <v>0</v>
      </c>
      <c r="P20">
        <f t="shared" si="7"/>
        <v>0</v>
      </c>
      <c r="Q20" s="43">
        <f t="shared" si="8"/>
        <v>1818379.8739248316</v>
      </c>
      <c r="R20">
        <f t="shared" si="9"/>
        <v>0</v>
      </c>
      <c r="S20">
        <f t="shared" si="10"/>
        <v>0</v>
      </c>
      <c r="T20" s="43">
        <f t="shared" si="11"/>
        <v>1818379.8739248316</v>
      </c>
      <c r="U20">
        <f t="shared" si="12"/>
        <v>0</v>
      </c>
      <c r="V20">
        <f t="shared" si="13"/>
        <v>0</v>
      </c>
      <c r="W20" s="43">
        <f t="shared" si="14"/>
        <v>1818379.8739248316</v>
      </c>
      <c r="X20" s="43">
        <f t="shared" si="15"/>
        <v>92030.251432661433</v>
      </c>
      <c r="Y20" s="27">
        <f t="shared" si="16"/>
        <v>13927.375829431076</v>
      </c>
      <c r="Z20" s="27">
        <f t="shared" si="17"/>
        <v>1804452.4980954006</v>
      </c>
      <c r="AA20">
        <f t="shared" si="18"/>
        <v>0</v>
      </c>
      <c r="AB20" s="27">
        <f t="shared" si="19"/>
        <v>1804452.4980954006</v>
      </c>
      <c r="AD20" s="27">
        <f t="shared" si="20"/>
        <v>0</v>
      </c>
      <c r="AE20" s="27">
        <f t="shared" si="21"/>
        <v>1804452.4980954006</v>
      </c>
      <c r="AF20" s="50"/>
      <c r="AG20" t="str">
        <f t="shared" si="22"/>
        <v>5300660</v>
      </c>
    </row>
    <row r="21" spans="1:33" x14ac:dyDescent="0.25">
      <c r="A21" s="7" t="s">
        <v>320</v>
      </c>
      <c r="B21" s="2" t="s">
        <v>694</v>
      </c>
      <c r="C21" s="4" t="s">
        <v>693</v>
      </c>
      <c r="D21">
        <f>_xlfn.IFNA(VLOOKUP(A21,'Prior Year data'!$A$1:$T$318,12,FALSE),0)</f>
        <v>579835.67355673655</v>
      </c>
      <c r="E21">
        <f>VLOOKUP(A21,'Basic HH'!$B$1:$Y$319,23,FALSE)</f>
        <v>210230.40123459979</v>
      </c>
      <c r="F21">
        <f>VLOOKUP(A21,'Conc. HH'!$B$1:$Y$319,23,FALSE)</f>
        <v>56564.664913629487</v>
      </c>
      <c r="G21">
        <f>VLOOKUP(A21,'Targeted HH'!$B$1:$Y$319,23,FALSE)</f>
        <v>141117.64657488052</v>
      </c>
      <c r="H21">
        <f>VLOOKUP(A21,'EFIG HH'!$B$1:$Y$319,23,FALSE)</f>
        <v>191339.14907645734</v>
      </c>
      <c r="I21">
        <f t="shared" si="0"/>
        <v>599251.86179956712</v>
      </c>
      <c r="J21">
        <f t="shared" si="1"/>
        <v>599251.86179956712</v>
      </c>
      <c r="K21" s="43">
        <f t="shared" si="2"/>
        <v>544833.14466587536</v>
      </c>
      <c r="L21">
        <f t="shared" si="3"/>
        <v>35002.528890861198</v>
      </c>
      <c r="M21">
        <f t="shared" si="4"/>
        <v>0</v>
      </c>
      <c r="N21" s="43">
        <f t="shared" si="5"/>
        <v>579835.67355673655</v>
      </c>
      <c r="O21">
        <f t="shared" si="6"/>
        <v>0</v>
      </c>
      <c r="P21">
        <f t="shared" si="7"/>
        <v>0</v>
      </c>
      <c r="Q21" s="43">
        <f t="shared" si="8"/>
        <v>579835.67355673655</v>
      </c>
      <c r="R21">
        <f t="shared" si="9"/>
        <v>0</v>
      </c>
      <c r="S21">
        <f t="shared" si="10"/>
        <v>0</v>
      </c>
      <c r="T21" s="43">
        <f t="shared" si="11"/>
        <v>579835.67355673655</v>
      </c>
      <c r="U21">
        <f t="shared" si="12"/>
        <v>0</v>
      </c>
      <c r="V21">
        <f t="shared" si="13"/>
        <v>0</v>
      </c>
      <c r="W21" s="43">
        <f t="shared" si="14"/>
        <v>579835.67355673655</v>
      </c>
      <c r="X21" s="43">
        <f t="shared" si="15"/>
        <v>19416.188242830569</v>
      </c>
      <c r="Y21" s="27">
        <f t="shared" si="16"/>
        <v>4441.0903688157568</v>
      </c>
      <c r="Z21" s="27">
        <f t="shared" si="17"/>
        <v>575394.58318792074</v>
      </c>
      <c r="AA21">
        <f t="shared" si="18"/>
        <v>0</v>
      </c>
      <c r="AB21" s="27">
        <f t="shared" si="19"/>
        <v>575394.58318792074</v>
      </c>
      <c r="AD21" s="27">
        <f t="shared" si="20"/>
        <v>0</v>
      </c>
      <c r="AE21" s="27">
        <f t="shared" si="21"/>
        <v>575394.58318792074</v>
      </c>
      <c r="AF21" s="50"/>
      <c r="AG21" t="str">
        <f t="shared" si="22"/>
        <v>5300690</v>
      </c>
    </row>
    <row r="22" spans="1:33" hidden="1" x14ac:dyDescent="0.25">
      <c r="A22" s="7" t="s">
        <v>322</v>
      </c>
      <c r="B22" s="2" t="s">
        <v>696</v>
      </c>
      <c r="C22" s="4" t="s">
        <v>695</v>
      </c>
      <c r="D22">
        <f>_xlfn.IFNA(VLOOKUP(A22,'Prior Year data'!$A$1:$T$318,12,FALSE),0)</f>
        <v>442531.60386433947</v>
      </c>
      <c r="E22">
        <f>VLOOKUP(A22,'Basic HH'!$B$1:$Y$319,23,FALSE)</f>
        <v>136995.75234602395</v>
      </c>
      <c r="F22">
        <f>VLOOKUP(A22,'Conc. HH'!$B$1:$Y$319,23,FALSE)</f>
        <v>36229.434138894925</v>
      </c>
      <c r="G22">
        <f>VLOOKUP(A22,'Targeted HH'!$B$1:$Y$319,23,FALSE)</f>
        <v>99289.881649412011</v>
      </c>
      <c r="H22">
        <f>VLOOKUP(A22,'EFIG HH'!$B$1:$Y$319,23,FALSE)</f>
        <v>136914.16017812517</v>
      </c>
      <c r="I22">
        <f t="shared" si="0"/>
        <v>409429.22831245605</v>
      </c>
      <c r="J22">
        <f t="shared" si="1"/>
        <v>0</v>
      </c>
      <c r="K22" s="43">
        <f t="shared" si="2"/>
        <v>409429.22831245605</v>
      </c>
      <c r="L22">
        <f t="shared" si="3"/>
        <v>0</v>
      </c>
      <c r="M22">
        <f t="shared" si="4"/>
        <v>0</v>
      </c>
      <c r="N22" s="43">
        <f t="shared" si="5"/>
        <v>409429.22831245605</v>
      </c>
      <c r="O22">
        <f t="shared" si="6"/>
        <v>0</v>
      </c>
      <c r="P22">
        <f t="shared" si="7"/>
        <v>0</v>
      </c>
      <c r="Q22" s="43">
        <f t="shared" si="8"/>
        <v>409429.22831245605</v>
      </c>
      <c r="R22">
        <f t="shared" si="9"/>
        <v>0</v>
      </c>
      <c r="S22">
        <f t="shared" si="10"/>
        <v>0</v>
      </c>
      <c r="T22" s="43">
        <f t="shared" si="11"/>
        <v>409429.22831245605</v>
      </c>
      <c r="U22">
        <f t="shared" si="12"/>
        <v>0</v>
      </c>
      <c r="V22">
        <f t="shared" si="13"/>
        <v>0</v>
      </c>
      <c r="W22" s="43">
        <f t="shared" si="14"/>
        <v>409429.22831245605</v>
      </c>
      <c r="X22" s="43">
        <f t="shared" si="15"/>
        <v>0</v>
      </c>
      <c r="Y22" s="27">
        <f t="shared" si="16"/>
        <v>3135.9095093554906</v>
      </c>
      <c r="Z22" s="27">
        <f t="shared" si="17"/>
        <v>406293.31880310056</v>
      </c>
      <c r="AA22">
        <f t="shared" si="18"/>
        <v>0</v>
      </c>
      <c r="AB22" s="27">
        <f t="shared" si="19"/>
        <v>406293.31880310056</v>
      </c>
      <c r="AD22" s="27">
        <f t="shared" si="20"/>
        <v>0</v>
      </c>
      <c r="AE22" s="27">
        <f t="shared" si="21"/>
        <v>406293.31880310056</v>
      </c>
      <c r="AF22" s="50"/>
      <c r="AG22" t="str">
        <f t="shared" si="22"/>
        <v>5300720</v>
      </c>
    </row>
    <row r="23" spans="1:33" hidden="1" x14ac:dyDescent="0.25">
      <c r="A23" s="7" t="s">
        <v>324</v>
      </c>
      <c r="B23" s="2" t="s">
        <v>698</v>
      </c>
      <c r="C23" s="4" t="s">
        <v>697</v>
      </c>
      <c r="D23">
        <f>_xlfn.IFNA(VLOOKUP(A23,'Prior Year data'!$A$1:$T$318,12,FALSE),0)</f>
        <v>66794.848917701835</v>
      </c>
      <c r="E23">
        <f>VLOOKUP(A23,'Basic HH'!$B$1:$Y$319,23,FALSE)</f>
        <v>22586.737322725596</v>
      </c>
      <c r="F23">
        <f>VLOOKUP(A23,'Conc. HH'!$B$1:$Y$319,23,FALSE)</f>
        <v>6077.1954039436632</v>
      </c>
      <c r="G23">
        <f>VLOOKUP(A23,'Targeted HH'!$B$1:$Y$319,23,FALSE)</f>
        <v>14837.885130639725</v>
      </c>
      <c r="H23">
        <f>VLOOKUP(A23,'EFIG HH'!$B$1:$Y$319,23,FALSE)</f>
        <v>20460.459290849209</v>
      </c>
      <c r="I23">
        <f t="shared" si="0"/>
        <v>63962.277148158188</v>
      </c>
      <c r="J23">
        <f t="shared" si="1"/>
        <v>0</v>
      </c>
      <c r="K23" s="43">
        <f t="shared" si="2"/>
        <v>63962.277148158188</v>
      </c>
      <c r="L23">
        <f t="shared" si="3"/>
        <v>0</v>
      </c>
      <c r="M23">
        <f t="shared" si="4"/>
        <v>0</v>
      </c>
      <c r="N23" s="43">
        <f t="shared" si="5"/>
        <v>63962.277148158188</v>
      </c>
      <c r="O23">
        <f t="shared" si="6"/>
        <v>0</v>
      </c>
      <c r="P23">
        <f t="shared" si="7"/>
        <v>0</v>
      </c>
      <c r="Q23" s="43">
        <f t="shared" si="8"/>
        <v>63962.277148158188</v>
      </c>
      <c r="R23">
        <f t="shared" si="9"/>
        <v>0</v>
      </c>
      <c r="S23">
        <f t="shared" si="10"/>
        <v>0</v>
      </c>
      <c r="T23" s="43">
        <f t="shared" si="11"/>
        <v>63962.277148158188</v>
      </c>
      <c r="U23">
        <f t="shared" si="12"/>
        <v>0</v>
      </c>
      <c r="V23">
        <f t="shared" si="13"/>
        <v>0</v>
      </c>
      <c r="W23" s="43">
        <f t="shared" si="14"/>
        <v>63962.277148158188</v>
      </c>
      <c r="X23" s="43">
        <f t="shared" si="15"/>
        <v>0</v>
      </c>
      <c r="Y23" s="27">
        <f t="shared" si="16"/>
        <v>489.90130473994407</v>
      </c>
      <c r="Z23" s="27">
        <f t="shared" si="17"/>
        <v>63472.375843418245</v>
      </c>
      <c r="AA23">
        <f t="shared" si="18"/>
        <v>0</v>
      </c>
      <c r="AB23" s="27">
        <f t="shared" si="19"/>
        <v>63472.375843418245</v>
      </c>
      <c r="AD23" s="27">
        <f t="shared" si="20"/>
        <v>0</v>
      </c>
      <c r="AE23" s="27">
        <f t="shared" si="21"/>
        <v>63472.375843418245</v>
      </c>
      <c r="AF23" s="50"/>
      <c r="AG23" t="str">
        <f t="shared" si="22"/>
        <v>5300750</v>
      </c>
    </row>
    <row r="24" spans="1:33" hidden="1" x14ac:dyDescent="0.25">
      <c r="A24" s="7" t="s">
        <v>326</v>
      </c>
      <c r="B24" s="2" t="s">
        <v>700</v>
      </c>
      <c r="C24" s="4" t="s">
        <v>699</v>
      </c>
      <c r="D24">
        <f>_xlfn.IFNA(VLOOKUP(A24,'Prior Year data'!$A$1:$T$318,12,FALSE),0)</f>
        <v>880329.56354514789</v>
      </c>
      <c r="E24">
        <f>VLOOKUP(A24,'Basic HH'!$B$1:$Y$319,23,FALSE)</f>
        <v>348356.98716972949</v>
      </c>
      <c r="F24">
        <f>VLOOKUP(A24,'Conc. HH'!$B$1:$Y$319,23,FALSE)</f>
        <v>82871.102719739152</v>
      </c>
      <c r="G24">
        <f>VLOOKUP(A24,'Targeted HH'!$B$1:$Y$319,23,FALSE)</f>
        <v>168046.37646386118</v>
      </c>
      <c r="H24">
        <f>VLOOKUP(A24,'EFIG HH'!$B$1:$Y$319,23,FALSE)</f>
        <v>227851.38115888005</v>
      </c>
      <c r="I24">
        <f t="shared" si="0"/>
        <v>827125.8475122099</v>
      </c>
      <c r="J24">
        <f t="shared" si="1"/>
        <v>0</v>
      </c>
      <c r="K24" s="43">
        <f t="shared" si="2"/>
        <v>827125.8475122099</v>
      </c>
      <c r="L24">
        <f t="shared" si="3"/>
        <v>0</v>
      </c>
      <c r="M24">
        <f t="shared" si="4"/>
        <v>0</v>
      </c>
      <c r="N24" s="43">
        <f t="shared" si="5"/>
        <v>827125.8475122099</v>
      </c>
      <c r="O24">
        <f t="shared" si="6"/>
        <v>0</v>
      </c>
      <c r="P24">
        <f t="shared" si="7"/>
        <v>0</v>
      </c>
      <c r="Q24" s="43">
        <f t="shared" si="8"/>
        <v>827125.8475122099</v>
      </c>
      <c r="R24">
        <f t="shared" si="9"/>
        <v>0</v>
      </c>
      <c r="S24">
        <f t="shared" si="10"/>
        <v>0</v>
      </c>
      <c r="T24" s="43">
        <f t="shared" si="11"/>
        <v>827125.8475122099</v>
      </c>
      <c r="U24">
        <f t="shared" si="12"/>
        <v>0</v>
      </c>
      <c r="V24">
        <f t="shared" si="13"/>
        <v>0</v>
      </c>
      <c r="W24" s="43">
        <f t="shared" si="14"/>
        <v>827125.8475122099</v>
      </c>
      <c r="X24" s="43">
        <f t="shared" si="15"/>
        <v>0</v>
      </c>
      <c r="Y24" s="27">
        <f t="shared" si="16"/>
        <v>6335.1408040361148</v>
      </c>
      <c r="Z24" s="27">
        <f t="shared" si="17"/>
        <v>820790.70670817373</v>
      </c>
      <c r="AA24">
        <f t="shared" si="18"/>
        <v>0</v>
      </c>
      <c r="AB24" s="27">
        <f t="shared" si="19"/>
        <v>820790.70670817373</v>
      </c>
      <c r="AD24" s="27">
        <f t="shared" si="20"/>
        <v>0</v>
      </c>
      <c r="AE24" s="27">
        <f t="shared" si="21"/>
        <v>820790.70670817373</v>
      </c>
      <c r="AF24" s="50"/>
      <c r="AG24" t="str">
        <f t="shared" si="22"/>
        <v>5300780</v>
      </c>
    </row>
    <row r="25" spans="1:33" x14ac:dyDescent="0.25">
      <c r="A25" s="7" t="s">
        <v>101</v>
      </c>
      <c r="B25" s="2" t="s">
        <v>702</v>
      </c>
      <c r="C25" s="4" t="s">
        <v>701</v>
      </c>
      <c r="D25">
        <f>_xlfn.IFNA(VLOOKUP(A25,'Prior Year data'!$A$1:$T$318,12,FALSE),0)</f>
        <v>224872.31701636905</v>
      </c>
      <c r="E25">
        <f>VLOOKUP(A25,'Basic HH'!$B$1:$Y$319,23,FALSE)</f>
        <v>235423.3005561014</v>
      </c>
      <c r="F25">
        <f>VLOOKUP(A25,'Conc. HH'!$B$1:$Y$319,23,FALSE)</f>
        <v>0</v>
      </c>
      <c r="G25">
        <f>VLOOKUP(A25,'Targeted HH'!$B$1:$Y$319,23,FALSE)</f>
        <v>0</v>
      </c>
      <c r="H25">
        <f>VLOOKUP(A25,'EFIG HH'!$B$1:$Y$319,23,FALSE)</f>
        <v>0</v>
      </c>
      <c r="I25">
        <f t="shared" si="0"/>
        <v>235423.3005561014</v>
      </c>
      <c r="J25">
        <f t="shared" si="1"/>
        <v>235423.3005561014</v>
      </c>
      <c r="K25" s="43">
        <f t="shared" si="2"/>
        <v>214044.253086529</v>
      </c>
      <c r="L25">
        <f t="shared" si="3"/>
        <v>10828.063929840049</v>
      </c>
      <c r="M25">
        <f t="shared" si="4"/>
        <v>0</v>
      </c>
      <c r="N25" s="43">
        <f t="shared" si="5"/>
        <v>224872.31701636905</v>
      </c>
      <c r="O25">
        <f t="shared" si="6"/>
        <v>0</v>
      </c>
      <c r="P25">
        <f t="shared" si="7"/>
        <v>0</v>
      </c>
      <c r="Q25" s="43">
        <f t="shared" si="8"/>
        <v>224872.31701636905</v>
      </c>
      <c r="R25">
        <f t="shared" si="9"/>
        <v>0</v>
      </c>
      <c r="S25">
        <f t="shared" si="10"/>
        <v>0</v>
      </c>
      <c r="T25" s="43">
        <f t="shared" si="11"/>
        <v>224872.31701636905</v>
      </c>
      <c r="U25">
        <f t="shared" si="12"/>
        <v>0</v>
      </c>
      <c r="V25">
        <f t="shared" si="13"/>
        <v>0</v>
      </c>
      <c r="W25" s="43">
        <f t="shared" si="14"/>
        <v>224872.31701636905</v>
      </c>
      <c r="X25" s="43">
        <f t="shared" si="15"/>
        <v>10550.983539732348</v>
      </c>
      <c r="Y25" s="27">
        <f t="shared" si="16"/>
        <v>1722.3470835948149</v>
      </c>
      <c r="Z25" s="27">
        <f t="shared" si="17"/>
        <v>223149.96993277423</v>
      </c>
      <c r="AA25">
        <f t="shared" si="18"/>
        <v>0</v>
      </c>
      <c r="AB25" s="27">
        <f t="shared" si="19"/>
        <v>223149.96993277423</v>
      </c>
      <c r="AD25" s="27">
        <f t="shared" si="20"/>
        <v>0</v>
      </c>
      <c r="AE25" s="27">
        <f t="shared" si="21"/>
        <v>223149.96993277423</v>
      </c>
      <c r="AF25" s="50"/>
      <c r="AG25" t="str">
        <f t="shared" si="22"/>
        <v>5300810</v>
      </c>
    </row>
    <row r="26" spans="1:33" hidden="1" x14ac:dyDescent="0.25">
      <c r="A26" s="7" t="s">
        <v>328</v>
      </c>
      <c r="B26" s="2" t="s">
        <v>704</v>
      </c>
      <c r="C26" s="4" t="s">
        <v>703</v>
      </c>
      <c r="D26">
        <f>_xlfn.IFNA(VLOOKUP(A26,'Prior Year data'!$A$1:$T$318,12,FALSE),0)</f>
        <v>256486.01225356609</v>
      </c>
      <c r="E26">
        <f>VLOOKUP(A26,'Basic HH'!$B$1:$Y$319,23,FALSE)</f>
        <v>86723.333781519803</v>
      </c>
      <c r="F26">
        <f>VLOOKUP(A26,'Conc. HH'!$B$1:$Y$319,23,FALSE)</f>
        <v>22850.169177885848</v>
      </c>
      <c r="G26">
        <f>VLOOKUP(A26,'Targeted HH'!$B$1:$Y$319,23,FALSE)</f>
        <v>53810.286992687623</v>
      </c>
      <c r="H26">
        <f>VLOOKUP(A26,'EFIG HH'!$B$1:$Y$319,23,FALSE)</f>
        <v>74200.816137153233</v>
      </c>
      <c r="I26">
        <f t="shared" si="0"/>
        <v>237584.60608924652</v>
      </c>
      <c r="J26">
        <f t="shared" si="1"/>
        <v>0</v>
      </c>
      <c r="K26" s="43">
        <f t="shared" si="2"/>
        <v>237584.60608924652</v>
      </c>
      <c r="L26">
        <f t="shared" si="3"/>
        <v>0</v>
      </c>
      <c r="M26">
        <f t="shared" si="4"/>
        <v>0</v>
      </c>
      <c r="N26" s="43">
        <f t="shared" si="5"/>
        <v>237584.60608924652</v>
      </c>
      <c r="O26">
        <f t="shared" si="6"/>
        <v>0</v>
      </c>
      <c r="P26">
        <f t="shared" si="7"/>
        <v>0</v>
      </c>
      <c r="Q26" s="43">
        <f t="shared" si="8"/>
        <v>237584.60608924652</v>
      </c>
      <c r="R26">
        <f t="shared" si="9"/>
        <v>0</v>
      </c>
      <c r="S26">
        <f t="shared" si="10"/>
        <v>0</v>
      </c>
      <c r="T26" s="43">
        <f t="shared" si="11"/>
        <v>237584.60608924652</v>
      </c>
      <c r="U26">
        <f t="shared" si="12"/>
        <v>0</v>
      </c>
      <c r="V26">
        <f t="shared" si="13"/>
        <v>0</v>
      </c>
      <c r="W26" s="43">
        <f t="shared" si="14"/>
        <v>237584.60608924652</v>
      </c>
      <c r="X26" s="43">
        <f t="shared" si="15"/>
        <v>0</v>
      </c>
      <c r="Y26" s="27">
        <f t="shared" si="16"/>
        <v>1819.7133325888649</v>
      </c>
      <c r="Z26" s="27">
        <f t="shared" si="17"/>
        <v>235764.89275665765</v>
      </c>
      <c r="AA26">
        <f t="shared" si="18"/>
        <v>0</v>
      </c>
      <c r="AB26" s="27">
        <f t="shared" si="19"/>
        <v>235764.89275665765</v>
      </c>
      <c r="AD26" s="27">
        <f t="shared" si="20"/>
        <v>0</v>
      </c>
      <c r="AE26" s="27">
        <f t="shared" si="21"/>
        <v>235764.89275665765</v>
      </c>
      <c r="AF26" s="50"/>
      <c r="AG26" t="str">
        <f t="shared" si="22"/>
        <v>5300840</v>
      </c>
    </row>
    <row r="27" spans="1:33" hidden="1" x14ac:dyDescent="0.25">
      <c r="A27" s="7" t="s">
        <v>103</v>
      </c>
      <c r="B27" s="2" t="s">
        <v>706</v>
      </c>
      <c r="C27" s="4" t="s">
        <v>705</v>
      </c>
      <c r="D27">
        <f>_xlfn.IFNA(VLOOKUP(A27,'Prior Year data'!$A$1:$T$318,12,FALSE),0)</f>
        <v>0</v>
      </c>
      <c r="E27">
        <f>VLOOKUP(A27,'Basic HH'!$B$1:$Y$319,23,FALSE)</f>
        <v>0</v>
      </c>
      <c r="F27">
        <f>VLOOKUP(A27,'Conc. HH'!$B$1:$Y$319,23,FALSE)</f>
        <v>0</v>
      </c>
      <c r="G27">
        <f>VLOOKUP(A27,'Targeted HH'!$B$1:$Y$319,23,FALSE)</f>
        <v>0</v>
      </c>
      <c r="H27">
        <f>VLOOKUP(A27,'EFIG HH'!$B$1:$Y$319,23,FALSE)</f>
        <v>0</v>
      </c>
      <c r="I27">
        <f t="shared" si="0"/>
        <v>0</v>
      </c>
      <c r="J27">
        <f t="shared" si="1"/>
        <v>0</v>
      </c>
      <c r="K27" s="43">
        <f t="shared" si="2"/>
        <v>0</v>
      </c>
      <c r="L27">
        <f t="shared" si="3"/>
        <v>0</v>
      </c>
      <c r="M27">
        <f t="shared" si="4"/>
        <v>0</v>
      </c>
      <c r="N27" s="43">
        <f t="shared" si="5"/>
        <v>0</v>
      </c>
      <c r="O27">
        <f t="shared" si="6"/>
        <v>0</v>
      </c>
      <c r="P27">
        <f t="shared" si="7"/>
        <v>0</v>
      </c>
      <c r="Q27" s="43">
        <f t="shared" si="8"/>
        <v>0</v>
      </c>
      <c r="R27">
        <f t="shared" si="9"/>
        <v>0</v>
      </c>
      <c r="S27">
        <f t="shared" si="10"/>
        <v>0</v>
      </c>
      <c r="T27" s="43">
        <f t="shared" si="11"/>
        <v>0</v>
      </c>
      <c r="U27">
        <f t="shared" si="12"/>
        <v>0</v>
      </c>
      <c r="V27">
        <f t="shared" si="13"/>
        <v>0</v>
      </c>
      <c r="W27" s="43">
        <f t="shared" si="14"/>
        <v>0</v>
      </c>
      <c r="X27" s="43">
        <f t="shared" si="15"/>
        <v>0</v>
      </c>
      <c r="Y27" s="27">
        <f t="shared" si="16"/>
        <v>0</v>
      </c>
      <c r="Z27" s="27">
        <f t="shared" si="17"/>
        <v>0</v>
      </c>
      <c r="AA27">
        <f t="shared" si="18"/>
        <v>0</v>
      </c>
      <c r="AB27" s="27">
        <f t="shared" si="19"/>
        <v>0</v>
      </c>
      <c r="AD27" s="27">
        <f t="shared" si="20"/>
        <v>0</v>
      </c>
      <c r="AE27" s="27">
        <f t="shared" si="21"/>
        <v>0</v>
      </c>
      <c r="AF27" s="50"/>
      <c r="AG27" t="str">
        <f t="shared" si="22"/>
        <v>5300870</v>
      </c>
    </row>
    <row r="28" spans="1:33" hidden="1" x14ac:dyDescent="0.25">
      <c r="A28" s="7" t="s">
        <v>330</v>
      </c>
      <c r="B28" s="2" t="s">
        <v>708</v>
      </c>
      <c r="C28" s="4" t="s">
        <v>707</v>
      </c>
      <c r="D28">
        <f>_xlfn.IFNA(VLOOKUP(A28,'Prior Year data'!$A$1:$T$318,12,FALSE),0)</f>
        <v>320836.85492838285</v>
      </c>
      <c r="E28">
        <f>VLOOKUP(A28,'Basic HH'!$B$1:$Y$319,23,FALSE)</f>
        <v>133782.98260383622</v>
      </c>
      <c r="F28">
        <f>VLOOKUP(A28,'Conc. HH'!$B$1:$Y$319,23,FALSE)</f>
        <v>0</v>
      </c>
      <c r="G28">
        <f>VLOOKUP(A28,'Targeted HH'!$B$1:$Y$319,23,FALSE)</f>
        <v>64536.513654450442</v>
      </c>
      <c r="H28">
        <f>VLOOKUP(A28,'EFIG HH'!$B$1:$Y$319,23,FALSE)</f>
        <v>87504.021691938935</v>
      </c>
      <c r="I28">
        <f t="shared" si="0"/>
        <v>285823.51795022562</v>
      </c>
      <c r="J28">
        <f t="shared" si="1"/>
        <v>0</v>
      </c>
      <c r="K28" s="43">
        <f t="shared" si="2"/>
        <v>285823.51795022562</v>
      </c>
      <c r="L28">
        <f t="shared" si="3"/>
        <v>0</v>
      </c>
      <c r="M28">
        <f t="shared" si="4"/>
        <v>0</v>
      </c>
      <c r="N28" s="43">
        <f t="shared" si="5"/>
        <v>285823.51795022562</v>
      </c>
      <c r="O28">
        <f t="shared" si="6"/>
        <v>0</v>
      </c>
      <c r="P28">
        <f t="shared" si="7"/>
        <v>0</v>
      </c>
      <c r="Q28" s="43">
        <f t="shared" si="8"/>
        <v>285823.51795022562</v>
      </c>
      <c r="R28">
        <f t="shared" si="9"/>
        <v>0</v>
      </c>
      <c r="S28">
        <f t="shared" si="10"/>
        <v>0</v>
      </c>
      <c r="T28" s="43">
        <f t="shared" si="11"/>
        <v>285823.51795022562</v>
      </c>
      <c r="U28">
        <f t="shared" si="12"/>
        <v>0</v>
      </c>
      <c r="V28">
        <f t="shared" si="13"/>
        <v>0</v>
      </c>
      <c r="W28" s="43">
        <f t="shared" si="14"/>
        <v>285823.51795022562</v>
      </c>
      <c r="X28" s="43">
        <f t="shared" si="15"/>
        <v>0</v>
      </c>
      <c r="Y28" s="27">
        <f t="shared" si="16"/>
        <v>2189.1858860001271</v>
      </c>
      <c r="Z28" s="27">
        <f t="shared" si="17"/>
        <v>283634.33206422551</v>
      </c>
      <c r="AA28">
        <f t="shared" si="18"/>
        <v>0</v>
      </c>
      <c r="AB28" s="27">
        <f t="shared" si="19"/>
        <v>283634.33206422551</v>
      </c>
      <c r="AD28" s="27">
        <f t="shared" si="20"/>
        <v>0</v>
      </c>
      <c r="AE28" s="27">
        <f t="shared" si="21"/>
        <v>283634.33206422551</v>
      </c>
      <c r="AF28" s="50"/>
      <c r="AG28" t="str">
        <f t="shared" si="22"/>
        <v>5300950</v>
      </c>
    </row>
    <row r="29" spans="1:33" x14ac:dyDescent="0.25">
      <c r="A29" s="7" t="s">
        <v>332</v>
      </c>
      <c r="B29" s="2" t="s">
        <v>710</v>
      </c>
      <c r="C29" s="4" t="s">
        <v>709</v>
      </c>
      <c r="D29">
        <f>_xlfn.IFNA(VLOOKUP(A29,'Prior Year data'!$A$1:$T$318,12,FALSE),0)</f>
        <v>333544.30596098746</v>
      </c>
      <c r="E29">
        <f>VLOOKUP(A29,'Basic HH'!$B$1:$Y$319,23,FALSE)</f>
        <v>144207.63059894025</v>
      </c>
      <c r="F29">
        <f>VLOOKUP(A29,'Conc. HH'!$B$1:$Y$319,23,FALSE)</f>
        <v>26500.786235580534</v>
      </c>
      <c r="G29">
        <f>VLOOKUP(A29,'Targeted HH'!$B$1:$Y$319,23,FALSE)</f>
        <v>69565.332900251786</v>
      </c>
      <c r="H29">
        <f>VLOOKUP(A29,'EFIG HH'!$B$1:$Y$319,23,FALSE)</f>
        <v>94322.516888713435</v>
      </c>
      <c r="I29">
        <f t="shared" si="0"/>
        <v>334596.26662348601</v>
      </c>
      <c r="J29">
        <f t="shared" si="1"/>
        <v>334596.26662348601</v>
      </c>
      <c r="K29" s="43">
        <f t="shared" si="2"/>
        <v>304211.21361306589</v>
      </c>
      <c r="L29">
        <f t="shared" si="3"/>
        <v>29333.092347921571</v>
      </c>
      <c r="M29">
        <f t="shared" si="4"/>
        <v>0</v>
      </c>
      <c r="N29" s="43">
        <f t="shared" si="5"/>
        <v>333544.30596098746</v>
      </c>
      <c r="O29">
        <f t="shared" si="6"/>
        <v>0</v>
      </c>
      <c r="P29">
        <f t="shared" si="7"/>
        <v>0</v>
      </c>
      <c r="Q29" s="43">
        <f t="shared" si="8"/>
        <v>333544.30596098746</v>
      </c>
      <c r="R29">
        <f t="shared" si="9"/>
        <v>0</v>
      </c>
      <c r="S29">
        <f t="shared" si="10"/>
        <v>0</v>
      </c>
      <c r="T29" s="43">
        <f t="shared" si="11"/>
        <v>333544.30596098746</v>
      </c>
      <c r="U29">
        <f t="shared" si="12"/>
        <v>0</v>
      </c>
      <c r="V29">
        <f t="shared" si="13"/>
        <v>0</v>
      </c>
      <c r="W29" s="43">
        <f t="shared" si="14"/>
        <v>333544.30596098746</v>
      </c>
      <c r="X29" s="43">
        <f t="shared" si="15"/>
        <v>1051.9606624985463</v>
      </c>
      <c r="Y29" s="27">
        <f t="shared" si="16"/>
        <v>2554.6900136211316</v>
      </c>
      <c r="Z29" s="27">
        <f t="shared" si="17"/>
        <v>330989.61594736634</v>
      </c>
      <c r="AA29">
        <f t="shared" si="18"/>
        <v>0</v>
      </c>
      <c r="AB29" s="27">
        <f t="shared" si="19"/>
        <v>330989.61594736634</v>
      </c>
      <c r="AD29" s="27">
        <f t="shared" si="20"/>
        <v>0</v>
      </c>
      <c r="AE29" s="27">
        <f t="shared" si="21"/>
        <v>330989.61594736634</v>
      </c>
      <c r="AF29" s="50"/>
      <c r="AG29" t="str">
        <f t="shared" si="22"/>
        <v>5300960</v>
      </c>
    </row>
    <row r="30" spans="1:33" x14ac:dyDescent="0.25">
      <c r="A30" s="7" t="s">
        <v>105</v>
      </c>
      <c r="B30" s="2" t="s">
        <v>712</v>
      </c>
      <c r="C30" s="4" t="s">
        <v>711</v>
      </c>
      <c r="D30">
        <f>_xlfn.IFNA(VLOOKUP(A30,'Prior Year data'!$A$1:$T$318,12,FALSE),0)</f>
        <v>339066.2216856773</v>
      </c>
      <c r="E30">
        <f>VLOOKUP(A30,'Basic HH'!$B$1:$Y$319,23,FALSE)</f>
        <v>168531.80925418326</v>
      </c>
      <c r="F30">
        <f>VLOOKUP(A30,'Conc. HH'!$B$1:$Y$319,23,FALSE)</f>
        <v>0</v>
      </c>
      <c r="G30">
        <f>VLOOKUP(A30,'Targeted HH'!$B$1:$Y$319,23,FALSE)</f>
        <v>81299.244473788218</v>
      </c>
      <c r="H30">
        <f>VLOOKUP(A30,'EFIG HH'!$B$1:$Y$319,23,FALSE)</f>
        <v>110232.3390145205</v>
      </c>
      <c r="I30">
        <f t="shared" si="0"/>
        <v>360063.39274249197</v>
      </c>
      <c r="J30">
        <f t="shared" si="1"/>
        <v>360063.39274249197</v>
      </c>
      <c r="K30" s="43">
        <f t="shared" si="2"/>
        <v>327365.64214892813</v>
      </c>
      <c r="L30">
        <f t="shared" si="3"/>
        <v>11700.579536749166</v>
      </c>
      <c r="M30">
        <f t="shared" si="4"/>
        <v>0</v>
      </c>
      <c r="N30" s="43">
        <f t="shared" si="5"/>
        <v>339066.2216856773</v>
      </c>
      <c r="O30">
        <f t="shared" si="6"/>
        <v>0</v>
      </c>
      <c r="P30">
        <f t="shared" si="7"/>
        <v>0</v>
      </c>
      <c r="Q30" s="43">
        <f t="shared" si="8"/>
        <v>339066.2216856773</v>
      </c>
      <c r="R30">
        <f t="shared" si="9"/>
        <v>0</v>
      </c>
      <c r="S30">
        <f t="shared" si="10"/>
        <v>0</v>
      </c>
      <c r="T30" s="43">
        <f t="shared" si="11"/>
        <v>339066.2216856773</v>
      </c>
      <c r="U30">
        <f t="shared" si="12"/>
        <v>0</v>
      </c>
      <c r="V30">
        <f t="shared" si="13"/>
        <v>0</v>
      </c>
      <c r="W30" s="43">
        <f t="shared" si="14"/>
        <v>339066.2216856773</v>
      </c>
      <c r="X30" s="43">
        <f t="shared" si="15"/>
        <v>20997.171056814666</v>
      </c>
      <c r="Y30" s="27">
        <f t="shared" si="16"/>
        <v>2596.9835941314604</v>
      </c>
      <c r="Z30" s="27">
        <f t="shared" si="17"/>
        <v>336469.23809154582</v>
      </c>
      <c r="AA30">
        <f t="shared" si="18"/>
        <v>0</v>
      </c>
      <c r="AB30" s="27">
        <f t="shared" si="19"/>
        <v>336469.23809154582</v>
      </c>
      <c r="AD30" s="27">
        <f t="shared" si="20"/>
        <v>0</v>
      </c>
      <c r="AE30" s="27">
        <f t="shared" si="21"/>
        <v>336469.23809154582</v>
      </c>
      <c r="AF30" s="50"/>
      <c r="AG30" t="str">
        <f t="shared" si="22"/>
        <v>5300990</v>
      </c>
    </row>
    <row r="31" spans="1:33" hidden="1" x14ac:dyDescent="0.25">
      <c r="A31" s="7" t="s">
        <v>66</v>
      </c>
      <c r="B31" s="2" t="s">
        <v>713</v>
      </c>
      <c r="C31" s="4" t="s">
        <v>8</v>
      </c>
      <c r="D31">
        <f>_xlfn.IFNA(VLOOKUP(A31,'Prior Year data'!$A$1:$T$318,12,FALSE),0)</f>
        <v>125395.82446423011</v>
      </c>
      <c r="E31">
        <f>VLOOKUP(A31,'Basic HH'!$B$1:$Y$319,23,FALSE)</f>
        <v>61032.363855368392</v>
      </c>
      <c r="F31">
        <f>VLOOKUP(A31,'Conc. HH'!$B$1:$Y$319,23,FALSE)</f>
        <v>0</v>
      </c>
      <c r="G31">
        <f>VLOOKUP(A31,'Targeted HH'!$B$1:$Y$319,23,FALSE)</f>
        <v>34126.574408858236</v>
      </c>
      <c r="H31">
        <f>VLOOKUP(A31,'EFIG HH'!$B$1:$Y$319,23,FALSE)</f>
        <v>46906.558675129869</v>
      </c>
      <c r="I31">
        <f t="shared" si="0"/>
        <v>142065.4969393565</v>
      </c>
      <c r="J31">
        <f t="shared" si="1"/>
        <v>142065.4969393565</v>
      </c>
      <c r="K31" s="43">
        <f t="shared" si="2"/>
        <v>129164.37374687486</v>
      </c>
      <c r="L31">
        <f t="shared" si="3"/>
        <v>0</v>
      </c>
      <c r="M31">
        <f t="shared" si="4"/>
        <v>3768.5492826447444</v>
      </c>
      <c r="N31" s="43">
        <f t="shared" si="5"/>
        <v>128625.74742394654</v>
      </c>
      <c r="O31">
        <f t="shared" si="6"/>
        <v>0</v>
      </c>
      <c r="P31">
        <f t="shared" si="7"/>
        <v>3229.9229597164231</v>
      </c>
      <c r="Q31" s="43">
        <f t="shared" si="8"/>
        <v>128625.74742394654</v>
      </c>
      <c r="R31">
        <f t="shared" si="9"/>
        <v>0</v>
      </c>
      <c r="S31">
        <f t="shared" si="10"/>
        <v>3229.9229597164231</v>
      </c>
      <c r="T31" s="43">
        <f t="shared" si="11"/>
        <v>128625.74742394654</v>
      </c>
      <c r="U31">
        <f t="shared" si="12"/>
        <v>0</v>
      </c>
      <c r="V31">
        <f t="shared" si="13"/>
        <v>3229.9229597164231</v>
      </c>
      <c r="W31" s="43">
        <f t="shared" si="14"/>
        <v>128625.74742394654</v>
      </c>
      <c r="X31" s="43">
        <f t="shared" si="15"/>
        <v>13439.74951540996</v>
      </c>
      <c r="Y31" s="27">
        <f t="shared" si="16"/>
        <v>985.17320357717153</v>
      </c>
      <c r="Z31" s="27">
        <f t="shared" si="17"/>
        <v>127640.57422036937</v>
      </c>
      <c r="AA31">
        <f t="shared" si="18"/>
        <v>0</v>
      </c>
      <c r="AB31" s="27">
        <f t="shared" si="19"/>
        <v>127640.57422036937</v>
      </c>
      <c r="AD31" s="27">
        <f t="shared" si="20"/>
        <v>0</v>
      </c>
      <c r="AE31" s="27">
        <f t="shared" si="21"/>
        <v>127640.57422036937</v>
      </c>
      <c r="AF31" s="50"/>
      <c r="AG31" t="str">
        <f t="shared" si="22"/>
        <v>5301000</v>
      </c>
    </row>
    <row r="32" spans="1:33" hidden="1" x14ac:dyDescent="0.25">
      <c r="A32" s="7" t="s">
        <v>334</v>
      </c>
      <c r="B32" s="2" t="s">
        <v>715</v>
      </c>
      <c r="C32" s="4" t="s">
        <v>714</v>
      </c>
      <c r="D32">
        <f>_xlfn.IFNA(VLOOKUP(A32,'Prior Year data'!$A$1:$T$318,12,FALSE),0)</f>
        <v>51011.458196781576</v>
      </c>
      <c r="E32">
        <f>VLOOKUP(A32,'Basic HH'!$B$1:$Y$319,23,FALSE)</f>
        <v>20906.517965187813</v>
      </c>
      <c r="F32">
        <f>VLOOKUP(A32,'Conc. HH'!$B$1:$Y$319,23,FALSE)</f>
        <v>5609.7188344095375</v>
      </c>
      <c r="G32">
        <f>VLOOKUP(A32,'Targeted HH'!$B$1:$Y$319,23,FALSE)</f>
        <v>15264.804293868739</v>
      </c>
      <c r="H32">
        <f>VLOOKUP(A32,'EFIG HH'!$B$1:$Y$319,23,FALSE)</f>
        <v>20981.748981521883</v>
      </c>
      <c r="I32">
        <f t="shared" si="0"/>
        <v>62762.790074987977</v>
      </c>
      <c r="J32">
        <f t="shared" si="1"/>
        <v>62762.790074987977</v>
      </c>
      <c r="K32" s="43">
        <f t="shared" si="2"/>
        <v>57063.232447656941</v>
      </c>
      <c r="L32">
        <f t="shared" si="3"/>
        <v>0</v>
      </c>
      <c r="M32">
        <f t="shared" si="4"/>
        <v>6051.7742508753654</v>
      </c>
      <c r="N32" s="43">
        <f t="shared" si="5"/>
        <v>56198.27230849865</v>
      </c>
      <c r="O32">
        <f t="shared" si="6"/>
        <v>0</v>
      </c>
      <c r="P32">
        <f t="shared" si="7"/>
        <v>5186.8141117170744</v>
      </c>
      <c r="Q32" s="43">
        <f t="shared" si="8"/>
        <v>56198.27230849865</v>
      </c>
      <c r="R32">
        <f t="shared" si="9"/>
        <v>0</v>
      </c>
      <c r="S32">
        <f t="shared" si="10"/>
        <v>5186.8141117170744</v>
      </c>
      <c r="T32" s="43">
        <f t="shared" si="11"/>
        <v>56198.27230849865</v>
      </c>
      <c r="U32">
        <f t="shared" si="12"/>
        <v>0</v>
      </c>
      <c r="V32">
        <f t="shared" si="13"/>
        <v>5186.8141117170744</v>
      </c>
      <c r="W32" s="43">
        <f t="shared" si="14"/>
        <v>56198.27230849865</v>
      </c>
      <c r="X32" s="43">
        <f t="shared" si="15"/>
        <v>6564.5177664893272</v>
      </c>
      <c r="Y32" s="27">
        <f t="shared" si="16"/>
        <v>430.4350650976931</v>
      </c>
      <c r="Z32" s="27">
        <f t="shared" si="17"/>
        <v>55767.837243400958</v>
      </c>
      <c r="AA32">
        <f t="shared" si="18"/>
        <v>0</v>
      </c>
      <c r="AB32" s="27">
        <f t="shared" si="19"/>
        <v>55767.837243400958</v>
      </c>
      <c r="AD32" s="27">
        <f t="shared" si="20"/>
        <v>0</v>
      </c>
      <c r="AE32" s="27">
        <f t="shared" si="21"/>
        <v>55767.837243400958</v>
      </c>
      <c r="AF32" s="50"/>
      <c r="AG32" t="str">
        <f t="shared" si="22"/>
        <v>5301050</v>
      </c>
    </row>
    <row r="33" spans="1:33" hidden="1" x14ac:dyDescent="0.25">
      <c r="A33" s="7" t="s">
        <v>107</v>
      </c>
      <c r="B33" s="2" t="s">
        <v>717</v>
      </c>
      <c r="C33" s="4" t="s">
        <v>716</v>
      </c>
      <c r="D33">
        <f>_xlfn.IFNA(VLOOKUP(A33,'Prior Year data'!$A$1:$T$318,12,FALSE),0)</f>
        <v>1549206.4288185781</v>
      </c>
      <c r="E33">
        <f>VLOOKUP(A33,'Basic HH'!$B$1:$Y$319,23,FALSE)</f>
        <v>683683.16434557852</v>
      </c>
      <c r="F33">
        <f>VLOOKUP(A33,'Conc. HH'!$B$1:$Y$319,23,FALSE)</f>
        <v>0</v>
      </c>
      <c r="G33">
        <f>VLOOKUP(A33,'Targeted HH'!$B$1:$Y$319,23,FALSE)</f>
        <v>349922.00585367583</v>
      </c>
      <c r="H33">
        <f>VLOOKUP(A33,'EFIG HH'!$B$1:$Y$319,23,FALSE)</f>
        <v>474453.6241088899</v>
      </c>
      <c r="I33">
        <f t="shared" si="0"/>
        <v>1508058.7943081441</v>
      </c>
      <c r="J33">
        <f t="shared" si="1"/>
        <v>0</v>
      </c>
      <c r="K33" s="43">
        <f t="shared" si="2"/>
        <v>1508058.7943081441</v>
      </c>
      <c r="L33">
        <f t="shared" si="3"/>
        <v>0</v>
      </c>
      <c r="M33">
        <f t="shared" si="4"/>
        <v>0</v>
      </c>
      <c r="N33" s="43">
        <f t="shared" si="5"/>
        <v>1508058.7943081441</v>
      </c>
      <c r="O33">
        <f t="shared" si="6"/>
        <v>0</v>
      </c>
      <c r="P33">
        <f t="shared" si="7"/>
        <v>0</v>
      </c>
      <c r="Q33" s="43">
        <f t="shared" si="8"/>
        <v>1508058.7943081441</v>
      </c>
      <c r="R33">
        <f t="shared" si="9"/>
        <v>0</v>
      </c>
      <c r="S33">
        <f t="shared" si="10"/>
        <v>0</v>
      </c>
      <c r="T33" s="43">
        <f t="shared" si="11"/>
        <v>1508058.7943081441</v>
      </c>
      <c r="U33">
        <f t="shared" si="12"/>
        <v>0</v>
      </c>
      <c r="V33">
        <f t="shared" si="13"/>
        <v>0</v>
      </c>
      <c r="W33" s="43">
        <f t="shared" si="14"/>
        <v>1508058.7943081441</v>
      </c>
      <c r="X33" s="43">
        <f t="shared" si="15"/>
        <v>0</v>
      </c>
      <c r="Y33" s="27">
        <f t="shared" si="16"/>
        <v>11550.557670809578</v>
      </c>
      <c r="Z33" s="27">
        <f t="shared" si="17"/>
        <v>1496508.2366373346</v>
      </c>
      <c r="AA33">
        <f t="shared" si="18"/>
        <v>0</v>
      </c>
      <c r="AB33" s="27">
        <f t="shared" si="19"/>
        <v>1496508.2366373346</v>
      </c>
      <c r="AD33" s="27">
        <f t="shared" si="20"/>
        <v>0</v>
      </c>
      <c r="AE33" s="27">
        <f t="shared" si="21"/>
        <v>1496508.2366373346</v>
      </c>
      <c r="AF33" s="50"/>
      <c r="AG33" t="str">
        <f t="shared" si="22"/>
        <v>5301080</v>
      </c>
    </row>
    <row r="34" spans="1:33" hidden="1" x14ac:dyDescent="0.25">
      <c r="A34" s="7" t="s">
        <v>266</v>
      </c>
      <c r="B34" s="2" t="s">
        <v>719</v>
      </c>
      <c r="C34" s="4" t="s">
        <v>718</v>
      </c>
      <c r="D34">
        <f>_xlfn.IFNA(VLOOKUP(A34,'Prior Year data'!$A$1:$T$318,12,FALSE),0)</f>
        <v>3389374.7685668645</v>
      </c>
      <c r="E34">
        <f>VLOOKUP(A34,'Basic HH'!$B$1:$Y$319,23,FALSE)</f>
        <v>1355095.1078629245</v>
      </c>
      <c r="F34">
        <f>VLOOKUP(A34,'Conc. HH'!$B$1:$Y$319,23,FALSE)</f>
        <v>0</v>
      </c>
      <c r="G34">
        <f>VLOOKUP(A34,'Targeted HH'!$B$1:$Y$319,23,FALSE)</f>
        <v>851476.57932692498</v>
      </c>
      <c r="H34">
        <f>VLOOKUP(A34,'EFIG HH'!$B$1:$Y$319,23,FALSE)</f>
        <v>1170369.9246415028</v>
      </c>
      <c r="I34">
        <f t="shared" si="0"/>
        <v>3376941.6118313521</v>
      </c>
      <c r="J34">
        <f t="shared" si="1"/>
        <v>0</v>
      </c>
      <c r="K34" s="43">
        <f t="shared" si="2"/>
        <v>3376941.6118313521</v>
      </c>
      <c r="L34">
        <f t="shared" si="3"/>
        <v>0</v>
      </c>
      <c r="M34">
        <f t="shared" si="4"/>
        <v>0</v>
      </c>
      <c r="N34" s="43">
        <f t="shared" si="5"/>
        <v>3376941.6118313521</v>
      </c>
      <c r="O34">
        <f t="shared" si="6"/>
        <v>0</v>
      </c>
      <c r="P34">
        <f t="shared" si="7"/>
        <v>0</v>
      </c>
      <c r="Q34" s="43">
        <f t="shared" si="8"/>
        <v>3376941.6118313521</v>
      </c>
      <c r="R34">
        <f t="shared" si="9"/>
        <v>0</v>
      </c>
      <c r="S34">
        <f t="shared" si="10"/>
        <v>0</v>
      </c>
      <c r="T34" s="43">
        <f t="shared" si="11"/>
        <v>3376941.6118313521</v>
      </c>
      <c r="U34">
        <f t="shared" si="12"/>
        <v>0</v>
      </c>
      <c r="V34">
        <f t="shared" si="13"/>
        <v>0</v>
      </c>
      <c r="W34" s="43">
        <f t="shared" si="14"/>
        <v>3376941.6118313521</v>
      </c>
      <c r="X34" s="43">
        <f t="shared" si="15"/>
        <v>0</v>
      </c>
      <c r="Y34" s="27">
        <f t="shared" si="16"/>
        <v>25864.746776208656</v>
      </c>
      <c r="Z34" s="27">
        <f t="shared" si="17"/>
        <v>3351076.8650551434</v>
      </c>
      <c r="AA34">
        <f t="shared" si="18"/>
        <v>0</v>
      </c>
      <c r="AB34" s="27">
        <f t="shared" si="19"/>
        <v>3351076.8650551434</v>
      </c>
      <c r="AD34" s="27">
        <f t="shared" si="20"/>
        <v>0</v>
      </c>
      <c r="AE34" s="27">
        <f t="shared" si="21"/>
        <v>3351076.8650551434</v>
      </c>
      <c r="AF34" s="50"/>
      <c r="AG34" t="str">
        <f t="shared" si="22"/>
        <v>5301110</v>
      </c>
    </row>
    <row r="35" spans="1:33" hidden="1" x14ac:dyDescent="0.25">
      <c r="A35" s="7" t="s">
        <v>336</v>
      </c>
      <c r="B35" s="2" t="s">
        <v>721</v>
      </c>
      <c r="C35" s="4" t="s">
        <v>720</v>
      </c>
      <c r="D35">
        <f>_xlfn.IFNA(VLOOKUP(A35,'Prior Year data'!$A$1:$T$318,12,FALSE),0)</f>
        <v>1524716.7209842585</v>
      </c>
      <c r="E35">
        <f>VLOOKUP(A35,'Basic HH'!$B$1:$Y$319,23,FALSE)</f>
        <v>746231.05231620301</v>
      </c>
      <c r="F35">
        <f>VLOOKUP(A35,'Conc. HH'!$B$1:$Y$319,23,FALSE)</f>
        <v>200781.18661490796</v>
      </c>
      <c r="G35">
        <f>VLOOKUP(A35,'Targeted HH'!$B$1:$Y$319,23,FALSE)</f>
        <v>417736.513426675</v>
      </c>
      <c r="H35">
        <f>VLOOKUP(A35,'EFIG HH'!$B$1:$Y$319,23,FALSE)</f>
        <v>566402.22507405304</v>
      </c>
      <c r="I35">
        <f t="shared" si="0"/>
        <v>1931150.9774318391</v>
      </c>
      <c r="J35">
        <f t="shared" si="1"/>
        <v>1931150.9774318391</v>
      </c>
      <c r="K35" s="43">
        <f t="shared" si="2"/>
        <v>1755781.0445496521</v>
      </c>
      <c r="L35">
        <f t="shared" si="3"/>
        <v>0</v>
      </c>
      <c r="M35">
        <f t="shared" si="4"/>
        <v>231064.32356539369</v>
      </c>
      <c r="N35" s="43">
        <f t="shared" si="5"/>
        <v>1722755.7826710006</v>
      </c>
      <c r="O35">
        <f t="shared" si="6"/>
        <v>0</v>
      </c>
      <c r="P35">
        <f t="shared" si="7"/>
        <v>198039.06168674212</v>
      </c>
      <c r="Q35" s="43">
        <f t="shared" si="8"/>
        <v>1722755.7826710006</v>
      </c>
      <c r="R35">
        <f t="shared" si="9"/>
        <v>0</v>
      </c>
      <c r="S35">
        <f t="shared" si="10"/>
        <v>198039.06168674212</v>
      </c>
      <c r="T35" s="43">
        <f t="shared" si="11"/>
        <v>1722755.7826710006</v>
      </c>
      <c r="U35">
        <f t="shared" si="12"/>
        <v>0</v>
      </c>
      <c r="V35">
        <f t="shared" si="13"/>
        <v>198039.06168674212</v>
      </c>
      <c r="W35" s="43">
        <f t="shared" si="14"/>
        <v>1722755.7826710006</v>
      </c>
      <c r="X35" s="43">
        <f t="shared" si="15"/>
        <v>208395.19476083852</v>
      </c>
      <c r="Y35" s="27">
        <f t="shared" si="16"/>
        <v>13194.969649436713</v>
      </c>
      <c r="Z35" s="27">
        <f t="shared" si="17"/>
        <v>1709560.8130215639</v>
      </c>
      <c r="AA35">
        <f t="shared" si="18"/>
        <v>0</v>
      </c>
      <c r="AB35" s="27">
        <f t="shared" si="19"/>
        <v>1709560.8130215639</v>
      </c>
      <c r="AD35" s="27">
        <f t="shared" si="20"/>
        <v>0</v>
      </c>
      <c r="AE35" s="27">
        <f t="shared" si="21"/>
        <v>1709560.8130215639</v>
      </c>
      <c r="AF35" s="50"/>
      <c r="AG35" t="str">
        <f t="shared" si="22"/>
        <v>5301140</v>
      </c>
    </row>
    <row r="36" spans="1:33" hidden="1" x14ac:dyDescent="0.25">
      <c r="A36" s="7" t="s">
        <v>338</v>
      </c>
      <c r="B36" s="2" t="s">
        <v>723</v>
      </c>
      <c r="C36" s="4" t="s">
        <v>722</v>
      </c>
      <c r="D36">
        <f>_xlfn.IFNA(VLOOKUP(A36,'Prior Year data'!$A$1:$T$318,12,FALSE),0)</f>
        <v>528994.46226912865</v>
      </c>
      <c r="E36">
        <f>VLOOKUP(A36,'Basic HH'!$B$1:$Y$319,23,FALSE)</f>
        <v>348356.98716972949</v>
      </c>
      <c r="F36">
        <f>VLOOKUP(A36,'Conc. HH'!$B$1:$Y$319,23,FALSE)</f>
        <v>0</v>
      </c>
      <c r="G36">
        <f>VLOOKUP(A36,'Targeted HH'!$B$1:$Y$319,23,FALSE)</f>
        <v>168046.37646386118</v>
      </c>
      <c r="H36">
        <f>VLOOKUP(A36,'EFIG HH'!$B$1:$Y$319,23,FALSE)</f>
        <v>227851.38115888005</v>
      </c>
      <c r="I36">
        <f t="shared" si="0"/>
        <v>744254.74479247071</v>
      </c>
      <c r="J36">
        <f t="shared" si="1"/>
        <v>744254.74479247071</v>
      </c>
      <c r="K36" s="43">
        <f t="shared" si="2"/>
        <v>676668.15722536191</v>
      </c>
      <c r="L36">
        <f t="shared" si="3"/>
        <v>0</v>
      </c>
      <c r="M36">
        <f t="shared" si="4"/>
        <v>147673.69495623326</v>
      </c>
      <c r="N36" s="43">
        <f t="shared" si="5"/>
        <v>655561.64292984165</v>
      </c>
      <c r="O36">
        <f t="shared" si="6"/>
        <v>0</v>
      </c>
      <c r="P36">
        <f t="shared" si="7"/>
        <v>126567.180660713</v>
      </c>
      <c r="Q36" s="43">
        <f t="shared" si="8"/>
        <v>655561.64292984165</v>
      </c>
      <c r="R36">
        <f t="shared" si="9"/>
        <v>0</v>
      </c>
      <c r="S36">
        <f t="shared" si="10"/>
        <v>126567.180660713</v>
      </c>
      <c r="T36" s="43">
        <f t="shared" si="11"/>
        <v>655561.64292984165</v>
      </c>
      <c r="U36">
        <f t="shared" si="12"/>
        <v>0</v>
      </c>
      <c r="V36">
        <f t="shared" si="13"/>
        <v>126567.180660713</v>
      </c>
      <c r="W36" s="43">
        <f t="shared" si="14"/>
        <v>655561.64292984165</v>
      </c>
      <c r="X36" s="43">
        <f t="shared" si="15"/>
        <v>88693.101862629061</v>
      </c>
      <c r="Y36" s="27">
        <f t="shared" si="16"/>
        <v>5021.0924083405407</v>
      </c>
      <c r="Z36" s="27">
        <f t="shared" si="17"/>
        <v>650540.55052150111</v>
      </c>
      <c r="AA36">
        <f t="shared" si="18"/>
        <v>0</v>
      </c>
      <c r="AB36" s="27">
        <f t="shared" si="19"/>
        <v>650540.55052150111</v>
      </c>
      <c r="AD36" s="27">
        <f t="shared" si="20"/>
        <v>0</v>
      </c>
      <c r="AE36" s="27">
        <f t="shared" si="21"/>
        <v>650540.55052150111</v>
      </c>
      <c r="AF36" s="50"/>
      <c r="AG36" t="str">
        <f t="shared" si="22"/>
        <v>5301170</v>
      </c>
    </row>
    <row r="37" spans="1:33" hidden="1" x14ac:dyDescent="0.25">
      <c r="A37" s="7" t="s">
        <v>268</v>
      </c>
      <c r="B37" s="2" t="s">
        <v>725</v>
      </c>
      <c r="C37" s="4" t="s">
        <v>724</v>
      </c>
      <c r="D37">
        <f>_xlfn.IFNA(VLOOKUP(A37,'Prior Year data'!$A$1:$T$318,12,FALSE),0)</f>
        <v>1460213.592211822</v>
      </c>
      <c r="E37">
        <f>VLOOKUP(A37,'Basic HH'!$B$1:$Y$319,23,FALSE)</f>
        <v>640617.00727896474</v>
      </c>
      <c r="F37">
        <f>VLOOKUP(A37,'Conc. HH'!$B$1:$Y$319,23,FALSE)</f>
        <v>0</v>
      </c>
      <c r="G37">
        <f>VLOOKUP(A37,'Targeted HH'!$B$1:$Y$319,23,FALSE)</f>
        <v>338806.51893102983</v>
      </c>
      <c r="H37">
        <f>VLOOKUP(A37,'EFIG HH'!$B$1:$Y$319,23,FALSE)</f>
        <v>465695.67461598007</v>
      </c>
      <c r="I37">
        <f t="shared" si="0"/>
        <v>1445119.2008259746</v>
      </c>
      <c r="J37">
        <f t="shared" si="1"/>
        <v>0</v>
      </c>
      <c r="K37" s="43">
        <f t="shared" si="2"/>
        <v>1445119.2008259746</v>
      </c>
      <c r="L37">
        <f t="shared" si="3"/>
        <v>0</v>
      </c>
      <c r="M37">
        <f t="shared" si="4"/>
        <v>0</v>
      </c>
      <c r="N37" s="43">
        <f t="shared" si="5"/>
        <v>1445119.2008259746</v>
      </c>
      <c r="O37">
        <f t="shared" si="6"/>
        <v>0</v>
      </c>
      <c r="P37">
        <f t="shared" si="7"/>
        <v>0</v>
      </c>
      <c r="Q37" s="43">
        <f t="shared" si="8"/>
        <v>1445119.2008259746</v>
      </c>
      <c r="R37">
        <f t="shared" si="9"/>
        <v>0</v>
      </c>
      <c r="S37">
        <f t="shared" si="10"/>
        <v>0</v>
      </c>
      <c r="T37" s="43">
        <f t="shared" si="11"/>
        <v>1445119.2008259746</v>
      </c>
      <c r="U37">
        <f t="shared" si="12"/>
        <v>0</v>
      </c>
      <c r="V37">
        <f t="shared" si="13"/>
        <v>0</v>
      </c>
      <c r="W37" s="43">
        <f t="shared" si="14"/>
        <v>1445119.2008259746</v>
      </c>
      <c r="X37" s="43">
        <f t="shared" si="15"/>
        <v>0</v>
      </c>
      <c r="Y37" s="27">
        <f t="shared" si="16"/>
        <v>11068.489327693929</v>
      </c>
      <c r="Z37" s="27">
        <f t="shared" si="17"/>
        <v>1434050.7114982808</v>
      </c>
      <c r="AA37">
        <f t="shared" si="18"/>
        <v>0</v>
      </c>
      <c r="AB37" s="27">
        <f t="shared" si="19"/>
        <v>1434050.7114982808</v>
      </c>
      <c r="AD37" s="27">
        <f t="shared" si="20"/>
        <v>0</v>
      </c>
      <c r="AE37" s="27">
        <f t="shared" si="21"/>
        <v>1434050.7114982808</v>
      </c>
      <c r="AF37" s="50"/>
      <c r="AG37" t="str">
        <f t="shared" si="22"/>
        <v>5301230</v>
      </c>
    </row>
    <row r="38" spans="1:33" hidden="1" x14ac:dyDescent="0.25">
      <c r="A38" s="7" t="s">
        <v>340</v>
      </c>
      <c r="B38" s="2" t="s">
        <v>727</v>
      </c>
      <c r="C38" s="4" t="s">
        <v>726</v>
      </c>
      <c r="D38">
        <f>_xlfn.IFNA(VLOOKUP(A38,'Prior Year data'!$A$1:$T$318,12,FALSE),0)</f>
        <v>394716.41245081241</v>
      </c>
      <c r="E38">
        <f>VLOOKUP(A38,'Basic HH'!$B$1:$Y$319,23,FALSE)</f>
        <v>140036.72205738933</v>
      </c>
      <c r="F38">
        <f>VLOOKUP(A38,'Conc. HH'!$B$1:$Y$319,23,FALSE)</f>
        <v>35761.957569360777</v>
      </c>
      <c r="G38">
        <f>VLOOKUP(A38,'Targeted HH'!$B$1:$Y$319,23,FALSE)</f>
        <v>78700.719305723978</v>
      </c>
      <c r="H38">
        <f>VLOOKUP(A38,'EFIG HH'!$B$1:$Y$319,23,FALSE)</f>
        <v>103703.32233418374</v>
      </c>
      <c r="I38">
        <f t="shared" si="0"/>
        <v>358202.72126665781</v>
      </c>
      <c r="J38">
        <f t="shared" si="1"/>
        <v>0</v>
      </c>
      <c r="K38" s="43">
        <f t="shared" si="2"/>
        <v>358202.72126665781</v>
      </c>
      <c r="L38">
        <f t="shared" si="3"/>
        <v>0</v>
      </c>
      <c r="M38">
        <f t="shared" si="4"/>
        <v>0</v>
      </c>
      <c r="N38" s="43">
        <f t="shared" si="5"/>
        <v>358202.72126665781</v>
      </c>
      <c r="O38">
        <f t="shared" si="6"/>
        <v>0</v>
      </c>
      <c r="P38">
        <f t="shared" si="7"/>
        <v>0</v>
      </c>
      <c r="Q38" s="43">
        <f t="shared" si="8"/>
        <v>358202.72126665781</v>
      </c>
      <c r="R38">
        <f t="shared" si="9"/>
        <v>0</v>
      </c>
      <c r="S38">
        <f t="shared" si="10"/>
        <v>0</v>
      </c>
      <c r="T38" s="43">
        <f t="shared" si="11"/>
        <v>358202.72126665781</v>
      </c>
      <c r="U38">
        <f t="shared" si="12"/>
        <v>0</v>
      </c>
      <c r="V38">
        <f t="shared" si="13"/>
        <v>0</v>
      </c>
      <c r="W38" s="43">
        <f t="shared" si="14"/>
        <v>358202.72126665781</v>
      </c>
      <c r="X38" s="43">
        <f t="shared" si="15"/>
        <v>0</v>
      </c>
      <c r="Y38" s="27">
        <f t="shared" si="16"/>
        <v>2743.5543000361627</v>
      </c>
      <c r="Z38" s="27">
        <f t="shared" si="17"/>
        <v>355459.16696662165</v>
      </c>
      <c r="AA38">
        <f t="shared" si="18"/>
        <v>0</v>
      </c>
      <c r="AB38" s="27">
        <f t="shared" si="19"/>
        <v>355459.16696662165</v>
      </c>
      <c r="AD38" s="27">
        <f t="shared" si="20"/>
        <v>0</v>
      </c>
      <c r="AE38" s="27">
        <f t="shared" si="21"/>
        <v>355459.16696662165</v>
      </c>
      <c r="AF38" s="50"/>
      <c r="AG38" t="str">
        <f t="shared" si="22"/>
        <v>5301260</v>
      </c>
    </row>
    <row r="39" spans="1:33" hidden="1" x14ac:dyDescent="0.25">
      <c r="A39" s="7" t="s">
        <v>109</v>
      </c>
      <c r="B39" s="2" t="s">
        <v>729</v>
      </c>
      <c r="C39" s="4" t="s">
        <v>728</v>
      </c>
      <c r="D39">
        <f>_xlfn.IFNA(VLOOKUP(A39,'Prior Year data'!$A$1:$T$318,12,FALSE),0)</f>
        <v>373368.71189982921</v>
      </c>
      <c r="E39">
        <f>VLOOKUP(A39,'Basic HH'!$B$1:$Y$319,23,FALSE)</f>
        <v>132045.5412713188</v>
      </c>
      <c r="F39">
        <f>VLOOKUP(A39,'Conc. HH'!$B$1:$Y$319,23,FALSE)</f>
        <v>33831.380503972068</v>
      </c>
      <c r="G39">
        <f>VLOOKUP(A39,'Targeted HH'!$B$1:$Y$319,23,FALSE)</f>
        <v>68459.040839028879</v>
      </c>
      <c r="H39">
        <f>VLOOKUP(A39,'EFIG HH'!$B$1:$Y$319,23,FALSE)</f>
        <v>94400.475933401656</v>
      </c>
      <c r="I39">
        <f t="shared" si="0"/>
        <v>328736.43854772142</v>
      </c>
      <c r="J39">
        <f t="shared" si="1"/>
        <v>0</v>
      </c>
      <c r="K39" s="43">
        <f t="shared" si="2"/>
        <v>328736.43854772142</v>
      </c>
      <c r="L39">
        <f t="shared" si="3"/>
        <v>0</v>
      </c>
      <c r="M39">
        <f t="shared" si="4"/>
        <v>0</v>
      </c>
      <c r="N39" s="43">
        <f t="shared" si="5"/>
        <v>328736.43854772142</v>
      </c>
      <c r="O39">
        <f t="shared" si="6"/>
        <v>0</v>
      </c>
      <c r="P39">
        <f t="shared" si="7"/>
        <v>0</v>
      </c>
      <c r="Q39" s="43">
        <f t="shared" si="8"/>
        <v>328736.43854772142</v>
      </c>
      <c r="R39">
        <f t="shared" si="9"/>
        <v>0</v>
      </c>
      <c r="S39">
        <f t="shared" si="10"/>
        <v>0</v>
      </c>
      <c r="T39" s="43">
        <f t="shared" si="11"/>
        <v>328736.43854772142</v>
      </c>
      <c r="U39">
        <f t="shared" si="12"/>
        <v>0</v>
      </c>
      <c r="V39">
        <f t="shared" si="13"/>
        <v>0</v>
      </c>
      <c r="W39" s="43">
        <f t="shared" si="14"/>
        <v>328736.43854772142</v>
      </c>
      <c r="X39" s="43">
        <f t="shared" si="15"/>
        <v>0</v>
      </c>
      <c r="Y39" s="27">
        <f t="shared" si="16"/>
        <v>2517.8654879195246</v>
      </c>
      <c r="Z39" s="27">
        <f t="shared" si="17"/>
        <v>326218.57305980189</v>
      </c>
      <c r="AA39">
        <f t="shared" si="18"/>
        <v>0</v>
      </c>
      <c r="AB39" s="27">
        <f t="shared" si="19"/>
        <v>326218.57305980189</v>
      </c>
      <c r="AD39" s="27">
        <f t="shared" si="20"/>
        <v>0</v>
      </c>
      <c r="AE39" s="27">
        <f t="shared" si="21"/>
        <v>326218.57305980189</v>
      </c>
      <c r="AF39" s="50"/>
      <c r="AG39" t="str">
        <f t="shared" si="22"/>
        <v>5301290</v>
      </c>
    </row>
    <row r="40" spans="1:33" x14ac:dyDescent="0.25">
      <c r="A40" s="7" t="s">
        <v>342</v>
      </c>
      <c r="B40" s="2" t="s">
        <v>731</v>
      </c>
      <c r="C40" s="4" t="s">
        <v>730</v>
      </c>
      <c r="D40">
        <f>_xlfn.IFNA(VLOOKUP(A40,'Prior Year data'!$A$1:$T$318,12,FALSE),0)</f>
        <v>1199089.585711271</v>
      </c>
      <c r="E40">
        <f>VLOOKUP(A40,'Basic HH'!$B$1:$Y$319,23,FALSE)</f>
        <v>469235.1809964375</v>
      </c>
      <c r="F40">
        <f>VLOOKUP(A40,'Conc. HH'!$B$1:$Y$319,23,FALSE)</f>
        <v>123635.73680177514</v>
      </c>
      <c r="G40">
        <f>VLOOKUP(A40,'Targeted HH'!$B$1:$Y$319,23,FALSE)</f>
        <v>271841.10025092715</v>
      </c>
      <c r="H40">
        <f>VLOOKUP(A40,'EFIG HH'!$B$1:$Y$319,23,FALSE)</f>
        <v>373650.49813423608</v>
      </c>
      <c r="I40">
        <f t="shared" si="0"/>
        <v>1238362.5161833758</v>
      </c>
      <c r="J40">
        <f t="shared" si="1"/>
        <v>1238362.5161833758</v>
      </c>
      <c r="K40" s="43">
        <f t="shared" si="2"/>
        <v>1125905.4613570864</v>
      </c>
      <c r="L40">
        <f t="shared" si="3"/>
        <v>73184.124354184605</v>
      </c>
      <c r="M40">
        <f t="shared" si="4"/>
        <v>0</v>
      </c>
      <c r="N40" s="43">
        <f t="shared" si="5"/>
        <v>1199089.585711271</v>
      </c>
      <c r="O40">
        <f t="shared" si="6"/>
        <v>0</v>
      </c>
      <c r="P40">
        <f t="shared" si="7"/>
        <v>0</v>
      </c>
      <c r="Q40" s="43">
        <f t="shared" si="8"/>
        <v>1199089.585711271</v>
      </c>
      <c r="R40">
        <f t="shared" si="9"/>
        <v>0</v>
      </c>
      <c r="S40">
        <f t="shared" si="10"/>
        <v>0</v>
      </c>
      <c r="T40" s="43">
        <f t="shared" si="11"/>
        <v>1199089.585711271</v>
      </c>
      <c r="U40">
        <f t="shared" si="12"/>
        <v>0</v>
      </c>
      <c r="V40">
        <f t="shared" si="13"/>
        <v>0</v>
      </c>
      <c r="W40" s="43">
        <f t="shared" si="14"/>
        <v>1199089.585711271</v>
      </c>
      <c r="X40" s="43">
        <f t="shared" si="15"/>
        <v>39272.93047210481</v>
      </c>
      <c r="Y40" s="27">
        <f t="shared" si="16"/>
        <v>9184.0937929606862</v>
      </c>
      <c r="Z40" s="27">
        <f t="shared" si="17"/>
        <v>1189905.4919183103</v>
      </c>
      <c r="AA40">
        <f t="shared" si="18"/>
        <v>0</v>
      </c>
      <c r="AB40" s="27">
        <f t="shared" si="19"/>
        <v>1189905.4919183103</v>
      </c>
      <c r="AD40" s="27">
        <f t="shared" si="20"/>
        <v>0</v>
      </c>
      <c r="AE40" s="27">
        <f t="shared" si="21"/>
        <v>1189905.4919183103</v>
      </c>
      <c r="AF40" s="50"/>
      <c r="AG40" t="str">
        <f t="shared" si="22"/>
        <v>5301320</v>
      </c>
    </row>
    <row r="41" spans="1:33" x14ac:dyDescent="0.25">
      <c r="A41" s="7" t="s">
        <v>344</v>
      </c>
      <c r="B41" s="2" t="s">
        <v>733</v>
      </c>
      <c r="C41" s="4" t="s">
        <v>732</v>
      </c>
      <c r="D41">
        <f>_xlfn.IFNA(VLOOKUP(A41,'Prior Year data'!$A$1:$T$318,12,FALSE),0)</f>
        <v>288198.15205790842</v>
      </c>
      <c r="E41">
        <f>VLOOKUP(A41,'Basic HH'!$B$1:$Y$319,23,FALSE)</f>
        <v>137257.86526887087</v>
      </c>
      <c r="F41">
        <f>VLOOKUP(A41,'Conc. HH'!$B$1:$Y$319,23,FALSE)</f>
        <v>19651.006742485562</v>
      </c>
      <c r="G41">
        <f>VLOOKUP(A41,'Targeted HH'!$B$1:$Y$319,23,FALSE)</f>
        <v>66212.78673638418</v>
      </c>
      <c r="H41">
        <f>VLOOKUP(A41,'EFIG HH'!$B$1:$Y$319,23,FALSE)</f>
        <v>89776.853424197121</v>
      </c>
      <c r="I41">
        <f t="shared" si="0"/>
        <v>312898.51217193773</v>
      </c>
      <c r="J41">
        <f t="shared" si="1"/>
        <v>312898.51217193773</v>
      </c>
      <c r="K41" s="43">
        <f t="shared" si="2"/>
        <v>284483.85597995925</v>
      </c>
      <c r="L41">
        <f t="shared" si="3"/>
        <v>3714.2960779491696</v>
      </c>
      <c r="M41">
        <f t="shared" si="4"/>
        <v>0</v>
      </c>
      <c r="N41" s="43">
        <f t="shared" si="5"/>
        <v>288198.15205790842</v>
      </c>
      <c r="O41">
        <f t="shared" si="6"/>
        <v>0</v>
      </c>
      <c r="P41">
        <f t="shared" si="7"/>
        <v>0</v>
      </c>
      <c r="Q41" s="43">
        <f t="shared" si="8"/>
        <v>288198.15205790842</v>
      </c>
      <c r="R41">
        <f t="shared" si="9"/>
        <v>0</v>
      </c>
      <c r="S41">
        <f t="shared" si="10"/>
        <v>0</v>
      </c>
      <c r="T41" s="43">
        <f t="shared" si="11"/>
        <v>288198.15205790842</v>
      </c>
      <c r="U41">
        <f t="shared" si="12"/>
        <v>0</v>
      </c>
      <c r="V41">
        <f t="shared" si="13"/>
        <v>0</v>
      </c>
      <c r="W41" s="43">
        <f t="shared" si="14"/>
        <v>288198.15205790842</v>
      </c>
      <c r="X41" s="43">
        <f t="shared" si="15"/>
        <v>24700.360114029318</v>
      </c>
      <c r="Y41" s="27">
        <f t="shared" si="16"/>
        <v>2207.3737367068661</v>
      </c>
      <c r="Z41" s="27">
        <f t="shared" si="17"/>
        <v>285990.77832120156</v>
      </c>
      <c r="AA41">
        <f t="shared" si="18"/>
        <v>0</v>
      </c>
      <c r="AB41" s="27">
        <f t="shared" si="19"/>
        <v>285990.77832120156</v>
      </c>
      <c r="AD41" s="27">
        <f t="shared" si="20"/>
        <v>0</v>
      </c>
      <c r="AE41" s="27">
        <f t="shared" si="21"/>
        <v>285990.77832120156</v>
      </c>
      <c r="AF41" s="50"/>
      <c r="AG41" t="str">
        <f t="shared" si="22"/>
        <v>5301350</v>
      </c>
    </row>
    <row r="42" spans="1:33" hidden="1" x14ac:dyDescent="0.25">
      <c r="A42" s="7" t="s">
        <v>346</v>
      </c>
      <c r="B42" s="2" t="s">
        <v>735</v>
      </c>
      <c r="C42" s="4" t="s">
        <v>734</v>
      </c>
      <c r="D42">
        <f>_xlfn.IFNA(VLOOKUP(A42,'Prior Year data'!$A$1:$T$318,12,FALSE),0)</f>
        <v>4236933.1501451973</v>
      </c>
      <c r="E42">
        <f>VLOOKUP(A42,'Basic HH'!$B$1:$Y$319,23,FALSE)</f>
        <v>1819101.0751456697</v>
      </c>
      <c r="F42">
        <f>VLOOKUP(A42,'Conc. HH'!$B$1:$Y$319,23,FALSE)</f>
        <v>489447.96830223186</v>
      </c>
      <c r="G42">
        <f>VLOOKUP(A42,'Targeted HH'!$B$1:$Y$319,23,FALSE)</f>
        <v>1171505.350136467</v>
      </c>
      <c r="H42">
        <f>VLOOKUP(A42,'EFIG HH'!$B$1:$Y$319,23,FALSE)</f>
        <v>1588425.2768819178</v>
      </c>
      <c r="I42">
        <f t="shared" si="0"/>
        <v>5068479.6704662871</v>
      </c>
      <c r="J42">
        <f t="shared" si="1"/>
        <v>5068479.6704662871</v>
      </c>
      <c r="K42" s="43">
        <f t="shared" si="2"/>
        <v>4608205.4868255761</v>
      </c>
      <c r="L42">
        <f t="shared" si="3"/>
        <v>0</v>
      </c>
      <c r="M42">
        <f t="shared" si="4"/>
        <v>371272.33668037876</v>
      </c>
      <c r="N42" s="43">
        <f t="shared" si="5"/>
        <v>4555140.7559403758</v>
      </c>
      <c r="O42">
        <f t="shared" si="6"/>
        <v>0</v>
      </c>
      <c r="P42">
        <f t="shared" si="7"/>
        <v>318207.60579517856</v>
      </c>
      <c r="Q42" s="43">
        <f t="shared" si="8"/>
        <v>4555140.7559403758</v>
      </c>
      <c r="R42">
        <f t="shared" si="9"/>
        <v>0</v>
      </c>
      <c r="S42">
        <f t="shared" si="10"/>
        <v>318207.60579517856</v>
      </c>
      <c r="T42" s="43">
        <f t="shared" si="11"/>
        <v>4555140.7559403758</v>
      </c>
      <c r="U42">
        <f t="shared" si="12"/>
        <v>0</v>
      </c>
      <c r="V42">
        <f t="shared" si="13"/>
        <v>318207.60579517856</v>
      </c>
      <c r="W42" s="43">
        <f t="shared" si="14"/>
        <v>4555140.7559403758</v>
      </c>
      <c r="X42" s="43">
        <f t="shared" si="15"/>
        <v>513338.91452591121</v>
      </c>
      <c r="Y42" s="27">
        <f t="shared" si="16"/>
        <v>34888.836031278537</v>
      </c>
      <c r="Z42" s="27">
        <f t="shared" si="17"/>
        <v>4520251.9199090973</v>
      </c>
      <c r="AA42">
        <f t="shared" si="18"/>
        <v>0</v>
      </c>
      <c r="AB42" s="27">
        <f t="shared" si="19"/>
        <v>4520251.9199090973</v>
      </c>
      <c r="AD42" s="27">
        <f t="shared" si="20"/>
        <v>0</v>
      </c>
      <c r="AE42" s="27">
        <f t="shared" si="21"/>
        <v>4520251.9199090973</v>
      </c>
      <c r="AF42" s="50"/>
      <c r="AG42" t="str">
        <f t="shared" si="22"/>
        <v>5301410</v>
      </c>
    </row>
    <row r="43" spans="1:33" hidden="1" x14ac:dyDescent="0.25">
      <c r="A43" s="7" t="s">
        <v>270</v>
      </c>
      <c r="B43" s="2" t="s">
        <v>737</v>
      </c>
      <c r="C43" s="4" t="s">
        <v>736</v>
      </c>
      <c r="D43">
        <f>_xlfn.IFNA(VLOOKUP(A43,'Prior Year data'!$A$1:$T$318,12,FALSE),0)</f>
        <v>82032.150407825146</v>
      </c>
      <c r="E43">
        <f>VLOOKUP(A43,'Basic HH'!$B$1:$Y$319,23,FALSE)</f>
        <v>52991.960641779297</v>
      </c>
      <c r="F43">
        <f>VLOOKUP(A43,'Conc. HH'!$B$1:$Y$319,23,FALSE)</f>
        <v>0</v>
      </c>
      <c r="G43">
        <f>VLOOKUP(A43,'Targeted HH'!$B$1:$Y$319,23,FALSE)</f>
        <v>25563.164499490096</v>
      </c>
      <c r="H43">
        <f>VLOOKUP(A43,'EFIG HH'!$B$1:$Y$319,23,FALSE)</f>
        <v>34660.683916936854</v>
      </c>
      <c r="I43">
        <f t="shared" si="0"/>
        <v>113215.80905820624</v>
      </c>
      <c r="J43">
        <f t="shared" si="1"/>
        <v>113215.80905820624</v>
      </c>
      <c r="K43" s="43">
        <f t="shared" si="2"/>
        <v>102934.55758291039</v>
      </c>
      <c r="L43">
        <f t="shared" si="3"/>
        <v>0</v>
      </c>
      <c r="M43">
        <f t="shared" si="4"/>
        <v>20902.407175085245</v>
      </c>
      <c r="N43" s="43">
        <f t="shared" si="5"/>
        <v>99947.045446896765</v>
      </c>
      <c r="O43">
        <f t="shared" si="6"/>
        <v>0</v>
      </c>
      <c r="P43">
        <f t="shared" si="7"/>
        <v>17914.89503907162</v>
      </c>
      <c r="Q43" s="43">
        <f t="shared" si="8"/>
        <v>99947.045446896765</v>
      </c>
      <c r="R43">
        <f t="shared" si="9"/>
        <v>0</v>
      </c>
      <c r="S43">
        <f t="shared" si="10"/>
        <v>17914.89503907162</v>
      </c>
      <c r="T43" s="43">
        <f t="shared" si="11"/>
        <v>99947.045446896765</v>
      </c>
      <c r="U43">
        <f t="shared" si="12"/>
        <v>0</v>
      </c>
      <c r="V43">
        <f t="shared" si="13"/>
        <v>17914.89503907162</v>
      </c>
      <c r="W43" s="43">
        <f t="shared" si="14"/>
        <v>99947.045446896765</v>
      </c>
      <c r="X43" s="43">
        <f t="shared" si="15"/>
        <v>13268.763611309478</v>
      </c>
      <c r="Y43" s="27">
        <f t="shared" si="16"/>
        <v>765.51664750646148</v>
      </c>
      <c r="Z43" s="27">
        <f t="shared" si="17"/>
        <v>99181.528799390304</v>
      </c>
      <c r="AA43">
        <f t="shared" si="18"/>
        <v>0</v>
      </c>
      <c r="AB43" s="27">
        <f t="shared" si="19"/>
        <v>99181.528799390304</v>
      </c>
      <c r="AD43" s="27">
        <f t="shared" si="20"/>
        <v>0</v>
      </c>
      <c r="AE43" s="27">
        <f t="shared" si="21"/>
        <v>99181.528799390304</v>
      </c>
      <c r="AF43" s="50"/>
      <c r="AG43" t="str">
        <f t="shared" si="22"/>
        <v>5301440</v>
      </c>
    </row>
    <row r="44" spans="1:33" hidden="1" x14ac:dyDescent="0.25">
      <c r="A44" s="7" t="s">
        <v>348</v>
      </c>
      <c r="B44" s="2" t="s">
        <v>739</v>
      </c>
      <c r="C44" s="4" t="s">
        <v>738</v>
      </c>
      <c r="D44">
        <f>_xlfn.IFNA(VLOOKUP(A44,'Prior Year data'!$A$1:$T$318,12,FALSE),0)</f>
        <v>395577.25863329013</v>
      </c>
      <c r="E44">
        <f>VLOOKUP(A44,'Basic HH'!$B$1:$Y$319,23,FALSE)</f>
        <v>253666.43454753363</v>
      </c>
      <c r="F44">
        <f>VLOOKUP(A44,'Conc. HH'!$B$1:$Y$319,23,FALSE)</f>
        <v>0</v>
      </c>
      <c r="G44">
        <f>VLOOKUP(A44,'Targeted HH'!$B$1:$Y$319,23,FALSE)</f>
        <v>122367.93498116574</v>
      </c>
      <c r="H44">
        <f>VLOOKUP(A44,'EFIG HH'!$B$1:$Y$319,23,FALSE)</f>
        <v>165916.71645484527</v>
      </c>
      <c r="I44">
        <f t="shared" si="0"/>
        <v>541951.08598354459</v>
      </c>
      <c r="J44">
        <f t="shared" si="1"/>
        <v>541951.08598354459</v>
      </c>
      <c r="K44" s="43">
        <f t="shared" si="2"/>
        <v>492735.91498704645</v>
      </c>
      <c r="L44">
        <f t="shared" si="3"/>
        <v>0</v>
      </c>
      <c r="M44">
        <f t="shared" si="4"/>
        <v>97158.65635375632</v>
      </c>
      <c r="N44" s="43">
        <f t="shared" si="5"/>
        <v>478849.34859570733</v>
      </c>
      <c r="O44">
        <f t="shared" si="6"/>
        <v>0</v>
      </c>
      <c r="P44">
        <f t="shared" si="7"/>
        <v>83272.089962417202</v>
      </c>
      <c r="Q44" s="43">
        <f t="shared" si="8"/>
        <v>478849.34859570733</v>
      </c>
      <c r="R44">
        <f t="shared" si="9"/>
        <v>0</v>
      </c>
      <c r="S44">
        <f t="shared" si="10"/>
        <v>83272.089962417202</v>
      </c>
      <c r="T44" s="43">
        <f t="shared" si="11"/>
        <v>478849.34859570733</v>
      </c>
      <c r="U44">
        <f t="shared" si="12"/>
        <v>0</v>
      </c>
      <c r="V44">
        <f t="shared" si="13"/>
        <v>83272.089962417202</v>
      </c>
      <c r="W44" s="43">
        <f t="shared" si="14"/>
        <v>478849.34859570733</v>
      </c>
      <c r="X44" s="43">
        <f t="shared" si="15"/>
        <v>63101.73738783726</v>
      </c>
      <c r="Y44" s="27">
        <f t="shared" si="16"/>
        <v>3667.6136483934479</v>
      </c>
      <c r="Z44" s="27">
        <f t="shared" si="17"/>
        <v>475181.7349473139</v>
      </c>
      <c r="AA44">
        <f t="shared" si="18"/>
        <v>0</v>
      </c>
      <c r="AB44" s="27">
        <f t="shared" si="19"/>
        <v>475181.7349473139</v>
      </c>
      <c r="AD44" s="27">
        <f t="shared" si="20"/>
        <v>0</v>
      </c>
      <c r="AE44" s="27">
        <f t="shared" si="21"/>
        <v>475181.7349473139</v>
      </c>
      <c r="AF44" s="50"/>
      <c r="AG44" t="str">
        <f t="shared" si="22"/>
        <v>5301470</v>
      </c>
    </row>
    <row r="45" spans="1:33" hidden="1" x14ac:dyDescent="0.25">
      <c r="A45" s="7" t="s">
        <v>350</v>
      </c>
      <c r="B45" s="2" t="s">
        <v>741</v>
      </c>
      <c r="C45" s="4" t="s">
        <v>740</v>
      </c>
      <c r="D45">
        <f>_xlfn.IFNA(VLOOKUP(A45,'Prior Year data'!$A$1:$T$318,12,FALSE),0)</f>
        <v>30545.001830211982</v>
      </c>
      <c r="E45">
        <f>VLOOKUP(A45,'Basic HH'!$B$1:$Y$319,23,FALSE)</f>
        <v>0</v>
      </c>
      <c r="F45">
        <f>VLOOKUP(A45,'Conc. HH'!$B$1:$Y$319,23,FALSE)</f>
        <v>0</v>
      </c>
      <c r="G45">
        <f>VLOOKUP(A45,'Targeted HH'!$B$1:$Y$319,23,FALSE)</f>
        <v>0</v>
      </c>
      <c r="H45">
        <f>VLOOKUP(A45,'EFIG HH'!$B$1:$Y$319,23,FALSE)</f>
        <v>0</v>
      </c>
      <c r="I45">
        <f t="shared" si="0"/>
        <v>0</v>
      </c>
      <c r="J45">
        <f t="shared" si="1"/>
        <v>0</v>
      </c>
      <c r="K45" s="43">
        <f t="shared" si="2"/>
        <v>0</v>
      </c>
      <c r="L45">
        <f t="shared" si="3"/>
        <v>0</v>
      </c>
      <c r="M45">
        <f t="shared" si="4"/>
        <v>0</v>
      </c>
      <c r="N45" s="43">
        <f t="shared" si="5"/>
        <v>0</v>
      </c>
      <c r="O45">
        <f t="shared" si="6"/>
        <v>0</v>
      </c>
      <c r="P45">
        <f t="shared" si="7"/>
        <v>0</v>
      </c>
      <c r="Q45" s="43">
        <f t="shared" si="8"/>
        <v>0</v>
      </c>
      <c r="R45">
        <f t="shared" si="9"/>
        <v>0</v>
      </c>
      <c r="S45">
        <f t="shared" si="10"/>
        <v>0</v>
      </c>
      <c r="T45" s="43">
        <f t="shared" si="11"/>
        <v>0</v>
      </c>
      <c r="U45">
        <f t="shared" si="12"/>
        <v>0</v>
      </c>
      <c r="V45">
        <f t="shared" si="13"/>
        <v>0</v>
      </c>
      <c r="W45" s="43">
        <f t="shared" si="14"/>
        <v>0</v>
      </c>
      <c r="X45" s="43">
        <f t="shared" si="15"/>
        <v>0</v>
      </c>
      <c r="Y45" s="27">
        <f t="shared" si="16"/>
        <v>0</v>
      </c>
      <c r="Z45" s="27">
        <f t="shared" si="17"/>
        <v>0</v>
      </c>
      <c r="AA45">
        <f t="shared" si="18"/>
        <v>0</v>
      </c>
      <c r="AB45" s="27">
        <f t="shared" si="19"/>
        <v>0</v>
      </c>
      <c r="AD45" s="27">
        <f t="shared" si="20"/>
        <v>0</v>
      </c>
      <c r="AE45" s="27">
        <f t="shared" si="21"/>
        <v>0</v>
      </c>
      <c r="AF45" s="50"/>
      <c r="AG45" t="str">
        <f t="shared" si="22"/>
        <v>5301500</v>
      </c>
    </row>
    <row r="46" spans="1:33" x14ac:dyDescent="0.25">
      <c r="A46" s="7" t="s">
        <v>352</v>
      </c>
      <c r="B46" s="2" t="s">
        <v>743</v>
      </c>
      <c r="C46" s="4" t="s">
        <v>742</v>
      </c>
      <c r="D46">
        <f>_xlfn.IFNA(VLOOKUP(A46,'Prior Year data'!$A$1:$T$318,12,FALSE),0)</f>
        <v>85267.398002930757</v>
      </c>
      <c r="E46">
        <f>VLOOKUP(A46,'Basic HH'!$B$1:$Y$319,23,FALSE)</f>
        <v>33295.565648262062</v>
      </c>
      <c r="F46">
        <f>VLOOKUP(A46,'Conc. HH'!$B$1:$Y$319,23,FALSE)</f>
        <v>8882.0548211484311</v>
      </c>
      <c r="G46">
        <f>VLOOKUP(A46,'Targeted HH'!$B$1:$Y$319,23,FALSE)</f>
        <v>19000.153110159124</v>
      </c>
      <c r="H46">
        <f>VLOOKUP(A46,'EFIG HH'!$B$1:$Y$319,23,FALSE)</f>
        <v>26116.053340295057</v>
      </c>
      <c r="I46">
        <f t="shared" si="0"/>
        <v>87293.826919864674</v>
      </c>
      <c r="J46">
        <f t="shared" si="1"/>
        <v>87293.826919864674</v>
      </c>
      <c r="K46" s="43">
        <f t="shared" si="2"/>
        <v>79366.579000427344</v>
      </c>
      <c r="L46">
        <f t="shared" si="3"/>
        <v>5900.8190025034128</v>
      </c>
      <c r="M46">
        <f t="shared" si="4"/>
        <v>0</v>
      </c>
      <c r="N46" s="43">
        <f t="shared" si="5"/>
        <v>85267.398002930757</v>
      </c>
      <c r="O46">
        <f t="shared" si="6"/>
        <v>0</v>
      </c>
      <c r="P46">
        <f t="shared" si="7"/>
        <v>0</v>
      </c>
      <c r="Q46" s="43">
        <f t="shared" si="8"/>
        <v>85267.398002930757</v>
      </c>
      <c r="R46">
        <f t="shared" si="9"/>
        <v>0</v>
      </c>
      <c r="S46">
        <f t="shared" si="10"/>
        <v>0</v>
      </c>
      <c r="T46" s="43">
        <f t="shared" si="11"/>
        <v>85267.398002930757</v>
      </c>
      <c r="U46">
        <f t="shared" si="12"/>
        <v>0</v>
      </c>
      <c r="V46">
        <f t="shared" si="13"/>
        <v>0</v>
      </c>
      <c r="W46" s="43">
        <f t="shared" si="14"/>
        <v>85267.398002930757</v>
      </c>
      <c r="X46" s="43">
        <f t="shared" si="15"/>
        <v>2026.4289169339172</v>
      </c>
      <c r="Y46" s="27">
        <f t="shared" si="16"/>
        <v>653.08196324306027</v>
      </c>
      <c r="Z46" s="27">
        <f t="shared" si="17"/>
        <v>84614.316039687692</v>
      </c>
      <c r="AA46">
        <f t="shared" si="18"/>
        <v>0</v>
      </c>
      <c r="AB46" s="27">
        <f t="shared" si="19"/>
        <v>84614.316039687692</v>
      </c>
      <c r="AD46" s="27">
        <f t="shared" si="20"/>
        <v>0</v>
      </c>
      <c r="AE46" s="27">
        <f t="shared" si="21"/>
        <v>84614.316039687692</v>
      </c>
      <c r="AF46" s="50"/>
      <c r="AG46" t="str">
        <f t="shared" si="22"/>
        <v>5301560</v>
      </c>
    </row>
    <row r="47" spans="1:33" x14ac:dyDescent="0.25">
      <c r="A47" s="7" t="s">
        <v>353</v>
      </c>
      <c r="B47" s="2" t="s">
        <v>745</v>
      </c>
      <c r="C47" s="4" t="s">
        <v>744</v>
      </c>
      <c r="D47">
        <f>_xlfn.IFNA(VLOOKUP(A47,'Prior Year data'!$A$1:$T$318,12,FALSE),0)</f>
        <v>208071.03914022737</v>
      </c>
      <c r="E47">
        <f>VLOOKUP(A47,'Basic HH'!$B$1:$Y$319,23,FALSE)</f>
        <v>91215.669957161022</v>
      </c>
      <c r="F47">
        <f>VLOOKUP(A47,'Conc. HH'!$B$1:$Y$319,23,FALSE)</f>
        <v>19187.19088165279</v>
      </c>
      <c r="G47">
        <f>VLOOKUP(A47,'Targeted HH'!$B$1:$Y$319,23,FALSE)</f>
        <v>44002.168400761657</v>
      </c>
      <c r="H47">
        <f>VLOOKUP(A47,'EFIG HH'!$B$1:$Y$319,23,FALSE)</f>
        <v>59661.832971776559</v>
      </c>
      <c r="I47">
        <f t="shared" si="0"/>
        <v>214066.86221135204</v>
      </c>
      <c r="J47">
        <f t="shared" si="1"/>
        <v>214066.86221135204</v>
      </c>
      <c r="K47" s="43">
        <f t="shared" si="2"/>
        <v>194627.21627117324</v>
      </c>
      <c r="L47">
        <f t="shared" si="3"/>
        <v>13443.822869054129</v>
      </c>
      <c r="M47">
        <f t="shared" si="4"/>
        <v>0</v>
      </c>
      <c r="N47" s="43">
        <f t="shared" si="5"/>
        <v>208071.03914022737</v>
      </c>
      <c r="O47">
        <f t="shared" si="6"/>
        <v>0</v>
      </c>
      <c r="P47">
        <f t="shared" si="7"/>
        <v>0</v>
      </c>
      <c r="Q47" s="43">
        <f t="shared" si="8"/>
        <v>208071.03914022737</v>
      </c>
      <c r="R47">
        <f t="shared" si="9"/>
        <v>0</v>
      </c>
      <c r="S47">
        <f t="shared" si="10"/>
        <v>0</v>
      </c>
      <c r="T47" s="43">
        <f t="shared" si="11"/>
        <v>208071.03914022737</v>
      </c>
      <c r="U47">
        <f t="shared" si="12"/>
        <v>0</v>
      </c>
      <c r="V47">
        <f t="shared" si="13"/>
        <v>0</v>
      </c>
      <c r="W47" s="43">
        <f t="shared" si="14"/>
        <v>208071.03914022737</v>
      </c>
      <c r="X47" s="43">
        <f t="shared" si="15"/>
        <v>5995.8230711246724</v>
      </c>
      <c r="Y47" s="27">
        <f t="shared" si="16"/>
        <v>1593.6623600388591</v>
      </c>
      <c r="Z47" s="27">
        <f t="shared" si="17"/>
        <v>206477.3767801885</v>
      </c>
      <c r="AA47">
        <f t="shared" si="18"/>
        <v>0</v>
      </c>
      <c r="AB47" s="27">
        <f t="shared" si="19"/>
        <v>206477.3767801885</v>
      </c>
      <c r="AD47" s="27">
        <f t="shared" si="20"/>
        <v>0</v>
      </c>
      <c r="AE47" s="27">
        <f t="shared" si="21"/>
        <v>206477.3767801885</v>
      </c>
      <c r="AF47" s="50"/>
      <c r="AG47" t="str">
        <f t="shared" si="22"/>
        <v>5301590</v>
      </c>
    </row>
    <row r="48" spans="1:33" hidden="1" x14ac:dyDescent="0.25">
      <c r="A48" s="7" t="s">
        <v>354</v>
      </c>
      <c r="B48" s="2" t="s">
        <v>747</v>
      </c>
      <c r="C48" s="4" t="s">
        <v>746</v>
      </c>
      <c r="D48">
        <f>_xlfn.IFNA(VLOOKUP(A48,'Prior Year data'!$A$1:$T$318,12,FALSE),0)</f>
        <v>674057.37695067853</v>
      </c>
      <c r="E48">
        <f>VLOOKUP(A48,'Basic HH'!$B$1:$Y$319,23,FALSE)</f>
        <v>304920.95385679556</v>
      </c>
      <c r="F48">
        <f>VLOOKUP(A48,'Conc. HH'!$B$1:$Y$319,23,FALSE)</f>
        <v>82042.137953239435</v>
      </c>
      <c r="G48">
        <f>VLOOKUP(A48,'Targeted HH'!$B$1:$Y$319,23,FALSE)</f>
        <v>158888.81280360286</v>
      </c>
      <c r="H48">
        <f>VLOOKUP(A48,'EFIG HH'!$B$1:$Y$319,23,FALSE)</f>
        <v>215434.78776396712</v>
      </c>
      <c r="I48">
        <f t="shared" si="0"/>
        <v>761286.69237760501</v>
      </c>
      <c r="J48">
        <f t="shared" si="1"/>
        <v>761286.69237760501</v>
      </c>
      <c r="K48" s="43">
        <f t="shared" si="2"/>
        <v>692153.4150178472</v>
      </c>
      <c r="L48">
        <f t="shared" si="3"/>
        <v>0</v>
      </c>
      <c r="M48">
        <f t="shared" si="4"/>
        <v>18096.038067168673</v>
      </c>
      <c r="N48" s="43">
        <f t="shared" si="5"/>
        <v>689567.00796498533</v>
      </c>
      <c r="O48">
        <f t="shared" si="6"/>
        <v>0</v>
      </c>
      <c r="P48">
        <f t="shared" si="7"/>
        <v>15509.631014306797</v>
      </c>
      <c r="Q48" s="43">
        <f t="shared" si="8"/>
        <v>689567.00796498533</v>
      </c>
      <c r="R48">
        <f t="shared" si="9"/>
        <v>0</v>
      </c>
      <c r="S48">
        <f t="shared" si="10"/>
        <v>15509.631014306797</v>
      </c>
      <c r="T48" s="43">
        <f t="shared" si="11"/>
        <v>689567.00796498533</v>
      </c>
      <c r="U48">
        <f t="shared" si="12"/>
        <v>0</v>
      </c>
      <c r="V48">
        <f t="shared" si="13"/>
        <v>15509.631014306797</v>
      </c>
      <c r="W48" s="43">
        <f t="shared" si="14"/>
        <v>689567.00796498533</v>
      </c>
      <c r="X48" s="43">
        <f t="shared" si="15"/>
        <v>71719.684412619681</v>
      </c>
      <c r="Y48" s="27">
        <f t="shared" si="16"/>
        <v>5281.5470613274338</v>
      </c>
      <c r="Z48" s="27">
        <f t="shared" si="17"/>
        <v>684285.46090365795</v>
      </c>
      <c r="AA48">
        <f t="shared" si="18"/>
        <v>0</v>
      </c>
      <c r="AB48" s="27">
        <f t="shared" si="19"/>
        <v>684285.46090365795</v>
      </c>
      <c r="AD48" s="27">
        <f t="shared" si="20"/>
        <v>0</v>
      </c>
      <c r="AE48" s="27">
        <f t="shared" si="21"/>
        <v>684285.46090365795</v>
      </c>
      <c r="AF48" s="50"/>
      <c r="AG48" t="str">
        <f t="shared" si="22"/>
        <v>5301630</v>
      </c>
    </row>
    <row r="49" spans="1:33" hidden="1" x14ac:dyDescent="0.25">
      <c r="A49" s="7" t="s">
        <v>356</v>
      </c>
      <c r="B49" s="2" t="s">
        <v>749</v>
      </c>
      <c r="C49" s="4" t="s">
        <v>748</v>
      </c>
      <c r="D49">
        <f>_xlfn.IFNA(VLOOKUP(A49,'Prior Year data'!$A$1:$T$318,12,FALSE),0)</f>
        <v>279056.09020578145</v>
      </c>
      <c r="E49">
        <f>VLOOKUP(A49,'Basic HH'!$B$1:$Y$319,23,FALSE)</f>
        <v>103113.01144558682</v>
      </c>
      <c r="F49">
        <f>VLOOKUP(A49,'Conc. HH'!$B$1:$Y$319,23,FALSE)</f>
        <v>27168.579126682715</v>
      </c>
      <c r="G49">
        <f>VLOOKUP(A49,'Targeted HH'!$B$1:$Y$319,23,FALSE)</f>
        <v>57051.519527593788</v>
      </c>
      <c r="H49">
        <f>VLOOKUP(A49,'EFIG HH'!$B$1:$Y$319,23,FALSE)</f>
        <v>78418.343183290577</v>
      </c>
      <c r="I49">
        <f t="shared" si="0"/>
        <v>265751.45328315388</v>
      </c>
      <c r="J49">
        <f t="shared" si="1"/>
        <v>0</v>
      </c>
      <c r="K49" s="43">
        <f t="shared" si="2"/>
        <v>265751.45328315388</v>
      </c>
      <c r="L49">
        <f t="shared" si="3"/>
        <v>0</v>
      </c>
      <c r="M49">
        <f t="shared" si="4"/>
        <v>0</v>
      </c>
      <c r="N49" s="43">
        <f t="shared" si="5"/>
        <v>265751.45328315388</v>
      </c>
      <c r="O49">
        <f t="shared" si="6"/>
        <v>0</v>
      </c>
      <c r="P49">
        <f t="shared" si="7"/>
        <v>0</v>
      </c>
      <c r="Q49" s="43">
        <f t="shared" si="8"/>
        <v>265751.45328315388</v>
      </c>
      <c r="R49">
        <f t="shared" si="9"/>
        <v>0</v>
      </c>
      <c r="S49">
        <f t="shared" si="10"/>
        <v>0</v>
      </c>
      <c r="T49" s="43">
        <f t="shared" si="11"/>
        <v>265751.45328315388</v>
      </c>
      <c r="U49">
        <f t="shared" si="12"/>
        <v>0</v>
      </c>
      <c r="V49">
        <f t="shared" si="13"/>
        <v>0</v>
      </c>
      <c r="W49" s="43">
        <f t="shared" si="14"/>
        <v>265751.45328315388</v>
      </c>
      <c r="X49" s="43">
        <f t="shared" si="15"/>
        <v>0</v>
      </c>
      <c r="Y49" s="27">
        <f t="shared" si="16"/>
        <v>2035.449479048172</v>
      </c>
      <c r="Z49" s="27">
        <f t="shared" si="17"/>
        <v>263716.00380410568</v>
      </c>
      <c r="AA49">
        <f t="shared" si="18"/>
        <v>0</v>
      </c>
      <c r="AB49" s="27">
        <f t="shared" si="19"/>
        <v>263716.00380410568</v>
      </c>
      <c r="AD49" s="27">
        <f t="shared" si="20"/>
        <v>0</v>
      </c>
      <c r="AE49" s="27">
        <f t="shared" si="21"/>
        <v>263716.00380410568</v>
      </c>
      <c r="AF49" s="50"/>
      <c r="AG49" t="str">
        <f t="shared" si="22"/>
        <v>5301660</v>
      </c>
    </row>
    <row r="50" spans="1:33" x14ac:dyDescent="0.25">
      <c r="A50" s="7" t="s">
        <v>111</v>
      </c>
      <c r="B50" s="2" t="s">
        <v>751</v>
      </c>
      <c r="C50" s="4" t="s">
        <v>750</v>
      </c>
      <c r="D50">
        <f>_xlfn.IFNA(VLOOKUP(A50,'Prior Year data'!$A$1:$T$318,12,FALSE),0)</f>
        <v>90754.668624332888</v>
      </c>
      <c r="E50">
        <f>VLOOKUP(A50,'Basic HH'!$B$1:$Y$319,23,FALSE)</f>
        <v>43146.579257373196</v>
      </c>
      <c r="F50">
        <f>VLOOKUP(A50,'Conc. HH'!$B$1:$Y$319,23,FALSE)</f>
        <v>0</v>
      </c>
      <c r="G50">
        <f>VLOOKUP(A50,'Targeted HH'!$B$1:$Y$319,23,FALSE)</f>
        <v>20639.736310718396</v>
      </c>
      <c r="H50">
        <f>VLOOKUP(A50,'EFIG HH'!$B$1:$Y$319,23,FALSE)</f>
        <v>28369.690038557383</v>
      </c>
      <c r="I50">
        <f t="shared" si="0"/>
        <v>92156.005606648978</v>
      </c>
      <c r="J50">
        <f t="shared" si="1"/>
        <v>92156.005606648978</v>
      </c>
      <c r="K50" s="43">
        <f t="shared" si="2"/>
        <v>83787.217921586227</v>
      </c>
      <c r="L50">
        <f t="shared" si="3"/>
        <v>6967.4507027466607</v>
      </c>
      <c r="M50">
        <f t="shared" si="4"/>
        <v>0</v>
      </c>
      <c r="N50" s="43">
        <f t="shared" si="5"/>
        <v>90754.668624332888</v>
      </c>
      <c r="O50">
        <f t="shared" si="6"/>
        <v>0</v>
      </c>
      <c r="P50">
        <f t="shared" si="7"/>
        <v>0</v>
      </c>
      <c r="Q50" s="43">
        <f t="shared" si="8"/>
        <v>90754.668624332888</v>
      </c>
      <c r="R50">
        <f t="shared" si="9"/>
        <v>0</v>
      </c>
      <c r="S50">
        <f t="shared" si="10"/>
        <v>0</v>
      </c>
      <c r="T50" s="43">
        <f t="shared" si="11"/>
        <v>90754.668624332888</v>
      </c>
      <c r="U50">
        <f t="shared" si="12"/>
        <v>0</v>
      </c>
      <c r="V50">
        <f t="shared" si="13"/>
        <v>0</v>
      </c>
      <c r="W50" s="43">
        <f t="shared" si="14"/>
        <v>90754.668624332888</v>
      </c>
      <c r="X50" s="43">
        <f t="shared" si="15"/>
        <v>1401.3369823160901</v>
      </c>
      <c r="Y50" s="27">
        <f t="shared" si="16"/>
        <v>695.11018920285903</v>
      </c>
      <c r="Z50" s="27">
        <f t="shared" si="17"/>
        <v>90059.558435130035</v>
      </c>
      <c r="AA50">
        <f t="shared" si="18"/>
        <v>0</v>
      </c>
      <c r="AB50" s="27">
        <f t="shared" si="19"/>
        <v>90059.558435130035</v>
      </c>
      <c r="AD50" s="27">
        <f t="shared" si="20"/>
        <v>0</v>
      </c>
      <c r="AE50" s="27">
        <f t="shared" si="21"/>
        <v>90059.558435130035</v>
      </c>
      <c r="AF50" s="50"/>
      <c r="AG50" t="str">
        <f t="shared" si="22"/>
        <v>5301680</v>
      </c>
    </row>
    <row r="51" spans="1:33" hidden="1" x14ac:dyDescent="0.25">
      <c r="A51" s="7" t="s">
        <v>113</v>
      </c>
      <c r="B51" s="2" t="s">
        <v>753</v>
      </c>
      <c r="C51" s="4" t="s">
        <v>752</v>
      </c>
      <c r="D51">
        <f>_xlfn.IFNA(VLOOKUP(A51,'Prior Year data'!$A$1:$T$318,12,FALSE),0)</f>
        <v>76476.657011797884</v>
      </c>
      <c r="E51">
        <f>VLOOKUP(A51,'Basic HH'!$B$1:$Y$319,23,FALSE)</f>
        <v>35257.689208793214</v>
      </c>
      <c r="F51">
        <f>VLOOKUP(A51,'Conc. HH'!$B$1:$Y$319,23,FALSE)</f>
        <v>9284.4175233467977</v>
      </c>
      <c r="G51">
        <f>VLOOKUP(A51,'Targeted HH'!$B$1:$Y$319,23,FALSE)</f>
        <v>16887.949510909631</v>
      </c>
      <c r="H51">
        <f>VLOOKUP(A51,'EFIG HH'!$B$1:$Y$319,23,FALSE)</f>
        <v>23212.279824678018</v>
      </c>
      <c r="I51">
        <f t="shared" si="0"/>
        <v>84642.336067727665</v>
      </c>
      <c r="J51">
        <f t="shared" si="1"/>
        <v>84642.336067727665</v>
      </c>
      <c r="K51" s="43">
        <f t="shared" si="2"/>
        <v>76955.872933224848</v>
      </c>
      <c r="L51">
        <f t="shared" si="3"/>
        <v>0</v>
      </c>
      <c r="M51">
        <f t="shared" si="4"/>
        <v>479.21592142696318</v>
      </c>
      <c r="N51" s="43">
        <f t="shared" si="5"/>
        <v>76887.380181694272</v>
      </c>
      <c r="O51">
        <f t="shared" si="6"/>
        <v>0</v>
      </c>
      <c r="P51">
        <f t="shared" si="7"/>
        <v>410.72316989638784</v>
      </c>
      <c r="Q51" s="43">
        <f t="shared" si="8"/>
        <v>76887.380181694272</v>
      </c>
      <c r="R51">
        <f t="shared" si="9"/>
        <v>0</v>
      </c>
      <c r="S51">
        <f t="shared" si="10"/>
        <v>410.72316989638784</v>
      </c>
      <c r="T51" s="43">
        <f t="shared" si="11"/>
        <v>76887.380181694272</v>
      </c>
      <c r="U51">
        <f t="shared" si="12"/>
        <v>0</v>
      </c>
      <c r="V51">
        <f t="shared" si="13"/>
        <v>410.72316989638784</v>
      </c>
      <c r="W51" s="43">
        <f t="shared" si="14"/>
        <v>76887.380181694272</v>
      </c>
      <c r="X51" s="43">
        <f t="shared" si="15"/>
        <v>7754.9558860333927</v>
      </c>
      <c r="Y51" s="27">
        <f t="shared" si="16"/>
        <v>588.89754318468283</v>
      </c>
      <c r="Z51" s="27">
        <f t="shared" si="17"/>
        <v>76298.482638509595</v>
      </c>
      <c r="AA51">
        <f t="shared" si="18"/>
        <v>0</v>
      </c>
      <c r="AB51" s="27">
        <f t="shared" si="19"/>
        <v>76298.482638509595</v>
      </c>
      <c r="AD51" s="27">
        <f t="shared" si="20"/>
        <v>0</v>
      </c>
      <c r="AE51" s="27">
        <f t="shared" si="21"/>
        <v>76298.482638509595</v>
      </c>
      <c r="AF51" s="50"/>
      <c r="AG51" t="str">
        <f t="shared" si="22"/>
        <v>5301710</v>
      </c>
    </row>
    <row r="52" spans="1:33" hidden="1" x14ac:dyDescent="0.25">
      <c r="A52" s="7" t="s">
        <v>358</v>
      </c>
      <c r="B52" s="2" t="s">
        <v>755</v>
      </c>
      <c r="C52" s="4" t="s">
        <v>754</v>
      </c>
      <c r="D52">
        <f>_xlfn.IFNA(VLOOKUP(A52,'Prior Year data'!$A$1:$T$318,12,FALSE),0)</f>
        <v>75191.289762038126</v>
      </c>
      <c r="E52">
        <f>VLOOKUP(A52,'Basic HH'!$B$1:$Y$319,23,FALSE)</f>
        <v>42567.312646675156</v>
      </c>
      <c r="F52">
        <f>VLOOKUP(A52,'Conc. HH'!$B$1:$Y$319,23,FALSE)</f>
        <v>11453.175953586135</v>
      </c>
      <c r="G52">
        <f>VLOOKUP(A52,'Targeted HH'!$B$1:$Y$319,23,FALSE)</f>
        <v>23791.008597269712</v>
      </c>
      <c r="H52">
        <f>VLOOKUP(A52,'EFIG HH'!$B$1:$Y$319,23,FALSE)</f>
        <v>32257.846209593536</v>
      </c>
      <c r="I52">
        <f t="shared" si="0"/>
        <v>110069.34340712454</v>
      </c>
      <c r="J52">
        <f t="shared" si="1"/>
        <v>110069.34340712454</v>
      </c>
      <c r="K52" s="43">
        <f t="shared" si="2"/>
        <v>100073.82591974305</v>
      </c>
      <c r="L52">
        <f t="shared" si="3"/>
        <v>0</v>
      </c>
      <c r="M52">
        <f t="shared" si="4"/>
        <v>24882.536157704919</v>
      </c>
      <c r="N52" s="43">
        <f t="shared" si="5"/>
        <v>96517.447071925562</v>
      </c>
      <c r="O52">
        <f t="shared" si="6"/>
        <v>0</v>
      </c>
      <c r="P52">
        <f t="shared" si="7"/>
        <v>21326.157309887436</v>
      </c>
      <c r="Q52" s="43">
        <f t="shared" si="8"/>
        <v>96517.447071925562</v>
      </c>
      <c r="R52">
        <f t="shared" si="9"/>
        <v>0</v>
      </c>
      <c r="S52">
        <f t="shared" si="10"/>
        <v>21326.157309887436</v>
      </c>
      <c r="T52" s="43">
        <f t="shared" si="11"/>
        <v>96517.447071925562</v>
      </c>
      <c r="U52">
        <f t="shared" si="12"/>
        <v>0</v>
      </c>
      <c r="V52">
        <f t="shared" si="13"/>
        <v>21326.157309887436</v>
      </c>
      <c r="W52" s="43">
        <f t="shared" si="14"/>
        <v>96517.447071925562</v>
      </c>
      <c r="X52" s="43">
        <f t="shared" si="15"/>
        <v>13551.896335198981</v>
      </c>
      <c r="Y52" s="27">
        <f t="shared" si="16"/>
        <v>739.24859087144591</v>
      </c>
      <c r="Z52" s="27">
        <f t="shared" si="17"/>
        <v>95778.198481054118</v>
      </c>
      <c r="AA52">
        <f t="shared" si="18"/>
        <v>0</v>
      </c>
      <c r="AB52" s="27">
        <f t="shared" si="19"/>
        <v>95778.198481054118</v>
      </c>
      <c r="AD52" s="27">
        <f t="shared" si="20"/>
        <v>0</v>
      </c>
      <c r="AE52" s="27">
        <f t="shared" si="21"/>
        <v>95778.198481054118</v>
      </c>
      <c r="AF52" s="50"/>
      <c r="AG52" t="str">
        <f t="shared" si="22"/>
        <v>5303440</v>
      </c>
    </row>
    <row r="53" spans="1:33" hidden="1" x14ac:dyDescent="0.25">
      <c r="A53" s="7" t="s">
        <v>360</v>
      </c>
      <c r="B53" s="2" t="s">
        <v>757</v>
      </c>
      <c r="C53" s="4" t="s">
        <v>756</v>
      </c>
      <c r="D53">
        <f>_xlfn.IFNA(VLOOKUP(A53,'Prior Year data'!$A$1:$T$318,12,FALSE),0)</f>
        <v>180739.77460861896</v>
      </c>
      <c r="E53">
        <f>VLOOKUP(A53,'Basic HH'!$B$1:$Y$319,23,FALSE)</f>
        <v>95559.273288454424</v>
      </c>
      <c r="F53">
        <f>VLOOKUP(A53,'Conc. HH'!$B$1:$Y$319,23,FALSE)</f>
        <v>0</v>
      </c>
      <c r="G53">
        <f>VLOOKUP(A53,'Targeted HH'!$B$1:$Y$319,23,FALSE)</f>
        <v>46097.509753178871</v>
      </c>
      <c r="H53">
        <f>VLOOKUP(A53,'EFIG HH'!$B$1:$Y$319,23,FALSE)</f>
        <v>62502.872637099244</v>
      </c>
      <c r="I53">
        <f t="shared" si="0"/>
        <v>204159.65567873252</v>
      </c>
      <c r="J53">
        <f t="shared" si="1"/>
        <v>204159.65567873252</v>
      </c>
      <c r="K53" s="43">
        <f t="shared" si="2"/>
        <v>185619.69400196953</v>
      </c>
      <c r="L53">
        <f t="shared" si="3"/>
        <v>0</v>
      </c>
      <c r="M53">
        <f t="shared" si="4"/>
        <v>4879.919393350574</v>
      </c>
      <c r="N53" s="43">
        <f t="shared" si="5"/>
        <v>184922.22321363946</v>
      </c>
      <c r="O53">
        <f t="shared" si="6"/>
        <v>0</v>
      </c>
      <c r="P53">
        <f t="shared" si="7"/>
        <v>4182.4486050205014</v>
      </c>
      <c r="Q53" s="43">
        <f t="shared" si="8"/>
        <v>184922.22321363946</v>
      </c>
      <c r="R53">
        <f t="shared" si="9"/>
        <v>0</v>
      </c>
      <c r="S53">
        <f t="shared" si="10"/>
        <v>4182.4486050205014</v>
      </c>
      <c r="T53" s="43">
        <f t="shared" si="11"/>
        <v>184922.22321363946</v>
      </c>
      <c r="U53">
        <f t="shared" si="12"/>
        <v>0</v>
      </c>
      <c r="V53">
        <f t="shared" si="13"/>
        <v>4182.4486050205014</v>
      </c>
      <c r="W53" s="43">
        <f t="shared" si="14"/>
        <v>184922.22321363946</v>
      </c>
      <c r="X53" s="43">
        <f t="shared" si="15"/>
        <v>19237.432465093065</v>
      </c>
      <c r="Y53" s="27">
        <f t="shared" si="16"/>
        <v>1416.3604309760228</v>
      </c>
      <c r="Z53" s="27">
        <f t="shared" si="17"/>
        <v>183505.86278266343</v>
      </c>
      <c r="AA53">
        <f t="shared" si="18"/>
        <v>0</v>
      </c>
      <c r="AB53" s="27">
        <f t="shared" si="19"/>
        <v>183505.86278266343</v>
      </c>
      <c r="AD53" s="27">
        <f t="shared" si="20"/>
        <v>0</v>
      </c>
      <c r="AE53" s="27">
        <f t="shared" si="21"/>
        <v>183505.86278266343</v>
      </c>
      <c r="AF53" s="50"/>
      <c r="AG53" t="str">
        <f t="shared" si="22"/>
        <v>5301800</v>
      </c>
    </row>
    <row r="54" spans="1:33" x14ac:dyDescent="0.25">
      <c r="A54" s="7" t="s">
        <v>362</v>
      </c>
      <c r="B54" s="2" t="s">
        <v>759</v>
      </c>
      <c r="C54" s="4" t="s">
        <v>758</v>
      </c>
      <c r="D54">
        <f>_xlfn.IFNA(VLOOKUP(A54,'Prior Year data'!$A$1:$T$318,12,FALSE),0)</f>
        <v>127427.59457641035</v>
      </c>
      <c r="E54">
        <f>VLOOKUP(A54,'Basic HH'!$B$1:$Y$319,23,FALSE)</f>
        <v>53860.681308037958</v>
      </c>
      <c r="F54">
        <f>VLOOKUP(A54,'Conc. HH'!$B$1:$Y$319,23,FALSE)</f>
        <v>14491.773655557961</v>
      </c>
      <c r="G54">
        <f>VLOOKUP(A54,'Targeted HH'!$B$1:$Y$319,23,FALSE)</f>
        <v>28721.807774604971</v>
      </c>
      <c r="H54">
        <f>VLOOKUP(A54,'EFIG HH'!$B$1:$Y$319,23,FALSE)</f>
        <v>39170.579762045498</v>
      </c>
      <c r="I54">
        <f t="shared" si="0"/>
        <v>136244.84250024639</v>
      </c>
      <c r="J54">
        <f t="shared" si="1"/>
        <v>136244.84250024639</v>
      </c>
      <c r="K54" s="43">
        <f t="shared" si="2"/>
        <v>123872.29930500279</v>
      </c>
      <c r="L54">
        <f t="shared" si="3"/>
        <v>3555.2952714075655</v>
      </c>
      <c r="M54">
        <f t="shared" si="4"/>
        <v>0</v>
      </c>
      <c r="N54" s="43">
        <f t="shared" si="5"/>
        <v>127427.59457641035</v>
      </c>
      <c r="O54">
        <f t="shared" si="6"/>
        <v>0</v>
      </c>
      <c r="P54">
        <f t="shared" si="7"/>
        <v>0</v>
      </c>
      <c r="Q54" s="43">
        <f t="shared" si="8"/>
        <v>127427.59457641035</v>
      </c>
      <c r="R54">
        <f t="shared" si="9"/>
        <v>0</v>
      </c>
      <c r="S54">
        <f t="shared" si="10"/>
        <v>0</v>
      </c>
      <c r="T54" s="43">
        <f t="shared" si="11"/>
        <v>127427.59457641035</v>
      </c>
      <c r="U54">
        <f t="shared" si="12"/>
        <v>0</v>
      </c>
      <c r="V54">
        <f t="shared" si="13"/>
        <v>0</v>
      </c>
      <c r="W54" s="43">
        <f t="shared" si="14"/>
        <v>127427.59457641035</v>
      </c>
      <c r="X54" s="43">
        <f t="shared" si="15"/>
        <v>8817.2479238360393</v>
      </c>
      <c r="Y54" s="27">
        <f t="shared" si="16"/>
        <v>975.99628447020757</v>
      </c>
      <c r="Z54" s="27">
        <f t="shared" si="17"/>
        <v>126451.59829194014</v>
      </c>
      <c r="AA54">
        <f t="shared" si="18"/>
        <v>0</v>
      </c>
      <c r="AB54" s="27">
        <f t="shared" si="19"/>
        <v>126451.59829194014</v>
      </c>
      <c r="AD54" s="27">
        <f t="shared" si="20"/>
        <v>0</v>
      </c>
      <c r="AE54" s="27">
        <f t="shared" si="21"/>
        <v>126451.59829194014</v>
      </c>
      <c r="AF54" s="50"/>
      <c r="AG54" t="str">
        <f t="shared" si="22"/>
        <v>5301830</v>
      </c>
    </row>
    <row r="55" spans="1:33" x14ac:dyDescent="0.25">
      <c r="A55" s="7" t="s">
        <v>364</v>
      </c>
      <c r="B55" s="2" t="s">
        <v>761</v>
      </c>
      <c r="C55" s="8" t="s">
        <v>760</v>
      </c>
      <c r="D55">
        <f>_xlfn.IFNA(VLOOKUP(A55,'Prior Year data'!$A$1:$T$318,12,FALSE),0)</f>
        <v>32410.53286495561</v>
      </c>
      <c r="E55">
        <f>VLOOKUP(A55,'Basic HH'!$B$1:$Y$319,23,FALSE)</f>
        <v>14768.251326397507</v>
      </c>
      <c r="F55">
        <f>VLOOKUP(A55,'Conc. HH'!$B$1:$Y$319,23,FALSE)</f>
        <v>2904.7144877147721</v>
      </c>
      <c r="G55">
        <f>VLOOKUP(A55,'Targeted HH'!$B$1:$Y$319,23,FALSE)</f>
        <v>7124.160598218552</v>
      </c>
      <c r="H55">
        <f>VLOOKUP(A55,'EFIG HH'!$B$1:$Y$319,23,FALSE)</f>
        <v>9659.5348620971581</v>
      </c>
      <c r="I55">
        <f t="shared" si="0"/>
        <v>34456.661274427985</v>
      </c>
      <c r="J55">
        <f t="shared" si="1"/>
        <v>34456.661274427985</v>
      </c>
      <c r="K55" s="43">
        <f t="shared" si="2"/>
        <v>31327.614169536901</v>
      </c>
      <c r="L55">
        <f t="shared" si="3"/>
        <v>1082.9186954187098</v>
      </c>
      <c r="M55">
        <f t="shared" si="4"/>
        <v>0</v>
      </c>
      <c r="N55" s="43">
        <f t="shared" si="5"/>
        <v>32410.53286495561</v>
      </c>
      <c r="O55">
        <f t="shared" si="6"/>
        <v>0</v>
      </c>
      <c r="P55">
        <f t="shared" si="7"/>
        <v>0</v>
      </c>
      <c r="Q55" s="43">
        <f t="shared" si="8"/>
        <v>32410.53286495561</v>
      </c>
      <c r="R55">
        <f t="shared" si="9"/>
        <v>0</v>
      </c>
      <c r="S55">
        <f t="shared" si="10"/>
        <v>0</v>
      </c>
      <c r="T55" s="43">
        <f t="shared" si="11"/>
        <v>32410.53286495561</v>
      </c>
      <c r="U55">
        <f t="shared" si="12"/>
        <v>0</v>
      </c>
      <c r="V55">
        <f t="shared" si="13"/>
        <v>0</v>
      </c>
      <c r="W55" s="43">
        <f t="shared" si="14"/>
        <v>32410.53286495561</v>
      </c>
      <c r="X55" s="43">
        <f t="shared" si="15"/>
        <v>2046.1284094723742</v>
      </c>
      <c r="Y55" s="27">
        <f t="shared" si="16"/>
        <v>248.23947873337718</v>
      </c>
      <c r="Z55" s="27">
        <f t="shared" si="17"/>
        <v>32162.293386222234</v>
      </c>
      <c r="AA55">
        <f t="shared" si="18"/>
        <v>0</v>
      </c>
      <c r="AB55" s="27">
        <f t="shared" si="19"/>
        <v>32162.293386222234</v>
      </c>
      <c r="AD55" s="27">
        <f t="shared" si="20"/>
        <v>0</v>
      </c>
      <c r="AE55" s="27">
        <f t="shared" si="21"/>
        <v>32162.293386222234</v>
      </c>
      <c r="AF55" s="50"/>
      <c r="AG55" t="str">
        <f t="shared" si="22"/>
        <v>5301860</v>
      </c>
    </row>
    <row r="56" spans="1:33" hidden="1" x14ac:dyDescent="0.25">
      <c r="A56" s="7" t="s">
        <v>366</v>
      </c>
      <c r="B56" s="2" t="s">
        <v>763</v>
      </c>
      <c r="C56" s="4" t="s">
        <v>762</v>
      </c>
      <c r="D56">
        <f>_xlfn.IFNA(VLOOKUP(A56,'Prior Year data'!$A$1:$T$318,12,FALSE),0)</f>
        <v>125150.59027033058</v>
      </c>
      <c r="E56">
        <f>VLOOKUP(A56,'Basic HH'!$B$1:$Y$319,23,FALSE)</f>
        <v>47779.636644227212</v>
      </c>
      <c r="F56">
        <f>VLOOKUP(A56,'Conc. HH'!$B$1:$Y$319,23,FALSE)</f>
        <v>12855.605662188516</v>
      </c>
      <c r="G56">
        <f>VLOOKUP(A56,'Targeted HH'!$B$1:$Y$319,23,FALSE)</f>
        <v>39721.647935442306</v>
      </c>
      <c r="H56">
        <f>VLOOKUP(A56,'EFIG HH'!$B$1:$Y$319,23,FALSE)</f>
        <v>53857.944065480435</v>
      </c>
      <c r="I56">
        <f t="shared" si="0"/>
        <v>154214.83430733846</v>
      </c>
      <c r="J56">
        <f t="shared" si="1"/>
        <v>154214.83430733846</v>
      </c>
      <c r="K56" s="43">
        <f t="shared" si="2"/>
        <v>140210.41649745748</v>
      </c>
      <c r="L56">
        <f t="shared" si="3"/>
        <v>0</v>
      </c>
      <c r="M56">
        <f t="shared" si="4"/>
        <v>15059.826227126905</v>
      </c>
      <c r="N56" s="43">
        <f t="shared" si="5"/>
        <v>138057.96519158944</v>
      </c>
      <c r="O56">
        <f t="shared" si="6"/>
        <v>0</v>
      </c>
      <c r="P56">
        <f t="shared" si="7"/>
        <v>12907.374921258859</v>
      </c>
      <c r="Q56" s="43">
        <f t="shared" si="8"/>
        <v>138057.96519158944</v>
      </c>
      <c r="R56">
        <f t="shared" si="9"/>
        <v>0</v>
      </c>
      <c r="S56">
        <f t="shared" si="10"/>
        <v>12907.374921258859</v>
      </c>
      <c r="T56" s="43">
        <f t="shared" si="11"/>
        <v>138057.96519158944</v>
      </c>
      <c r="U56">
        <f t="shared" si="12"/>
        <v>0</v>
      </c>
      <c r="V56">
        <f t="shared" si="13"/>
        <v>12907.374921258859</v>
      </c>
      <c r="W56" s="43">
        <f t="shared" si="14"/>
        <v>138057.96519158944</v>
      </c>
      <c r="X56" s="43">
        <f t="shared" si="15"/>
        <v>16156.869115749025</v>
      </c>
      <c r="Y56" s="27">
        <f t="shared" si="16"/>
        <v>1057.4166570154548</v>
      </c>
      <c r="Z56" s="27">
        <f t="shared" si="17"/>
        <v>137000.54853457399</v>
      </c>
      <c r="AA56">
        <f t="shared" si="18"/>
        <v>0</v>
      </c>
      <c r="AB56" s="27">
        <f t="shared" si="19"/>
        <v>137000.54853457399</v>
      </c>
      <c r="AD56" s="27">
        <f t="shared" si="20"/>
        <v>0</v>
      </c>
      <c r="AE56" s="27">
        <f t="shared" si="21"/>
        <v>137000.54853457399</v>
      </c>
      <c r="AF56" s="50"/>
      <c r="AG56" t="str">
        <f t="shared" si="22"/>
        <v>5301890</v>
      </c>
    </row>
    <row r="57" spans="1:33" hidden="1" x14ac:dyDescent="0.25">
      <c r="A57" s="7" t="s">
        <v>368</v>
      </c>
      <c r="B57" s="2" t="s">
        <v>765</v>
      </c>
      <c r="C57" s="4" t="s">
        <v>764</v>
      </c>
      <c r="D57">
        <f>_xlfn.IFNA(VLOOKUP(A57,'Prior Year data'!$A$1:$T$318,12,FALSE),0)</f>
        <v>221473.21874216039</v>
      </c>
      <c r="E57">
        <f>VLOOKUP(A57,'Basic HH'!$B$1:$Y$319,23,FALSE)</f>
        <v>66128.452082656062</v>
      </c>
      <c r="F57">
        <f>VLOOKUP(A57,'Conc. HH'!$B$1:$Y$319,23,FALSE)</f>
        <v>17530.371357529806</v>
      </c>
      <c r="G57">
        <f>VLOOKUP(A57,'Targeted HH'!$B$1:$Y$319,23,FALSE)</f>
        <v>50892.080166789652</v>
      </c>
      <c r="H57">
        <f>VLOOKUP(A57,'EFIG HH'!$B$1:$Y$319,23,FALSE)</f>
        <v>67060.096023923572</v>
      </c>
      <c r="I57">
        <f t="shared" si="0"/>
        <v>201610.99963089908</v>
      </c>
      <c r="J57">
        <f t="shared" si="1"/>
        <v>0</v>
      </c>
      <c r="K57" s="43">
        <f t="shared" si="2"/>
        <v>201610.99963089908</v>
      </c>
      <c r="L57">
        <f t="shared" si="3"/>
        <v>0</v>
      </c>
      <c r="M57">
        <f t="shared" si="4"/>
        <v>0</v>
      </c>
      <c r="N57" s="43">
        <f t="shared" si="5"/>
        <v>201610.99963089908</v>
      </c>
      <c r="O57">
        <f t="shared" si="6"/>
        <v>0</v>
      </c>
      <c r="P57">
        <f t="shared" si="7"/>
        <v>0</v>
      </c>
      <c r="Q57" s="43">
        <f t="shared" si="8"/>
        <v>201610.99963089908</v>
      </c>
      <c r="R57">
        <f t="shared" si="9"/>
        <v>0</v>
      </c>
      <c r="S57">
        <f t="shared" si="10"/>
        <v>0</v>
      </c>
      <c r="T57" s="43">
        <f t="shared" si="11"/>
        <v>201610.99963089908</v>
      </c>
      <c r="U57">
        <f t="shared" si="12"/>
        <v>0</v>
      </c>
      <c r="V57">
        <f t="shared" si="13"/>
        <v>0</v>
      </c>
      <c r="W57" s="43">
        <f t="shared" si="14"/>
        <v>201610.99963089908</v>
      </c>
      <c r="X57" s="43">
        <f t="shared" si="15"/>
        <v>0</v>
      </c>
      <c r="Y57" s="27">
        <f t="shared" si="16"/>
        <v>1544.1834808400961</v>
      </c>
      <c r="Z57" s="27">
        <f t="shared" si="17"/>
        <v>200066.81615005899</v>
      </c>
      <c r="AA57">
        <f t="shared" si="18"/>
        <v>0</v>
      </c>
      <c r="AB57" s="27">
        <f t="shared" si="19"/>
        <v>200066.81615005899</v>
      </c>
      <c r="AD57" s="27">
        <f t="shared" si="20"/>
        <v>0</v>
      </c>
      <c r="AE57" s="27">
        <f t="shared" si="21"/>
        <v>200066.81615005899</v>
      </c>
      <c r="AF57" s="50"/>
      <c r="AG57" t="str">
        <f t="shared" si="22"/>
        <v>5301920</v>
      </c>
    </row>
    <row r="58" spans="1:33" hidden="1" x14ac:dyDescent="0.25">
      <c r="A58" s="7" t="s">
        <v>115</v>
      </c>
      <c r="B58" s="2" t="s">
        <v>767</v>
      </c>
      <c r="C58" s="4" t="s">
        <v>766</v>
      </c>
      <c r="D58">
        <f>_xlfn.IFNA(VLOOKUP(A58,'Prior Year data'!$A$1:$T$318,12,FALSE),0)</f>
        <v>0</v>
      </c>
      <c r="E58">
        <f>VLOOKUP(A58,'Basic HH'!$B$1:$Y$319,23,FALSE)</f>
        <v>0</v>
      </c>
      <c r="F58">
        <f>VLOOKUP(A58,'Conc. HH'!$B$1:$Y$319,23,FALSE)</f>
        <v>0</v>
      </c>
      <c r="G58">
        <f>VLOOKUP(A58,'Targeted HH'!$B$1:$Y$319,23,FALSE)</f>
        <v>0</v>
      </c>
      <c r="H58">
        <f>VLOOKUP(A58,'EFIG HH'!$B$1:$Y$319,23,FALSE)</f>
        <v>0</v>
      </c>
      <c r="I58">
        <f t="shared" si="0"/>
        <v>0</v>
      </c>
      <c r="J58">
        <f t="shared" si="1"/>
        <v>0</v>
      </c>
      <c r="K58" s="43">
        <f t="shared" si="2"/>
        <v>0</v>
      </c>
      <c r="L58">
        <f t="shared" si="3"/>
        <v>0</v>
      </c>
      <c r="M58">
        <f t="shared" si="4"/>
        <v>0</v>
      </c>
      <c r="N58" s="43">
        <f t="shared" si="5"/>
        <v>0</v>
      </c>
      <c r="O58">
        <f t="shared" si="6"/>
        <v>0</v>
      </c>
      <c r="P58">
        <f t="shared" si="7"/>
        <v>0</v>
      </c>
      <c r="Q58" s="43">
        <f t="shared" si="8"/>
        <v>0</v>
      </c>
      <c r="R58">
        <f t="shared" si="9"/>
        <v>0</v>
      </c>
      <c r="S58">
        <f t="shared" si="10"/>
        <v>0</v>
      </c>
      <c r="T58" s="43">
        <f t="shared" si="11"/>
        <v>0</v>
      </c>
      <c r="U58">
        <f t="shared" si="12"/>
        <v>0</v>
      </c>
      <c r="V58">
        <f t="shared" si="13"/>
        <v>0</v>
      </c>
      <c r="W58" s="43">
        <f t="shared" si="14"/>
        <v>0</v>
      </c>
      <c r="X58" s="43">
        <f t="shared" si="15"/>
        <v>0</v>
      </c>
      <c r="Y58" s="27">
        <f t="shared" si="16"/>
        <v>0</v>
      </c>
      <c r="Z58" s="27">
        <f t="shared" si="17"/>
        <v>0</v>
      </c>
      <c r="AA58">
        <f t="shared" si="18"/>
        <v>0</v>
      </c>
      <c r="AB58" s="27">
        <f t="shared" si="19"/>
        <v>0</v>
      </c>
      <c r="AD58" s="27">
        <f t="shared" si="20"/>
        <v>0</v>
      </c>
      <c r="AE58" s="27">
        <f t="shared" si="21"/>
        <v>0</v>
      </c>
      <c r="AF58" s="50"/>
      <c r="AG58" t="str">
        <f t="shared" si="22"/>
        <v>5301950</v>
      </c>
    </row>
    <row r="59" spans="1:33" hidden="1" x14ac:dyDescent="0.25">
      <c r="A59" s="7" t="s">
        <v>272</v>
      </c>
      <c r="B59" s="2" t="s">
        <v>769</v>
      </c>
      <c r="C59" s="4" t="s">
        <v>768</v>
      </c>
      <c r="D59">
        <f>_xlfn.IFNA(VLOOKUP(A59,'Prior Year data'!$A$1:$T$318,12,FALSE),0)</f>
        <v>138868.98967737291</v>
      </c>
      <c r="E59">
        <f>VLOOKUP(A59,'Basic HH'!$B$1:$Y$319,23,FALSE)</f>
        <v>48448.826999381577</v>
      </c>
      <c r="F59">
        <f>VLOOKUP(A59,'Conc. HH'!$B$1:$Y$319,23,FALSE)</f>
        <v>12689.015920017166</v>
      </c>
      <c r="G59">
        <f>VLOOKUP(A59,'Targeted HH'!$B$1:$Y$319,23,FALSE)</f>
        <v>24304.467844468891</v>
      </c>
      <c r="H59">
        <f>VLOOKUP(A59,'EFIG HH'!$B$1:$Y$319,23,FALSE)</f>
        <v>33514.248866278242</v>
      </c>
      <c r="I59">
        <f t="shared" si="0"/>
        <v>118956.55963014587</v>
      </c>
      <c r="J59">
        <f t="shared" si="1"/>
        <v>0</v>
      </c>
      <c r="K59" s="43">
        <f t="shared" si="2"/>
        <v>118956.55963014587</v>
      </c>
      <c r="L59">
        <f t="shared" si="3"/>
        <v>0</v>
      </c>
      <c r="M59">
        <f t="shared" si="4"/>
        <v>0</v>
      </c>
      <c r="N59" s="43">
        <f t="shared" si="5"/>
        <v>118956.55963014587</v>
      </c>
      <c r="O59">
        <f t="shared" si="6"/>
        <v>0</v>
      </c>
      <c r="P59">
        <f t="shared" si="7"/>
        <v>0</v>
      </c>
      <c r="Q59" s="43">
        <f t="shared" si="8"/>
        <v>118956.55963014587</v>
      </c>
      <c r="R59">
        <f t="shared" si="9"/>
        <v>0</v>
      </c>
      <c r="S59">
        <f t="shared" si="10"/>
        <v>0</v>
      </c>
      <c r="T59" s="43">
        <f t="shared" si="11"/>
        <v>118956.55963014587</v>
      </c>
      <c r="U59">
        <f t="shared" si="12"/>
        <v>0</v>
      </c>
      <c r="V59">
        <f t="shared" si="13"/>
        <v>0</v>
      </c>
      <c r="W59" s="43">
        <f t="shared" si="14"/>
        <v>118956.55963014587</v>
      </c>
      <c r="X59" s="43">
        <f t="shared" si="15"/>
        <v>0</v>
      </c>
      <c r="Y59" s="27">
        <f t="shared" si="16"/>
        <v>911.11474401066607</v>
      </c>
      <c r="Z59" s="27">
        <f t="shared" si="17"/>
        <v>118045.4448861352</v>
      </c>
      <c r="AA59">
        <f t="shared" si="18"/>
        <v>0</v>
      </c>
      <c r="AB59" s="27">
        <f t="shared" si="19"/>
        <v>118045.4448861352</v>
      </c>
      <c r="AD59" s="27">
        <f t="shared" si="20"/>
        <v>0</v>
      </c>
      <c r="AE59" s="27">
        <f t="shared" si="21"/>
        <v>118045.4448861352</v>
      </c>
      <c r="AF59" s="50"/>
      <c r="AG59" t="str">
        <f t="shared" si="22"/>
        <v>5301980</v>
      </c>
    </row>
    <row r="60" spans="1:33" x14ac:dyDescent="0.25">
      <c r="A60" s="7" t="s">
        <v>370</v>
      </c>
      <c r="B60" s="2" t="s">
        <v>771</v>
      </c>
      <c r="C60" s="4" t="s">
        <v>770</v>
      </c>
      <c r="D60">
        <f>_xlfn.IFNA(VLOOKUP(A60,'Prior Year data'!$A$1:$T$318,12,FALSE),0)</f>
        <v>163657.143438378</v>
      </c>
      <c r="E60">
        <f>VLOOKUP(A60,'Basic HH'!$B$1:$Y$319,23,FALSE)</f>
        <v>71235.094633211454</v>
      </c>
      <c r="F60">
        <f>VLOOKUP(A60,'Conc. HH'!$B$1:$Y$319,23,FALSE)</f>
        <v>13705.13634403771</v>
      </c>
      <c r="G60">
        <f>VLOOKUP(A60,'Targeted HH'!$B$1:$Y$319,23,FALSE)</f>
        <v>34363.598179642438</v>
      </c>
      <c r="H60">
        <f>VLOOKUP(A60,'EFIG HH'!$B$1:$Y$319,23,FALSE)</f>
        <v>46593.050511292182</v>
      </c>
      <c r="I60">
        <f t="shared" si="0"/>
        <v>165896.87966818377</v>
      </c>
      <c r="J60">
        <f t="shared" si="1"/>
        <v>165896.87966818377</v>
      </c>
      <c r="K60" s="43">
        <f t="shared" si="2"/>
        <v>150831.60253927505</v>
      </c>
      <c r="L60">
        <f t="shared" si="3"/>
        <v>12825.540899102954</v>
      </c>
      <c r="M60">
        <f t="shared" si="4"/>
        <v>0</v>
      </c>
      <c r="N60" s="43">
        <f t="shared" si="5"/>
        <v>163657.143438378</v>
      </c>
      <c r="O60">
        <f t="shared" si="6"/>
        <v>0</v>
      </c>
      <c r="P60">
        <f t="shared" si="7"/>
        <v>0</v>
      </c>
      <c r="Q60" s="43">
        <f t="shared" si="8"/>
        <v>163657.143438378</v>
      </c>
      <c r="R60">
        <f t="shared" si="9"/>
        <v>0</v>
      </c>
      <c r="S60">
        <f t="shared" si="10"/>
        <v>0</v>
      </c>
      <c r="T60" s="43">
        <f t="shared" si="11"/>
        <v>163657.143438378</v>
      </c>
      <c r="U60">
        <f t="shared" si="12"/>
        <v>0</v>
      </c>
      <c r="V60">
        <f t="shared" si="13"/>
        <v>0</v>
      </c>
      <c r="W60" s="43">
        <f t="shared" si="14"/>
        <v>163657.143438378</v>
      </c>
      <c r="X60" s="43">
        <f t="shared" si="15"/>
        <v>2239.7362298057706</v>
      </c>
      <c r="Y60" s="27">
        <f t="shared" si="16"/>
        <v>1253.4864560052995</v>
      </c>
      <c r="Z60" s="27">
        <f t="shared" si="17"/>
        <v>162403.65698237269</v>
      </c>
      <c r="AA60">
        <f t="shared" si="18"/>
        <v>0</v>
      </c>
      <c r="AB60" s="27">
        <f t="shared" si="19"/>
        <v>162403.65698237269</v>
      </c>
      <c r="AD60" s="27">
        <f t="shared" si="20"/>
        <v>0</v>
      </c>
      <c r="AE60" s="27">
        <f t="shared" si="21"/>
        <v>162403.65698237269</v>
      </c>
      <c r="AF60" s="50"/>
      <c r="AG60" t="str">
        <f t="shared" si="22"/>
        <v>5302010</v>
      </c>
    </row>
    <row r="61" spans="1:33" hidden="1" x14ac:dyDescent="0.25">
      <c r="A61" s="7" t="s">
        <v>372</v>
      </c>
      <c r="B61" s="2" t="s">
        <v>773</v>
      </c>
      <c r="C61" s="4" t="s">
        <v>772</v>
      </c>
      <c r="D61">
        <f>_xlfn.IFNA(VLOOKUP(A61,'Prior Year data'!$A$1:$T$318,12,FALSE),0)</f>
        <v>177787.99107072235</v>
      </c>
      <c r="E61">
        <f>VLOOKUP(A61,'Basic HH'!$B$1:$Y$319,23,FALSE)</f>
        <v>80791.021962056955</v>
      </c>
      <c r="F61">
        <f>VLOOKUP(A61,'Conc. HH'!$B$1:$Y$319,23,FALSE)</f>
        <v>21737.660483336953</v>
      </c>
      <c r="G61">
        <f>VLOOKUP(A61,'Targeted HH'!$B$1:$Y$319,23,FALSE)</f>
        <v>42886.839152283501</v>
      </c>
      <c r="H61">
        <f>VLOOKUP(A61,'EFIG HH'!$B$1:$Y$319,23,FALSE)</f>
        <v>58149.575968321937</v>
      </c>
      <c r="I61">
        <f t="shared" si="0"/>
        <v>203565.09756599934</v>
      </c>
      <c r="J61">
        <f t="shared" si="1"/>
        <v>203565.09756599934</v>
      </c>
      <c r="K61" s="43">
        <f t="shared" si="2"/>
        <v>185079.1283618825</v>
      </c>
      <c r="L61">
        <f t="shared" si="3"/>
        <v>0</v>
      </c>
      <c r="M61">
        <f t="shared" si="4"/>
        <v>7291.1372911601502</v>
      </c>
      <c r="N61" s="43">
        <f t="shared" si="5"/>
        <v>184037.03014992891</v>
      </c>
      <c r="O61">
        <f t="shared" si="6"/>
        <v>0</v>
      </c>
      <c r="P61">
        <f t="shared" si="7"/>
        <v>6249.0390792065591</v>
      </c>
      <c r="Q61" s="43">
        <f t="shared" si="8"/>
        <v>184037.03014992891</v>
      </c>
      <c r="R61">
        <f t="shared" si="9"/>
        <v>0</v>
      </c>
      <c r="S61">
        <f t="shared" si="10"/>
        <v>6249.0390792065591</v>
      </c>
      <c r="T61" s="43">
        <f t="shared" si="11"/>
        <v>184037.03014992891</v>
      </c>
      <c r="U61">
        <f t="shared" si="12"/>
        <v>0</v>
      </c>
      <c r="V61">
        <f t="shared" si="13"/>
        <v>6249.0390792065591</v>
      </c>
      <c r="W61" s="43">
        <f t="shared" si="14"/>
        <v>184037.03014992891</v>
      </c>
      <c r="X61" s="43">
        <f t="shared" si="15"/>
        <v>19528.067416070437</v>
      </c>
      <c r="Y61" s="27">
        <f t="shared" si="16"/>
        <v>1409.580540450017</v>
      </c>
      <c r="Z61" s="27">
        <f t="shared" si="17"/>
        <v>182627.44960947888</v>
      </c>
      <c r="AA61">
        <f t="shared" si="18"/>
        <v>0</v>
      </c>
      <c r="AB61" s="27">
        <f t="shared" si="19"/>
        <v>182627.44960947888</v>
      </c>
      <c r="AD61" s="27">
        <f t="shared" si="20"/>
        <v>0</v>
      </c>
      <c r="AE61" s="27">
        <f t="shared" si="21"/>
        <v>182627.44960947888</v>
      </c>
      <c r="AF61" s="50"/>
      <c r="AG61" t="str">
        <f t="shared" si="22"/>
        <v>5302040</v>
      </c>
    </row>
    <row r="62" spans="1:33" hidden="1" x14ac:dyDescent="0.25">
      <c r="A62" s="7" t="s">
        <v>374</v>
      </c>
      <c r="B62" s="2" t="s">
        <v>775</v>
      </c>
      <c r="C62" s="4" t="s">
        <v>774</v>
      </c>
      <c r="D62">
        <f>_xlfn.IFNA(VLOOKUP(A62,'Prior Year data'!$A$1:$T$318,12,FALSE),0)</f>
        <v>575610.84565204673</v>
      </c>
      <c r="E62">
        <f>VLOOKUP(A62,'Basic HH'!$B$1:$Y$319,23,FALSE)</f>
        <v>247178.7082880025</v>
      </c>
      <c r="F62">
        <f>VLOOKUP(A62,'Conc. HH'!$B$1:$Y$319,23,FALSE)</f>
        <v>0</v>
      </c>
      <c r="G62">
        <f>VLOOKUP(A62,'Targeted HH'!$B$1:$Y$319,23,FALSE)</f>
        <v>118241.20123767485</v>
      </c>
      <c r="H62">
        <f>VLOOKUP(A62,'EFIG HH'!$B$1:$Y$319,23,FALSE)</f>
        <v>162524.66496665069</v>
      </c>
      <c r="I62">
        <f t="shared" si="0"/>
        <v>527944.57449232799</v>
      </c>
      <c r="J62">
        <f t="shared" si="1"/>
        <v>0</v>
      </c>
      <c r="K62" s="43">
        <f t="shared" si="2"/>
        <v>527944.57449232799</v>
      </c>
      <c r="L62">
        <f t="shared" si="3"/>
        <v>0</v>
      </c>
      <c r="M62">
        <f t="shared" si="4"/>
        <v>0</v>
      </c>
      <c r="N62" s="43">
        <f t="shared" si="5"/>
        <v>527944.57449232799</v>
      </c>
      <c r="O62">
        <f t="shared" si="6"/>
        <v>0</v>
      </c>
      <c r="P62">
        <f t="shared" si="7"/>
        <v>0</v>
      </c>
      <c r="Q62" s="43">
        <f t="shared" si="8"/>
        <v>527944.57449232799</v>
      </c>
      <c r="R62">
        <f t="shared" si="9"/>
        <v>0</v>
      </c>
      <c r="S62">
        <f t="shared" si="10"/>
        <v>0</v>
      </c>
      <c r="T62" s="43">
        <f t="shared" si="11"/>
        <v>527944.57449232799</v>
      </c>
      <c r="U62">
        <f t="shared" si="12"/>
        <v>0</v>
      </c>
      <c r="V62">
        <f t="shared" si="13"/>
        <v>0</v>
      </c>
      <c r="W62" s="43">
        <f t="shared" si="14"/>
        <v>527944.57449232799</v>
      </c>
      <c r="X62" s="43">
        <f t="shared" si="15"/>
        <v>0</v>
      </c>
      <c r="Y62" s="27">
        <f t="shared" si="16"/>
        <v>4043.6449014325581</v>
      </c>
      <c r="Z62" s="27">
        <f t="shared" si="17"/>
        <v>523900.92959089542</v>
      </c>
      <c r="AA62">
        <f t="shared" si="18"/>
        <v>0</v>
      </c>
      <c r="AB62" s="27">
        <f t="shared" si="19"/>
        <v>523900.92959089542</v>
      </c>
      <c r="AD62" s="27">
        <f t="shared" si="20"/>
        <v>0</v>
      </c>
      <c r="AE62" s="27">
        <f t="shared" si="21"/>
        <v>523900.92959089542</v>
      </c>
      <c r="AF62" s="50"/>
      <c r="AG62" t="str">
        <f t="shared" si="22"/>
        <v>5302070</v>
      </c>
    </row>
    <row r="63" spans="1:33" hidden="1" x14ac:dyDescent="0.25">
      <c r="A63" s="7" t="s">
        <v>274</v>
      </c>
      <c r="B63" s="2" t="s">
        <v>777</v>
      </c>
      <c r="C63" s="4" t="s">
        <v>776</v>
      </c>
      <c r="D63">
        <f>_xlfn.IFNA(VLOOKUP(A63,'Prior Year data'!$A$1:$T$318,12,FALSE),0)</f>
        <v>73653.651917467912</v>
      </c>
      <c r="E63">
        <f>VLOOKUP(A63,'Basic HH'!$B$1:$Y$319,23,FALSE)</f>
        <v>88609.507958384973</v>
      </c>
      <c r="F63">
        <f>VLOOKUP(A63,'Conc. HH'!$B$1:$Y$319,23,FALSE)</f>
        <v>0</v>
      </c>
      <c r="G63">
        <f>VLOOKUP(A63,'Targeted HH'!$B$1:$Y$319,23,FALSE)</f>
        <v>0</v>
      </c>
      <c r="H63">
        <f>VLOOKUP(A63,'EFIG HH'!$B$1:$Y$319,23,FALSE)</f>
        <v>0</v>
      </c>
      <c r="I63">
        <f t="shared" si="0"/>
        <v>88609.507958384973</v>
      </c>
      <c r="J63">
        <f t="shared" si="1"/>
        <v>88609.507958384973</v>
      </c>
      <c r="K63" s="43">
        <f t="shared" si="2"/>
        <v>80562.781604523785</v>
      </c>
      <c r="L63">
        <f t="shared" si="3"/>
        <v>0</v>
      </c>
      <c r="M63">
        <f t="shared" si="4"/>
        <v>6909.1296870558726</v>
      </c>
      <c r="N63" s="43">
        <f t="shared" si="5"/>
        <v>79575.282479830872</v>
      </c>
      <c r="O63">
        <f t="shared" si="6"/>
        <v>0</v>
      </c>
      <c r="P63">
        <f t="shared" si="7"/>
        <v>5921.6305623629596</v>
      </c>
      <c r="Q63" s="43">
        <f t="shared" si="8"/>
        <v>79575.282479830872</v>
      </c>
      <c r="R63">
        <f t="shared" si="9"/>
        <v>0</v>
      </c>
      <c r="S63">
        <f t="shared" si="10"/>
        <v>5921.6305623629596</v>
      </c>
      <c r="T63" s="43">
        <f t="shared" si="11"/>
        <v>79575.282479830872</v>
      </c>
      <c r="U63">
        <f t="shared" si="12"/>
        <v>0</v>
      </c>
      <c r="V63">
        <f t="shared" si="13"/>
        <v>5921.6305623629596</v>
      </c>
      <c r="W63" s="43">
        <f t="shared" si="14"/>
        <v>79575.282479830872</v>
      </c>
      <c r="X63" s="43">
        <f t="shared" si="15"/>
        <v>9034.2254785541008</v>
      </c>
      <c r="Y63" s="27">
        <f t="shared" si="16"/>
        <v>609.48478462732953</v>
      </c>
      <c r="Z63" s="27">
        <f t="shared" si="17"/>
        <v>78965.797695203539</v>
      </c>
      <c r="AA63">
        <f t="shared" si="18"/>
        <v>0</v>
      </c>
      <c r="AB63" s="27">
        <f t="shared" si="19"/>
        <v>78965.797695203539</v>
      </c>
      <c r="AD63" s="27">
        <f t="shared" si="20"/>
        <v>0</v>
      </c>
      <c r="AE63" s="27">
        <f t="shared" si="21"/>
        <v>78965.797695203539</v>
      </c>
      <c r="AF63" s="50"/>
      <c r="AG63" t="str">
        <f t="shared" si="22"/>
        <v>5302130</v>
      </c>
    </row>
    <row r="64" spans="1:33" hidden="1" x14ac:dyDescent="0.25">
      <c r="A64" s="7" t="s">
        <v>376</v>
      </c>
      <c r="B64" s="2" t="s">
        <v>779</v>
      </c>
      <c r="C64" s="4" t="s">
        <v>778</v>
      </c>
      <c r="D64">
        <f>_xlfn.IFNA(VLOOKUP(A64,'Prior Year data'!$A$1:$T$318,12,FALSE),0)</f>
        <v>1441.9703207156401</v>
      </c>
      <c r="E64">
        <f>VLOOKUP(A64,'Basic HH'!$B$1:$Y$319,23,FALSE)</f>
        <v>0</v>
      </c>
      <c r="F64">
        <f>VLOOKUP(A64,'Conc. HH'!$B$1:$Y$319,23,FALSE)</f>
        <v>1235.2061380990931</v>
      </c>
      <c r="G64">
        <f>VLOOKUP(A64,'Targeted HH'!$B$1:$Y$319,23,FALSE)</f>
        <v>0</v>
      </c>
      <c r="H64">
        <f>VLOOKUP(A64,'EFIG HH'!$B$1:$Y$319,23,FALSE)</f>
        <v>0</v>
      </c>
      <c r="I64">
        <f t="shared" si="0"/>
        <v>1235.2061380990931</v>
      </c>
      <c r="J64">
        <f t="shared" si="1"/>
        <v>0</v>
      </c>
      <c r="K64" s="43">
        <f t="shared" si="2"/>
        <v>1235.2061380990931</v>
      </c>
      <c r="L64">
        <f t="shared" si="3"/>
        <v>0</v>
      </c>
      <c r="M64">
        <f t="shared" si="4"/>
        <v>0</v>
      </c>
      <c r="N64" s="43">
        <f t="shared" si="5"/>
        <v>1235.2061380990931</v>
      </c>
      <c r="O64">
        <f t="shared" si="6"/>
        <v>0</v>
      </c>
      <c r="P64">
        <f t="shared" si="7"/>
        <v>0</v>
      </c>
      <c r="Q64" s="43">
        <f t="shared" si="8"/>
        <v>1235.2061380990931</v>
      </c>
      <c r="R64">
        <f t="shared" si="9"/>
        <v>0</v>
      </c>
      <c r="S64">
        <f t="shared" si="10"/>
        <v>0</v>
      </c>
      <c r="T64" s="43">
        <f t="shared" si="11"/>
        <v>1235.2061380990931</v>
      </c>
      <c r="U64">
        <f t="shared" si="12"/>
        <v>0</v>
      </c>
      <c r="V64">
        <f t="shared" si="13"/>
        <v>0</v>
      </c>
      <c r="W64" s="43">
        <f t="shared" si="14"/>
        <v>1235.2061380990931</v>
      </c>
      <c r="X64" s="43">
        <f t="shared" si="15"/>
        <v>0</v>
      </c>
      <c r="Y64" s="27">
        <f t="shared" si="16"/>
        <v>9.4607184993719091</v>
      </c>
      <c r="Z64" s="27">
        <f t="shared" si="17"/>
        <v>1225.7454195997211</v>
      </c>
      <c r="AA64">
        <f t="shared" si="18"/>
        <v>0</v>
      </c>
      <c r="AB64" s="27">
        <f t="shared" si="19"/>
        <v>1225.7454195997211</v>
      </c>
      <c r="AD64" s="27">
        <f t="shared" si="20"/>
        <v>0</v>
      </c>
      <c r="AE64" s="27">
        <f t="shared" si="21"/>
        <v>1225.7454195997211</v>
      </c>
      <c r="AF64" s="50"/>
      <c r="AG64" t="str">
        <f t="shared" si="22"/>
        <v>5302160</v>
      </c>
    </row>
    <row r="65" spans="1:33" hidden="1" x14ac:dyDescent="0.25">
      <c r="A65" s="7" t="s">
        <v>378</v>
      </c>
      <c r="B65" s="2" t="s">
        <v>781</v>
      </c>
      <c r="C65" s="4" t="s">
        <v>780</v>
      </c>
      <c r="D65">
        <f>_xlfn.IFNA(VLOOKUP(A65,'Prior Year data'!$A$1:$T$318,12,FALSE),0)</f>
        <v>1486134.7870659847</v>
      </c>
      <c r="E65">
        <f>VLOOKUP(A65,'Basic HH'!$B$1:$Y$319,23,FALSE)</f>
        <v>592351.34234698792</v>
      </c>
      <c r="F65">
        <f>VLOOKUP(A65,'Conc. HH'!$B$1:$Y$319,23,FALSE)</f>
        <v>156074.81625966655</v>
      </c>
      <c r="G65">
        <f>VLOOKUP(A65,'Targeted HH'!$B$1:$Y$319,23,FALSE)</f>
        <v>304614.11956312542</v>
      </c>
      <c r="H65">
        <f>VLOOKUP(A65,'EFIG HH'!$B$1:$Y$319,23,FALSE)</f>
        <v>418697.60462424892</v>
      </c>
      <c r="I65">
        <f t="shared" si="0"/>
        <v>1471737.8827940291</v>
      </c>
      <c r="J65">
        <f t="shared" si="1"/>
        <v>0</v>
      </c>
      <c r="K65" s="43">
        <f t="shared" si="2"/>
        <v>1471737.8827940291</v>
      </c>
      <c r="L65">
        <f t="shared" si="3"/>
        <v>0</v>
      </c>
      <c r="M65">
        <f t="shared" si="4"/>
        <v>0</v>
      </c>
      <c r="N65" s="43">
        <f t="shared" si="5"/>
        <v>1471737.8827940291</v>
      </c>
      <c r="O65">
        <f t="shared" si="6"/>
        <v>0</v>
      </c>
      <c r="P65">
        <f t="shared" si="7"/>
        <v>0</v>
      </c>
      <c r="Q65" s="43">
        <f t="shared" si="8"/>
        <v>1471737.8827940291</v>
      </c>
      <c r="R65">
        <f t="shared" si="9"/>
        <v>0</v>
      </c>
      <c r="S65">
        <f t="shared" si="10"/>
        <v>0</v>
      </c>
      <c r="T65" s="43">
        <f t="shared" si="11"/>
        <v>1471737.8827940291</v>
      </c>
      <c r="U65">
        <f t="shared" si="12"/>
        <v>0</v>
      </c>
      <c r="V65">
        <f t="shared" si="13"/>
        <v>0</v>
      </c>
      <c r="W65" s="43">
        <f t="shared" si="14"/>
        <v>1471737.8827940291</v>
      </c>
      <c r="X65" s="43">
        <f t="shared" si="15"/>
        <v>0</v>
      </c>
      <c r="Y65" s="27">
        <f t="shared" si="16"/>
        <v>11272.367732404276</v>
      </c>
      <c r="Z65" s="27">
        <f t="shared" si="17"/>
        <v>1460465.5150616248</v>
      </c>
      <c r="AA65">
        <f t="shared" si="18"/>
        <v>0</v>
      </c>
      <c r="AB65" s="27">
        <f t="shared" si="19"/>
        <v>1460465.5150616248</v>
      </c>
      <c r="AD65" s="27">
        <f t="shared" si="20"/>
        <v>0</v>
      </c>
      <c r="AE65" s="27">
        <f t="shared" si="21"/>
        <v>1460465.5150616248</v>
      </c>
      <c r="AF65" s="50"/>
      <c r="AG65" t="str">
        <f t="shared" si="22"/>
        <v>5302280</v>
      </c>
    </row>
    <row r="66" spans="1:33" hidden="1" x14ac:dyDescent="0.25">
      <c r="A66" s="7" t="s">
        <v>380</v>
      </c>
      <c r="B66" s="2" t="s">
        <v>783</v>
      </c>
      <c r="C66" s="4" t="s">
        <v>782</v>
      </c>
      <c r="D66">
        <f>_xlfn.IFNA(VLOOKUP(A66,'Prior Year data'!$A$1:$T$318,12,FALSE),0)</f>
        <v>734867.54863849562</v>
      </c>
      <c r="E66">
        <f>VLOOKUP(A66,'Basic HH'!$B$1:$Y$319,23,FALSE)</f>
        <v>425673.12646675151</v>
      </c>
      <c r="F66">
        <f>VLOOKUP(A66,'Conc. HH'!$B$1:$Y$319,23,FALSE)</f>
        <v>0</v>
      </c>
      <c r="G66">
        <f>VLOOKUP(A66,'Targeted HH'!$B$1:$Y$319,23,FALSE)</f>
        <v>205343.45253688775</v>
      </c>
      <c r="H66">
        <f>VLOOKUP(A66,'EFIG HH'!$B$1:$Y$319,23,FALSE)</f>
        <v>278421.88720162399</v>
      </c>
      <c r="I66">
        <f t="shared" si="0"/>
        <v>909438.46620526328</v>
      </c>
      <c r="J66">
        <f t="shared" si="1"/>
        <v>909438.46620526328</v>
      </c>
      <c r="K66" s="43">
        <f t="shared" si="2"/>
        <v>826851.36419059173</v>
      </c>
      <c r="L66">
        <f t="shared" si="3"/>
        <v>0</v>
      </c>
      <c r="M66">
        <f t="shared" si="4"/>
        <v>91983.815552096115</v>
      </c>
      <c r="N66" s="43">
        <f t="shared" si="5"/>
        <v>813704.42073202785</v>
      </c>
      <c r="O66">
        <f t="shared" si="6"/>
        <v>0</v>
      </c>
      <c r="P66">
        <f t="shared" si="7"/>
        <v>78836.872093532234</v>
      </c>
      <c r="Q66" s="43">
        <f t="shared" si="8"/>
        <v>813704.42073202785</v>
      </c>
      <c r="R66">
        <f t="shared" si="9"/>
        <v>0</v>
      </c>
      <c r="S66">
        <f t="shared" si="10"/>
        <v>78836.872093532234</v>
      </c>
      <c r="T66" s="43">
        <f t="shared" si="11"/>
        <v>813704.42073202785</v>
      </c>
      <c r="U66">
        <f t="shared" si="12"/>
        <v>0</v>
      </c>
      <c r="V66">
        <f t="shared" si="13"/>
        <v>78836.872093532234</v>
      </c>
      <c r="W66" s="43">
        <f t="shared" si="14"/>
        <v>813704.42073202785</v>
      </c>
      <c r="X66" s="43">
        <f t="shared" si="15"/>
        <v>95734.045473235426</v>
      </c>
      <c r="Y66" s="27">
        <f t="shared" si="16"/>
        <v>6232.3431116423235</v>
      </c>
      <c r="Z66" s="27">
        <f t="shared" si="17"/>
        <v>807472.07762038556</v>
      </c>
      <c r="AA66">
        <f t="shared" si="18"/>
        <v>0</v>
      </c>
      <c r="AB66" s="27">
        <f t="shared" si="19"/>
        <v>807472.07762038556</v>
      </c>
      <c r="AD66" s="27">
        <f t="shared" si="20"/>
        <v>0</v>
      </c>
      <c r="AE66" s="27">
        <f t="shared" si="21"/>
        <v>807472.07762038556</v>
      </c>
      <c r="AF66" s="50"/>
      <c r="AG66" t="str">
        <f t="shared" si="22"/>
        <v>5305370</v>
      </c>
    </row>
    <row r="67" spans="1:33" hidden="1" x14ac:dyDescent="0.25">
      <c r="A67" s="7" t="s">
        <v>382</v>
      </c>
      <c r="B67" s="2" t="s">
        <v>785</v>
      </c>
      <c r="C67" s="4" t="s">
        <v>784</v>
      </c>
      <c r="D67">
        <f>_xlfn.IFNA(VLOOKUP(A67,'Prior Year data'!$A$1:$T$318,12,FALSE),0)</f>
        <v>1161210.6624396583</v>
      </c>
      <c r="E67">
        <f>VLOOKUP(A67,'Basic HH'!$B$1:$Y$319,23,FALSE)</f>
        <v>769686.51030518732</v>
      </c>
      <c r="F67">
        <f>VLOOKUP(A67,'Conc. HH'!$B$1:$Y$319,23,FALSE)</f>
        <v>0</v>
      </c>
      <c r="G67">
        <f>VLOOKUP(A67,'Targeted HH'!$B$1:$Y$319,23,FALSE)</f>
        <v>412153.64402046753</v>
      </c>
      <c r="H67">
        <f>VLOOKUP(A67,'EFIG HH'!$B$1:$Y$319,23,FALSE)</f>
        <v>558832.50216897379</v>
      </c>
      <c r="I67">
        <f t="shared" si="0"/>
        <v>1740672.6564946286</v>
      </c>
      <c r="J67">
        <f t="shared" si="1"/>
        <v>1740672.6564946286</v>
      </c>
      <c r="K67" s="43">
        <f t="shared" si="2"/>
        <v>1582600.2683143548</v>
      </c>
      <c r="L67">
        <f t="shared" si="3"/>
        <v>0</v>
      </c>
      <c r="M67">
        <f t="shared" si="4"/>
        <v>421389.60587469651</v>
      </c>
      <c r="N67" s="43">
        <f t="shared" si="5"/>
        <v>1522372.4413949167</v>
      </c>
      <c r="O67">
        <f t="shared" si="6"/>
        <v>0</v>
      </c>
      <c r="P67">
        <f t="shared" si="7"/>
        <v>361161.77895525843</v>
      </c>
      <c r="Q67" s="43">
        <f t="shared" si="8"/>
        <v>1522372.4413949167</v>
      </c>
      <c r="R67">
        <f t="shared" si="9"/>
        <v>0</v>
      </c>
      <c r="S67">
        <f t="shared" si="10"/>
        <v>361161.77895525843</v>
      </c>
      <c r="T67" s="43">
        <f t="shared" si="11"/>
        <v>1522372.4413949167</v>
      </c>
      <c r="U67">
        <f t="shared" si="12"/>
        <v>0</v>
      </c>
      <c r="V67">
        <f t="shared" si="13"/>
        <v>361161.77895525843</v>
      </c>
      <c r="W67" s="43">
        <f t="shared" si="14"/>
        <v>1522372.4413949167</v>
      </c>
      <c r="X67" s="43">
        <f t="shared" si="15"/>
        <v>218300.2150997119</v>
      </c>
      <c r="Y67" s="27">
        <f t="shared" si="16"/>
        <v>11660.189076945326</v>
      </c>
      <c r="Z67" s="27">
        <f t="shared" si="17"/>
        <v>1510712.2523179713</v>
      </c>
      <c r="AA67">
        <f t="shared" si="18"/>
        <v>0</v>
      </c>
      <c r="AB67" s="27">
        <f t="shared" si="19"/>
        <v>1510712.2523179713</v>
      </c>
      <c r="AD67" s="27">
        <f t="shared" si="20"/>
        <v>0</v>
      </c>
      <c r="AE67" s="27">
        <f t="shared" si="21"/>
        <v>1510712.2523179713</v>
      </c>
      <c r="AF67" s="50"/>
      <c r="AG67" t="str">
        <f t="shared" si="22"/>
        <v>5302310</v>
      </c>
    </row>
    <row r="68" spans="1:33" hidden="1" x14ac:dyDescent="0.25">
      <c r="A68" s="7" t="s">
        <v>117</v>
      </c>
      <c r="B68" s="2" t="s">
        <v>787</v>
      </c>
      <c r="C68" s="4" t="s">
        <v>786</v>
      </c>
      <c r="D68">
        <f>_xlfn.IFNA(VLOOKUP(A68,'Prior Year data'!$A$1:$T$318,12,FALSE),0)</f>
        <v>0</v>
      </c>
      <c r="E68">
        <f>VLOOKUP(A68,'Basic HH'!$B$1:$Y$319,23,FALSE)</f>
        <v>18243.133991432198</v>
      </c>
      <c r="F68">
        <f>VLOOKUP(A68,'Conc. HH'!$B$1:$Y$319,23,FALSE)</f>
        <v>0</v>
      </c>
      <c r="G68">
        <f>VLOOKUP(A68,'Targeted HH'!$B$1:$Y$319,23,FALSE)</f>
        <v>8800.4336801523332</v>
      </c>
      <c r="H68">
        <f>VLOOKUP(A68,'EFIG HH'!$B$1:$Y$319,23,FALSE)</f>
        <v>11932.366594355313</v>
      </c>
      <c r="I68">
        <f t="shared" ref="I68:I131" si="23">SUM(E68:H68)</f>
        <v>38975.934265939846</v>
      </c>
      <c r="J68">
        <f t="shared" ref="J68:J131" si="24">IF(I68&lt;D68,0,I68)</f>
        <v>38975.934265939846</v>
      </c>
      <c r="K68" s="43">
        <f t="shared" ref="K68:K131" si="25">IF(J68=0,I68,I68-$K$1*J68/$J$3)</f>
        <v>35436.487036739636</v>
      </c>
      <c r="L68">
        <f t="shared" ref="L68:L131" si="26">IF($J68=0,0,IF(K68&lt;$D68,$D68-K68,0))</f>
        <v>0</v>
      </c>
      <c r="M68">
        <f t="shared" ref="M68:M131" si="27">IF($J68=0,0,IF(L68&gt;0,0,K68-$D68))</f>
        <v>35436.487036739636</v>
      </c>
      <c r="N68" s="43">
        <f t="shared" ref="N68:N131" si="28">IF(L68&gt;0,L68+K68,K68-$L$3*M68/$M$3)</f>
        <v>30371.666789331088</v>
      </c>
      <c r="O68">
        <f t="shared" ref="O68:O131" si="29">IF($J68=0,0,IF(N68&lt;$D68,$D68-N68,0))</f>
        <v>0</v>
      </c>
      <c r="P68">
        <f t="shared" ref="P68:P131" si="30">IF($J68=0,0,IF(O68&gt;0,0,N68-$D68))</f>
        <v>30371.666789331088</v>
      </c>
      <c r="Q68" s="43">
        <f t="shared" ref="Q68:Q131" si="31">IF(O68&gt;0,O68+N68,N68-$O$3*P68/$P$3)</f>
        <v>30371.666789331088</v>
      </c>
      <c r="R68">
        <f t="shared" ref="R68:R131" si="32">IF($J68=0,0,IF(Q68&lt;$D68,$D68-Q68,0))</f>
        <v>0</v>
      </c>
      <c r="S68">
        <f t="shared" ref="S68:S131" si="33">IF($J68=0,0,IF(R68&gt;0,0,Q68-$D68))</f>
        <v>30371.666789331088</v>
      </c>
      <c r="T68" s="43">
        <f t="shared" ref="T68:T131" si="34">IF(R68&gt;0,R68+Q68,Q68-$R$3*S68/$S$3)</f>
        <v>30371.666789331088</v>
      </c>
      <c r="U68">
        <f t="shared" ref="U68:U131" si="35">IF($J68=0,0,IF(T68&lt;$D68,$D68-T68,0))</f>
        <v>0</v>
      </c>
      <c r="V68">
        <f t="shared" ref="V68:V131" si="36">IF($J68=0,0,IF(U68&gt;0,0,T68-$D68))</f>
        <v>30371.666789331088</v>
      </c>
      <c r="W68" s="43">
        <f t="shared" ref="W68:W131" si="37">IF(U68&gt;0,U68+T68,T68-$U$3*V68/$V$3)</f>
        <v>30371.666789331088</v>
      </c>
      <c r="X68" s="43">
        <f t="shared" ref="X68:X131" si="38">I68-W68</f>
        <v>8604.2674766087584</v>
      </c>
      <c r="Y68" s="27">
        <f t="shared" ref="Y68:Y131" si="39">W68/$W$3*$Y$1</f>
        <v>232.623350052955</v>
      </c>
      <c r="Z68" s="27">
        <f t="shared" ref="Z68:Z131" si="40">W68-Y68</f>
        <v>30139.043439278132</v>
      </c>
      <c r="AA68">
        <f t="shared" ref="AA68:AA131" si="41">Z68/$Z$3*$AA$1</f>
        <v>0</v>
      </c>
      <c r="AB68" s="27">
        <f t="shared" ref="AB68:AB131" si="42">Z68-AA68</f>
        <v>30139.043439278132</v>
      </c>
      <c r="AD68" s="27">
        <f t="shared" ref="AD68:AD131" si="43">IF(AC68&gt;0,AC68*AB68,0)</f>
        <v>0</v>
      </c>
      <c r="AE68" s="27">
        <f t="shared" ref="AE68:AE131" si="44">AB68-AD68</f>
        <v>30139.043439278132</v>
      </c>
      <c r="AF68" s="50"/>
      <c r="AG68" t="str">
        <f t="shared" ref="AG68:AG131" si="45">A68</f>
        <v>5302340</v>
      </c>
    </row>
    <row r="69" spans="1:33" hidden="1" x14ac:dyDescent="0.25">
      <c r="A69" s="7" t="s">
        <v>119</v>
      </c>
      <c r="B69" s="2" t="s">
        <v>789</v>
      </c>
      <c r="C69" s="4" t="s">
        <v>788</v>
      </c>
      <c r="D69">
        <f>_xlfn.IFNA(VLOOKUP(A69,'Prior Year data'!$A$1:$T$318,12,FALSE),0)</f>
        <v>331413.2698578001</v>
      </c>
      <c r="E69">
        <f>VLOOKUP(A69,'Basic HH'!$B$1:$Y$319,23,FALSE)</f>
        <v>139677.90912132675</v>
      </c>
      <c r="F69">
        <f>VLOOKUP(A69,'Conc. HH'!$B$1:$Y$319,23,FALSE)</f>
        <v>0</v>
      </c>
      <c r="G69">
        <f>VLOOKUP(A69,'Targeted HH'!$B$1:$Y$319,23,FALSE)</f>
        <v>66816.773480461226</v>
      </c>
      <c r="H69">
        <f>VLOOKUP(A69,'EFIG HH'!$B$1:$Y$319,23,FALSE)</f>
        <v>91840.860972278955</v>
      </c>
      <c r="I69">
        <f t="shared" si="23"/>
        <v>298335.54357406695</v>
      </c>
      <c r="J69">
        <f t="shared" si="24"/>
        <v>0</v>
      </c>
      <c r="K69" s="43">
        <f t="shared" si="25"/>
        <v>298335.54357406695</v>
      </c>
      <c r="L69">
        <f t="shared" si="26"/>
        <v>0</v>
      </c>
      <c r="M69">
        <f t="shared" si="27"/>
        <v>0</v>
      </c>
      <c r="N69" s="43">
        <f t="shared" si="28"/>
        <v>298335.54357406695</v>
      </c>
      <c r="O69">
        <f t="shared" si="29"/>
        <v>0</v>
      </c>
      <c r="P69">
        <f t="shared" si="30"/>
        <v>0</v>
      </c>
      <c r="Q69" s="43">
        <f t="shared" si="31"/>
        <v>298335.54357406695</v>
      </c>
      <c r="R69">
        <f t="shared" si="32"/>
        <v>0</v>
      </c>
      <c r="S69">
        <f t="shared" si="33"/>
        <v>0</v>
      </c>
      <c r="T69" s="43">
        <f t="shared" si="34"/>
        <v>298335.54357406695</v>
      </c>
      <c r="U69">
        <f t="shared" si="35"/>
        <v>0</v>
      </c>
      <c r="V69">
        <f t="shared" si="36"/>
        <v>0</v>
      </c>
      <c r="W69" s="43">
        <f t="shared" si="37"/>
        <v>298335.54357406695</v>
      </c>
      <c r="X69" s="43">
        <f t="shared" si="38"/>
        <v>0</v>
      </c>
      <c r="Y69" s="27">
        <f t="shared" si="39"/>
        <v>2285.0182727030133</v>
      </c>
      <c r="Z69" s="27">
        <f t="shared" si="40"/>
        <v>296050.52530136396</v>
      </c>
      <c r="AA69">
        <f t="shared" si="41"/>
        <v>0</v>
      </c>
      <c r="AB69" s="27">
        <f t="shared" si="42"/>
        <v>296050.52530136396</v>
      </c>
      <c r="AD69" s="27">
        <f t="shared" si="43"/>
        <v>0</v>
      </c>
      <c r="AE69" s="27">
        <f t="shared" si="44"/>
        <v>296050.52530136396</v>
      </c>
      <c r="AF69" s="50"/>
      <c r="AG69" t="str">
        <f t="shared" si="45"/>
        <v>5302370</v>
      </c>
    </row>
    <row r="70" spans="1:33" hidden="1" x14ac:dyDescent="0.25">
      <c r="A70" s="7" t="s">
        <v>121</v>
      </c>
      <c r="B70" s="2" t="s">
        <v>791</v>
      </c>
      <c r="C70" s="4" t="s">
        <v>790</v>
      </c>
      <c r="D70">
        <f>_xlfn.IFNA(VLOOKUP(A70,'Prior Year data'!$A$1:$T$318,12,FALSE),0)</f>
        <v>3933301.5140930424</v>
      </c>
      <c r="E70">
        <f>VLOOKUP(A70,'Basic HH'!$B$1:$Y$319,23,FALSE)</f>
        <v>2047574.6103717005</v>
      </c>
      <c r="F70">
        <f>VLOOKUP(A70,'Conc. HH'!$B$1:$Y$319,23,FALSE)</f>
        <v>0</v>
      </c>
      <c r="G70">
        <f>VLOOKUP(A70,'Targeted HH'!$B$1:$Y$319,23,FALSE)</f>
        <v>1356733.5256901514</v>
      </c>
      <c r="H70">
        <f>VLOOKUP(A70,'EFIG HH'!$B$1:$Y$319,23,FALSE)</f>
        <v>1839573.1832964437</v>
      </c>
      <c r="I70">
        <f t="shared" si="23"/>
        <v>5243881.3193582958</v>
      </c>
      <c r="J70">
        <f t="shared" si="24"/>
        <v>5243881.3193582958</v>
      </c>
      <c r="K70" s="43">
        <f t="shared" si="25"/>
        <v>4767678.720097526</v>
      </c>
      <c r="L70">
        <f t="shared" si="26"/>
        <v>0</v>
      </c>
      <c r="M70">
        <f t="shared" si="27"/>
        <v>834377.20600448363</v>
      </c>
      <c r="N70" s="43">
        <f t="shared" si="28"/>
        <v>4648423.9372358304</v>
      </c>
      <c r="O70">
        <f t="shared" si="29"/>
        <v>0</v>
      </c>
      <c r="P70">
        <f t="shared" si="30"/>
        <v>715122.423142788</v>
      </c>
      <c r="Q70" s="43">
        <f t="shared" si="31"/>
        <v>4648423.9372358304</v>
      </c>
      <c r="R70">
        <f t="shared" si="32"/>
        <v>0</v>
      </c>
      <c r="S70">
        <f t="shared" si="33"/>
        <v>715122.423142788</v>
      </c>
      <c r="T70" s="43">
        <f t="shared" si="34"/>
        <v>4648423.9372358304</v>
      </c>
      <c r="U70">
        <f t="shared" si="35"/>
        <v>0</v>
      </c>
      <c r="V70">
        <f t="shared" si="36"/>
        <v>715122.423142788</v>
      </c>
      <c r="W70" s="43">
        <f t="shared" si="37"/>
        <v>4648423.9372358304</v>
      </c>
      <c r="X70" s="43">
        <f t="shared" si="38"/>
        <v>595457.38212246541</v>
      </c>
      <c r="Y70" s="27">
        <f t="shared" si="39"/>
        <v>35603.312661325348</v>
      </c>
      <c r="Z70" s="27">
        <f t="shared" si="40"/>
        <v>4612820.6245745048</v>
      </c>
      <c r="AA70">
        <f t="shared" si="41"/>
        <v>0</v>
      </c>
      <c r="AB70" s="27">
        <f t="shared" si="42"/>
        <v>4612820.6245745048</v>
      </c>
      <c r="AD70" s="27">
        <f t="shared" si="43"/>
        <v>0</v>
      </c>
      <c r="AE70" s="27">
        <f t="shared" si="44"/>
        <v>4612820.6245745048</v>
      </c>
      <c r="AF70" s="50"/>
      <c r="AG70" t="str">
        <f t="shared" si="45"/>
        <v>5302400</v>
      </c>
    </row>
    <row r="71" spans="1:33" hidden="1" x14ac:dyDescent="0.25">
      <c r="A71" s="7" t="s">
        <v>384</v>
      </c>
      <c r="B71" s="2" t="s">
        <v>793</v>
      </c>
      <c r="C71" s="4" t="s">
        <v>792</v>
      </c>
      <c r="D71">
        <f>_xlfn.IFNA(VLOOKUP(A71,'Prior Year data'!$A$1:$T$318,12,FALSE),0)</f>
        <v>721882.92358886113</v>
      </c>
      <c r="E71">
        <f>VLOOKUP(A71,'Basic HH'!$B$1:$Y$319,23,FALSE)</f>
        <v>386580.69648511102</v>
      </c>
      <c r="F71">
        <f>VLOOKUP(A71,'Conc. HH'!$B$1:$Y$319,23,FALSE)</f>
        <v>0</v>
      </c>
      <c r="G71">
        <f>VLOOKUP(A71,'Targeted HH'!$B$1:$Y$319,23,FALSE)</f>
        <v>186485.3803651327</v>
      </c>
      <c r="H71">
        <f>VLOOKUP(A71,'EFIG HH'!$B$1:$Y$319,23,FALSE)</f>
        <v>252852.53021371973</v>
      </c>
      <c r="I71">
        <f t="shared" si="23"/>
        <v>825918.60706396343</v>
      </c>
      <c r="J71">
        <f t="shared" si="24"/>
        <v>825918.60706396343</v>
      </c>
      <c r="K71" s="43">
        <f t="shared" si="25"/>
        <v>750916.03482614947</v>
      </c>
      <c r="L71">
        <f t="shared" si="26"/>
        <v>0</v>
      </c>
      <c r="M71">
        <f t="shared" si="27"/>
        <v>29033.111237288336</v>
      </c>
      <c r="N71" s="43">
        <f t="shared" si="28"/>
        <v>746766.42796790111</v>
      </c>
      <c r="O71">
        <f t="shared" si="29"/>
        <v>0</v>
      </c>
      <c r="P71">
        <f t="shared" si="30"/>
        <v>24883.50437903998</v>
      </c>
      <c r="Q71" s="43">
        <f t="shared" si="31"/>
        <v>746766.42796790111</v>
      </c>
      <c r="R71">
        <f t="shared" si="32"/>
        <v>0</v>
      </c>
      <c r="S71">
        <f t="shared" si="33"/>
        <v>24883.50437903998</v>
      </c>
      <c r="T71" s="43">
        <f t="shared" si="34"/>
        <v>746766.42796790111</v>
      </c>
      <c r="U71">
        <f t="shared" si="35"/>
        <v>0</v>
      </c>
      <c r="V71">
        <f t="shared" si="36"/>
        <v>24883.50437903998</v>
      </c>
      <c r="W71" s="43">
        <f t="shared" si="37"/>
        <v>746766.42796790111</v>
      </c>
      <c r="X71" s="43">
        <f t="shared" si="38"/>
        <v>79152.179096062318</v>
      </c>
      <c r="Y71" s="27">
        <f t="shared" si="39"/>
        <v>5719.6501392539412</v>
      </c>
      <c r="Z71" s="27">
        <f t="shared" si="40"/>
        <v>741046.77782864717</v>
      </c>
      <c r="AA71">
        <f t="shared" si="41"/>
        <v>0</v>
      </c>
      <c r="AB71" s="27">
        <f t="shared" si="42"/>
        <v>741046.77782864717</v>
      </c>
      <c r="AD71" s="27">
        <f t="shared" si="43"/>
        <v>0</v>
      </c>
      <c r="AE71" s="27">
        <f t="shared" si="44"/>
        <v>741046.77782864717</v>
      </c>
      <c r="AF71" s="50"/>
      <c r="AG71" t="str">
        <f t="shared" si="45"/>
        <v>5302460</v>
      </c>
    </row>
    <row r="72" spans="1:33" x14ac:dyDescent="0.25">
      <c r="A72" s="7" t="s">
        <v>386</v>
      </c>
      <c r="B72" s="2" t="s">
        <v>795</v>
      </c>
      <c r="C72" s="4" t="s">
        <v>794</v>
      </c>
      <c r="D72">
        <f>_xlfn.IFNA(VLOOKUP(A72,'Prior Year data'!$A$1:$T$318,12,FALSE),0)</f>
        <v>624000.19189879391</v>
      </c>
      <c r="E72">
        <f>VLOOKUP(A72,'Basic HH'!$B$1:$Y$319,23,FALSE)</f>
        <v>253975.4775030223</v>
      </c>
      <c r="F72">
        <f>VLOOKUP(A72,'Conc. HH'!$B$1:$Y$319,23,FALSE)</f>
        <v>66918.352592379961</v>
      </c>
      <c r="G72">
        <f>VLOOKUP(A72,'Targeted HH'!$B$1:$Y$319,23,FALSE)</f>
        <v>143880.5607569252</v>
      </c>
      <c r="H72">
        <f>VLOOKUP(A72,'EFIG HH'!$B$1:$Y$319,23,FALSE)</f>
        <v>197766.42733211923</v>
      </c>
      <c r="I72">
        <f t="shared" si="23"/>
        <v>662540.81818444666</v>
      </c>
      <c r="J72">
        <f t="shared" si="24"/>
        <v>662540.81818444666</v>
      </c>
      <c r="K72" s="43">
        <f t="shared" si="25"/>
        <v>602374.76168521238</v>
      </c>
      <c r="L72">
        <f t="shared" si="26"/>
        <v>21625.430213581538</v>
      </c>
      <c r="M72">
        <f t="shared" si="27"/>
        <v>0</v>
      </c>
      <c r="N72" s="43">
        <f t="shared" si="28"/>
        <v>624000.19189879391</v>
      </c>
      <c r="O72">
        <f t="shared" si="29"/>
        <v>0</v>
      </c>
      <c r="P72">
        <f t="shared" si="30"/>
        <v>0</v>
      </c>
      <c r="Q72" s="43">
        <f t="shared" si="31"/>
        <v>624000.19189879391</v>
      </c>
      <c r="R72">
        <f t="shared" si="32"/>
        <v>0</v>
      </c>
      <c r="S72">
        <f t="shared" si="33"/>
        <v>0</v>
      </c>
      <c r="T72" s="43">
        <f t="shared" si="34"/>
        <v>624000.19189879391</v>
      </c>
      <c r="U72">
        <f t="shared" si="35"/>
        <v>0</v>
      </c>
      <c r="V72">
        <f t="shared" si="36"/>
        <v>0</v>
      </c>
      <c r="W72" s="43">
        <f t="shared" si="37"/>
        <v>624000.19189879391</v>
      </c>
      <c r="X72" s="43">
        <f t="shared" si="38"/>
        <v>38540.626285652746</v>
      </c>
      <c r="Y72" s="27">
        <f t="shared" si="39"/>
        <v>4779.356236193622</v>
      </c>
      <c r="Z72" s="27">
        <f t="shared" si="40"/>
        <v>619220.83566260024</v>
      </c>
      <c r="AA72">
        <f t="shared" si="41"/>
        <v>0</v>
      </c>
      <c r="AB72" s="27">
        <f t="shared" si="42"/>
        <v>619220.83566260024</v>
      </c>
      <c r="AD72" s="27">
        <f t="shared" si="43"/>
        <v>0</v>
      </c>
      <c r="AE72" s="27">
        <f t="shared" si="44"/>
        <v>619220.83566260024</v>
      </c>
      <c r="AF72" s="50"/>
      <c r="AG72" t="str">
        <f t="shared" si="45"/>
        <v>5302490</v>
      </c>
    </row>
    <row r="73" spans="1:33" hidden="1" x14ac:dyDescent="0.25">
      <c r="A73" s="7" t="s">
        <v>388</v>
      </c>
      <c r="B73" s="2" t="s">
        <v>797</v>
      </c>
      <c r="C73" s="4" t="s">
        <v>796</v>
      </c>
      <c r="D73">
        <f>_xlfn.IFNA(VLOOKUP(A73,'Prior Year data'!$A$1:$T$318,12,FALSE),0)</f>
        <v>45515.331269759947</v>
      </c>
      <c r="E73">
        <f>VLOOKUP(A73,'Basic HH'!$B$1:$Y$319,23,FALSE)</f>
        <v>19111.854657690888</v>
      </c>
      <c r="F73">
        <f>VLOOKUP(A73,'Conc. HH'!$B$1:$Y$319,23,FALSE)</f>
        <v>5142.2422648754064</v>
      </c>
      <c r="G73">
        <f>VLOOKUP(A73,'Targeted HH'!$B$1:$Y$319,23,FALSE)</f>
        <v>12387.34377428775</v>
      </c>
      <c r="H73">
        <f>VLOOKUP(A73,'EFIG HH'!$B$1:$Y$319,23,FALSE)</f>
        <v>16795.800345437965</v>
      </c>
      <c r="I73">
        <f t="shared" si="23"/>
        <v>53437.241042292007</v>
      </c>
      <c r="J73">
        <f t="shared" si="24"/>
        <v>53437.241042292007</v>
      </c>
      <c r="K73" s="43">
        <f t="shared" si="25"/>
        <v>48584.546724492735</v>
      </c>
      <c r="L73">
        <f t="shared" si="26"/>
        <v>0</v>
      </c>
      <c r="M73">
        <f t="shared" si="27"/>
        <v>3069.2154547327882</v>
      </c>
      <c r="N73" s="43">
        <f t="shared" si="28"/>
        <v>48145.873879673971</v>
      </c>
      <c r="O73">
        <f t="shared" si="29"/>
        <v>0</v>
      </c>
      <c r="P73">
        <f t="shared" si="30"/>
        <v>2630.5426099140241</v>
      </c>
      <c r="Q73" s="43">
        <f t="shared" si="31"/>
        <v>48145.873879673971</v>
      </c>
      <c r="R73">
        <f t="shared" si="32"/>
        <v>0</v>
      </c>
      <c r="S73">
        <f t="shared" si="33"/>
        <v>2630.5426099140241</v>
      </c>
      <c r="T73" s="43">
        <f t="shared" si="34"/>
        <v>48145.873879673971</v>
      </c>
      <c r="U73">
        <f t="shared" si="35"/>
        <v>0</v>
      </c>
      <c r="V73">
        <f t="shared" si="36"/>
        <v>2630.5426099140241</v>
      </c>
      <c r="W73" s="43">
        <f t="shared" si="37"/>
        <v>48145.873879673971</v>
      </c>
      <c r="X73" s="43">
        <f t="shared" si="38"/>
        <v>5291.3671626180367</v>
      </c>
      <c r="Y73" s="27">
        <f t="shared" si="39"/>
        <v>368.7599548224693</v>
      </c>
      <c r="Z73" s="27">
        <f t="shared" si="40"/>
        <v>47777.113924851503</v>
      </c>
      <c r="AA73">
        <f t="shared" si="41"/>
        <v>0</v>
      </c>
      <c r="AB73" s="27">
        <f t="shared" si="42"/>
        <v>47777.113924851503</v>
      </c>
      <c r="AD73" s="27">
        <f t="shared" si="43"/>
        <v>0</v>
      </c>
      <c r="AE73" s="27">
        <f t="shared" si="44"/>
        <v>47777.113924851503</v>
      </c>
      <c r="AF73" s="50"/>
      <c r="AG73" t="str">
        <f t="shared" si="45"/>
        <v>5302520</v>
      </c>
    </row>
    <row r="74" spans="1:33" hidden="1" x14ac:dyDescent="0.25">
      <c r="A74" s="7" t="s">
        <v>390</v>
      </c>
      <c r="B74" s="2" t="s">
        <v>799</v>
      </c>
      <c r="C74" s="4" t="s">
        <v>798</v>
      </c>
      <c r="D74">
        <f>_xlfn.IFNA(VLOOKUP(A74,'Prior Year data'!$A$1:$T$318,12,FALSE),0)</f>
        <v>133403.37785459255</v>
      </c>
      <c r="E74">
        <f>VLOOKUP(A74,'Basic HH'!$B$1:$Y$319,23,FALSE)</f>
        <v>60810.446638107351</v>
      </c>
      <c r="F74">
        <f>VLOOKUP(A74,'Conc. HH'!$B$1:$Y$319,23,FALSE)</f>
        <v>16361.67993369448</v>
      </c>
      <c r="G74">
        <f>VLOOKUP(A74,'Targeted HH'!$B$1:$Y$319,23,FALSE)</f>
        <v>31307.899025171846</v>
      </c>
      <c r="H74">
        <f>VLOOKUP(A74,'EFIG HH'!$B$1:$Y$319,23,FALSE)</f>
        <v>42449.877136162126</v>
      </c>
      <c r="I74">
        <f t="shared" si="23"/>
        <v>150929.90273313579</v>
      </c>
      <c r="J74">
        <f t="shared" si="24"/>
        <v>150929.90273313579</v>
      </c>
      <c r="K74" s="43">
        <f t="shared" si="25"/>
        <v>137223.79315312539</v>
      </c>
      <c r="L74">
        <f t="shared" si="26"/>
        <v>0</v>
      </c>
      <c r="M74">
        <f t="shared" si="27"/>
        <v>3820.4152985328401</v>
      </c>
      <c r="N74" s="43">
        <f t="shared" si="28"/>
        <v>136677.75379156403</v>
      </c>
      <c r="O74">
        <f t="shared" si="29"/>
        <v>0</v>
      </c>
      <c r="P74">
        <f t="shared" si="30"/>
        <v>3274.3759369714826</v>
      </c>
      <c r="Q74" s="43">
        <f t="shared" si="31"/>
        <v>136677.75379156403</v>
      </c>
      <c r="R74">
        <f t="shared" si="32"/>
        <v>0</v>
      </c>
      <c r="S74">
        <f t="shared" si="33"/>
        <v>3274.3759369714826</v>
      </c>
      <c r="T74" s="43">
        <f t="shared" si="34"/>
        <v>136677.75379156403</v>
      </c>
      <c r="U74">
        <f t="shared" si="35"/>
        <v>0</v>
      </c>
      <c r="V74">
        <f t="shared" si="36"/>
        <v>3274.3759369714826</v>
      </c>
      <c r="W74" s="43">
        <f t="shared" si="37"/>
        <v>136677.75379156403</v>
      </c>
      <c r="X74" s="43">
        <f t="shared" si="38"/>
        <v>14252.148941571766</v>
      </c>
      <c r="Y74" s="27">
        <f t="shared" si="39"/>
        <v>1046.8453109684222</v>
      </c>
      <c r="Z74" s="27">
        <f t="shared" si="40"/>
        <v>135630.90848059559</v>
      </c>
      <c r="AA74">
        <f t="shared" si="41"/>
        <v>0</v>
      </c>
      <c r="AB74" s="27">
        <f t="shared" si="42"/>
        <v>135630.90848059559</v>
      </c>
      <c r="AD74" s="27">
        <f t="shared" si="43"/>
        <v>0</v>
      </c>
      <c r="AE74" s="27">
        <f t="shared" si="44"/>
        <v>135630.90848059559</v>
      </c>
      <c r="AF74" s="50"/>
      <c r="AG74" t="str">
        <f t="shared" si="45"/>
        <v>5302550</v>
      </c>
    </row>
    <row r="75" spans="1:33" hidden="1" x14ac:dyDescent="0.25">
      <c r="A75" s="7" t="s">
        <v>123</v>
      </c>
      <c r="B75" s="2" t="s">
        <v>801</v>
      </c>
      <c r="C75" s="4" t="s">
        <v>800</v>
      </c>
      <c r="D75">
        <f>_xlfn.IFNA(VLOOKUP(A75,'Prior Year data'!$A$1:$T$318,12,FALSE),0)</f>
        <v>540646.53239475214</v>
      </c>
      <c r="E75">
        <f>VLOOKUP(A75,'Basic HH'!$B$1:$Y$319,23,FALSE)</f>
        <v>252797.71388127489</v>
      </c>
      <c r="F75">
        <f>VLOOKUP(A75,'Conc. HH'!$B$1:$Y$319,23,FALSE)</f>
        <v>0</v>
      </c>
      <c r="G75">
        <f>VLOOKUP(A75,'Targeted HH'!$B$1:$Y$319,23,FALSE)</f>
        <v>121948.8667106823</v>
      </c>
      <c r="H75">
        <f>VLOOKUP(A75,'EFIG HH'!$B$1:$Y$319,23,FALSE)</f>
        <v>165348.50852178081</v>
      </c>
      <c r="I75">
        <f t="shared" si="23"/>
        <v>540095.08911373804</v>
      </c>
      <c r="J75">
        <f t="shared" si="24"/>
        <v>0</v>
      </c>
      <c r="K75" s="43">
        <f t="shared" si="25"/>
        <v>540095.08911373804</v>
      </c>
      <c r="L75">
        <f t="shared" si="26"/>
        <v>0</v>
      </c>
      <c r="M75">
        <f t="shared" si="27"/>
        <v>0</v>
      </c>
      <c r="N75" s="43">
        <f t="shared" si="28"/>
        <v>540095.08911373804</v>
      </c>
      <c r="O75">
        <f t="shared" si="29"/>
        <v>0</v>
      </c>
      <c r="P75">
        <f t="shared" si="30"/>
        <v>0</v>
      </c>
      <c r="Q75" s="43">
        <f t="shared" si="31"/>
        <v>540095.08911373804</v>
      </c>
      <c r="R75">
        <f t="shared" si="32"/>
        <v>0</v>
      </c>
      <c r="S75">
        <f t="shared" si="33"/>
        <v>0</v>
      </c>
      <c r="T75" s="43">
        <f t="shared" si="34"/>
        <v>540095.08911373804</v>
      </c>
      <c r="U75">
        <f t="shared" si="35"/>
        <v>0</v>
      </c>
      <c r="V75">
        <f t="shared" si="36"/>
        <v>0</v>
      </c>
      <c r="W75" s="43">
        <f t="shared" si="37"/>
        <v>540095.08911373804</v>
      </c>
      <c r="X75" s="43">
        <f t="shared" si="38"/>
        <v>0</v>
      </c>
      <c r="Y75" s="27">
        <f t="shared" si="39"/>
        <v>4136.7083949742664</v>
      </c>
      <c r="Z75" s="27">
        <f t="shared" si="40"/>
        <v>535958.3807187638</v>
      </c>
      <c r="AA75">
        <f t="shared" si="41"/>
        <v>0</v>
      </c>
      <c r="AB75" s="27">
        <f t="shared" si="42"/>
        <v>535958.3807187638</v>
      </c>
      <c r="AD75" s="27">
        <f t="shared" si="43"/>
        <v>0</v>
      </c>
      <c r="AE75" s="27">
        <f t="shared" si="44"/>
        <v>535958.3807187638</v>
      </c>
      <c r="AF75" s="50"/>
      <c r="AG75" t="str">
        <f t="shared" si="45"/>
        <v>5300001</v>
      </c>
    </row>
    <row r="76" spans="1:33" hidden="1" x14ac:dyDescent="0.25">
      <c r="A76" s="7" t="s">
        <v>392</v>
      </c>
      <c r="B76" s="2" t="s">
        <v>803</v>
      </c>
      <c r="C76" s="4" t="s">
        <v>802</v>
      </c>
      <c r="D76">
        <f>_xlfn.IFNA(VLOOKUP(A76,'Prior Year data'!$A$1:$T$318,12,FALSE),0)</f>
        <v>806472.08796230936</v>
      </c>
      <c r="E76">
        <f>VLOOKUP(A76,'Basic HH'!$B$1:$Y$319,23,FALSE)</f>
        <v>373549.88649123081</v>
      </c>
      <c r="F76">
        <f>VLOOKUP(A76,'Conc. HH'!$B$1:$Y$319,23,FALSE)</f>
        <v>89598.505630549393</v>
      </c>
      <c r="G76">
        <f>VLOOKUP(A76,'Targeted HH'!$B$1:$Y$319,23,FALSE)</f>
        <v>180199.35630788107</v>
      </c>
      <c r="H76">
        <f>VLOOKUP(A76,'EFIG HH'!$B$1:$Y$319,23,FALSE)</f>
        <v>244329.41121775174</v>
      </c>
      <c r="I76">
        <f t="shared" si="23"/>
        <v>887677.15964741306</v>
      </c>
      <c r="J76">
        <f t="shared" si="24"/>
        <v>887677.15964741306</v>
      </c>
      <c r="K76" s="43">
        <f t="shared" si="25"/>
        <v>807066.22568748053</v>
      </c>
      <c r="L76">
        <f t="shared" si="26"/>
        <v>0</v>
      </c>
      <c r="M76">
        <f t="shared" si="27"/>
        <v>594.1377251711674</v>
      </c>
      <c r="N76" s="43">
        <f t="shared" si="28"/>
        <v>806981.30754147249</v>
      </c>
      <c r="O76">
        <f t="shared" si="29"/>
        <v>0</v>
      </c>
      <c r="P76">
        <f t="shared" si="30"/>
        <v>509.21957916312385</v>
      </c>
      <c r="Q76" s="43">
        <f t="shared" si="31"/>
        <v>806981.30754147249</v>
      </c>
      <c r="R76">
        <f t="shared" si="32"/>
        <v>0</v>
      </c>
      <c r="S76">
        <f t="shared" si="33"/>
        <v>509.21957916312385</v>
      </c>
      <c r="T76" s="43">
        <f t="shared" si="34"/>
        <v>806981.30754147249</v>
      </c>
      <c r="U76">
        <f t="shared" si="35"/>
        <v>0</v>
      </c>
      <c r="V76">
        <f t="shared" si="36"/>
        <v>509.21957916312385</v>
      </c>
      <c r="W76" s="43">
        <f t="shared" si="37"/>
        <v>806981.30754147249</v>
      </c>
      <c r="X76" s="43">
        <f t="shared" si="38"/>
        <v>80695.852105940576</v>
      </c>
      <c r="Y76" s="27">
        <f t="shared" si="39"/>
        <v>6180.849292616178</v>
      </c>
      <c r="Z76" s="27">
        <f t="shared" si="40"/>
        <v>800800.45824885636</v>
      </c>
      <c r="AA76">
        <f t="shared" si="41"/>
        <v>0</v>
      </c>
      <c r="AB76" s="27">
        <f t="shared" si="42"/>
        <v>800800.45824885636</v>
      </c>
      <c r="AD76" s="27">
        <f t="shared" si="43"/>
        <v>0</v>
      </c>
      <c r="AE76" s="27">
        <f t="shared" si="44"/>
        <v>800800.45824885636</v>
      </c>
      <c r="AF76" s="50"/>
      <c r="AG76" t="str">
        <f t="shared" si="45"/>
        <v>5302610</v>
      </c>
    </row>
    <row r="77" spans="1:33" hidden="1" x14ac:dyDescent="0.25">
      <c r="A77" s="7" t="s">
        <v>394</v>
      </c>
      <c r="B77" s="2" t="s">
        <v>805</v>
      </c>
      <c r="C77" s="4" t="s">
        <v>804</v>
      </c>
      <c r="D77">
        <f>_xlfn.IFNA(VLOOKUP(A77,'Prior Year data'!$A$1:$T$318,12,FALSE),0)</f>
        <v>76495.534620375431</v>
      </c>
      <c r="E77">
        <f>VLOOKUP(A77,'Basic HH'!$B$1:$Y$319,23,FALSE)</f>
        <v>23296.575491200263</v>
      </c>
      <c r="F77">
        <f>VLOOKUP(A77,'Conc. HH'!$B$1:$Y$319,23,FALSE)</f>
        <v>5916.8666470503276</v>
      </c>
      <c r="G77">
        <f>VLOOKUP(A77,'Targeted HH'!$B$1:$Y$319,23,FALSE)</f>
        <v>15667.910951663496</v>
      </c>
      <c r="H77">
        <f>VLOOKUP(A77,'EFIG HH'!$B$1:$Y$319,23,FALSE)</f>
        <v>20645.483726925377</v>
      </c>
      <c r="I77">
        <f t="shared" si="23"/>
        <v>65526.836816839466</v>
      </c>
      <c r="J77">
        <f t="shared" si="24"/>
        <v>0</v>
      </c>
      <c r="K77" s="43">
        <f t="shared" si="25"/>
        <v>65526.836816839466</v>
      </c>
      <c r="L77">
        <f t="shared" si="26"/>
        <v>0</v>
      </c>
      <c r="M77">
        <f t="shared" si="27"/>
        <v>0</v>
      </c>
      <c r="N77" s="43">
        <f t="shared" si="28"/>
        <v>65526.836816839466</v>
      </c>
      <c r="O77">
        <f t="shared" si="29"/>
        <v>0</v>
      </c>
      <c r="P77">
        <f t="shared" si="30"/>
        <v>0</v>
      </c>
      <c r="Q77" s="43">
        <f t="shared" si="31"/>
        <v>65526.836816839466</v>
      </c>
      <c r="R77">
        <f t="shared" si="32"/>
        <v>0</v>
      </c>
      <c r="S77">
        <f t="shared" si="33"/>
        <v>0</v>
      </c>
      <c r="T77" s="43">
        <f t="shared" si="34"/>
        <v>65526.836816839466</v>
      </c>
      <c r="U77">
        <f t="shared" si="35"/>
        <v>0</v>
      </c>
      <c r="V77">
        <f t="shared" si="36"/>
        <v>0</v>
      </c>
      <c r="W77" s="43">
        <f t="shared" si="37"/>
        <v>65526.836816839466</v>
      </c>
      <c r="X77" s="43">
        <f t="shared" si="38"/>
        <v>0</v>
      </c>
      <c r="Y77" s="27">
        <f t="shared" si="39"/>
        <v>501.88461517235766</v>
      </c>
      <c r="Z77" s="27">
        <f t="shared" si="40"/>
        <v>65024.952201667111</v>
      </c>
      <c r="AA77">
        <f t="shared" si="41"/>
        <v>0</v>
      </c>
      <c r="AB77" s="27">
        <f t="shared" si="42"/>
        <v>65024.952201667111</v>
      </c>
      <c r="AD77" s="27">
        <f t="shared" si="43"/>
        <v>0</v>
      </c>
      <c r="AE77" s="27">
        <f t="shared" si="44"/>
        <v>65024.952201667111</v>
      </c>
      <c r="AF77" s="50"/>
      <c r="AG77" t="str">
        <f t="shared" si="45"/>
        <v>5302640</v>
      </c>
    </row>
    <row r="78" spans="1:33" hidden="1" x14ac:dyDescent="0.25">
      <c r="A78" s="7" t="s">
        <v>125</v>
      </c>
      <c r="B78" s="2" t="s">
        <v>807</v>
      </c>
      <c r="C78" s="4" t="s">
        <v>806</v>
      </c>
      <c r="D78">
        <f>_xlfn.IFNA(VLOOKUP(A78,'Prior Year data'!$A$1:$T$318,12,FALSE),0)</f>
        <v>4314292.1405457761</v>
      </c>
      <c r="E78">
        <f>VLOOKUP(A78,'Basic HH'!$B$1:$Y$319,23,FALSE)</f>
        <v>2124022.0290024639</v>
      </c>
      <c r="F78">
        <f>VLOOKUP(A78,'Conc. HH'!$B$1:$Y$319,23,FALSE)</f>
        <v>0</v>
      </c>
      <c r="G78">
        <f>VLOOKUP(A78,'Targeted HH'!$B$1:$Y$319,23,FALSE)</f>
        <v>1430489.5412952371</v>
      </c>
      <c r="H78">
        <f>VLOOKUP(A78,'EFIG HH'!$B$1:$Y$319,23,FALSE)</f>
        <v>1939577.7795158024</v>
      </c>
      <c r="I78">
        <f t="shared" si="23"/>
        <v>5494089.3498135041</v>
      </c>
      <c r="J78">
        <f t="shared" si="24"/>
        <v>5494089.3498135041</v>
      </c>
      <c r="K78" s="43">
        <f t="shared" si="25"/>
        <v>4995165.0855869707</v>
      </c>
      <c r="L78">
        <f t="shared" si="26"/>
        <v>0</v>
      </c>
      <c r="M78">
        <f t="shared" si="27"/>
        <v>680872.94504119456</v>
      </c>
      <c r="N78" s="43">
        <f t="shared" si="28"/>
        <v>4897850.1605950547</v>
      </c>
      <c r="O78">
        <f t="shared" si="29"/>
        <v>0</v>
      </c>
      <c r="P78">
        <f t="shared" si="30"/>
        <v>583558.02004927862</v>
      </c>
      <c r="Q78" s="43">
        <f t="shared" si="31"/>
        <v>4897850.1605950547</v>
      </c>
      <c r="R78">
        <f t="shared" si="32"/>
        <v>0</v>
      </c>
      <c r="S78">
        <f t="shared" si="33"/>
        <v>583558.02004927862</v>
      </c>
      <c r="T78" s="43">
        <f t="shared" si="34"/>
        <v>4897850.1605950547</v>
      </c>
      <c r="U78">
        <f t="shared" si="35"/>
        <v>0</v>
      </c>
      <c r="V78">
        <f t="shared" si="36"/>
        <v>583558.02004927862</v>
      </c>
      <c r="W78" s="43">
        <f t="shared" si="37"/>
        <v>4897850.1605950547</v>
      </c>
      <c r="X78" s="43">
        <f t="shared" si="38"/>
        <v>596239.18921844941</v>
      </c>
      <c r="Y78" s="27">
        <f t="shared" si="39"/>
        <v>37513.723573948067</v>
      </c>
      <c r="Z78" s="27">
        <f t="shared" si="40"/>
        <v>4860336.4370211065</v>
      </c>
      <c r="AA78">
        <f t="shared" si="41"/>
        <v>0</v>
      </c>
      <c r="AB78" s="27">
        <f t="shared" si="42"/>
        <v>4860336.4370211065</v>
      </c>
      <c r="AD78" s="27">
        <f t="shared" si="43"/>
        <v>0</v>
      </c>
      <c r="AE78" s="27">
        <f t="shared" si="44"/>
        <v>4860336.4370211065</v>
      </c>
      <c r="AF78" s="50"/>
      <c r="AG78" t="str">
        <f t="shared" si="45"/>
        <v>5302670</v>
      </c>
    </row>
    <row r="79" spans="1:33" x14ac:dyDescent="0.25">
      <c r="A79" s="7" t="s">
        <v>276</v>
      </c>
      <c r="B79" s="2" t="s">
        <v>809</v>
      </c>
      <c r="C79" s="4" t="s">
        <v>808</v>
      </c>
      <c r="D79">
        <f>_xlfn.IFNA(VLOOKUP(A79,'Prior Year data'!$A$1:$T$318,12,FALSE),0)</f>
        <v>5960011.5113981366</v>
      </c>
      <c r="E79">
        <f>VLOOKUP(A79,'Basic HH'!$B$1:$Y$319,23,FALSE)</f>
        <v>2297766.1622541994</v>
      </c>
      <c r="F79">
        <f>VLOOKUP(A79,'Conc. HH'!$B$1:$Y$319,23,FALSE)</f>
        <v>0</v>
      </c>
      <c r="G79">
        <f>VLOOKUP(A79,'Targeted HH'!$B$1:$Y$319,23,FALSE)</f>
        <v>1598116.8494886148</v>
      </c>
      <c r="H79">
        <f>VLOOKUP(A79,'EFIG HH'!$B$1:$Y$319,23,FALSE)</f>
        <v>2166860.9527416178</v>
      </c>
      <c r="I79">
        <f t="shared" si="23"/>
        <v>6062743.9644844327</v>
      </c>
      <c r="J79">
        <f t="shared" si="24"/>
        <v>6062743.9644844327</v>
      </c>
      <c r="K79" s="43">
        <f t="shared" si="25"/>
        <v>5512179.552608435</v>
      </c>
      <c r="L79">
        <f t="shared" si="26"/>
        <v>447831.95878970157</v>
      </c>
      <c r="M79">
        <f t="shared" si="27"/>
        <v>0</v>
      </c>
      <c r="N79" s="43">
        <f t="shared" si="28"/>
        <v>5960011.5113981366</v>
      </c>
      <c r="O79">
        <f t="shared" si="29"/>
        <v>0</v>
      </c>
      <c r="P79">
        <f t="shared" si="30"/>
        <v>0</v>
      </c>
      <c r="Q79" s="43">
        <f t="shared" si="31"/>
        <v>5960011.5113981366</v>
      </c>
      <c r="R79">
        <f t="shared" si="32"/>
        <v>0</v>
      </c>
      <c r="S79">
        <f t="shared" si="33"/>
        <v>0</v>
      </c>
      <c r="T79" s="43">
        <f t="shared" si="34"/>
        <v>5960011.5113981366</v>
      </c>
      <c r="U79">
        <f t="shared" si="35"/>
        <v>0</v>
      </c>
      <c r="V79">
        <f t="shared" si="36"/>
        <v>0</v>
      </c>
      <c r="W79" s="43">
        <f t="shared" si="37"/>
        <v>5960011.5113981366</v>
      </c>
      <c r="X79" s="43">
        <f t="shared" si="38"/>
        <v>102732.4530862961</v>
      </c>
      <c r="Y79" s="27">
        <f t="shared" si="39"/>
        <v>45649.053565365604</v>
      </c>
      <c r="Z79" s="27">
        <f t="shared" si="40"/>
        <v>5914362.4578327714</v>
      </c>
      <c r="AA79">
        <f t="shared" si="41"/>
        <v>0</v>
      </c>
      <c r="AB79" s="27">
        <f t="shared" si="42"/>
        <v>5914362.4578327714</v>
      </c>
      <c r="AD79" s="27">
        <f t="shared" si="43"/>
        <v>0</v>
      </c>
      <c r="AE79" s="27">
        <f t="shared" si="44"/>
        <v>5914362.4578327714</v>
      </c>
      <c r="AF79" s="50"/>
      <c r="AG79" t="str">
        <f t="shared" si="45"/>
        <v>5302700</v>
      </c>
    </row>
    <row r="80" spans="1:33" hidden="1" x14ac:dyDescent="0.25">
      <c r="A80" s="7" t="s">
        <v>396</v>
      </c>
      <c r="B80" s="2" t="s">
        <v>811</v>
      </c>
      <c r="C80" s="4" t="s">
        <v>810</v>
      </c>
      <c r="D80">
        <f>_xlfn.IFNA(VLOOKUP(A80,'Prior Year data'!$A$1:$T$318,12,FALSE),0)</f>
        <v>41228.250915467215</v>
      </c>
      <c r="E80">
        <f>VLOOKUP(A80,'Basic HH'!$B$1:$Y$319,23,FALSE)</f>
        <v>15636.971992656177</v>
      </c>
      <c r="F80">
        <f>VLOOKUP(A80,'Conc. HH'!$B$1:$Y$319,23,FALSE)</f>
        <v>4207.2891258071513</v>
      </c>
      <c r="G80">
        <f>VLOOKUP(A80,'Targeted HH'!$B$1:$Y$319,23,FALSE)</f>
        <v>12360.051953172513</v>
      </c>
      <c r="H80">
        <f>VLOOKUP(A80,'EFIG HH'!$B$1:$Y$319,23,FALSE)</f>
        <v>16758.795803797144</v>
      </c>
      <c r="I80">
        <f t="shared" si="23"/>
        <v>48963.108875432983</v>
      </c>
      <c r="J80">
        <f t="shared" si="24"/>
        <v>48963.108875432983</v>
      </c>
      <c r="K80" s="43">
        <f t="shared" si="25"/>
        <v>44516.7153942734</v>
      </c>
      <c r="L80">
        <f t="shared" si="26"/>
        <v>0</v>
      </c>
      <c r="M80">
        <f t="shared" si="27"/>
        <v>3288.4644788061851</v>
      </c>
      <c r="N80" s="43">
        <f t="shared" si="28"/>
        <v>44046.706009373782</v>
      </c>
      <c r="O80">
        <f t="shared" si="29"/>
        <v>0</v>
      </c>
      <c r="P80">
        <f t="shared" si="30"/>
        <v>2818.4550939065666</v>
      </c>
      <c r="Q80" s="43">
        <f t="shared" si="31"/>
        <v>44046.706009373782</v>
      </c>
      <c r="R80">
        <f t="shared" si="32"/>
        <v>0</v>
      </c>
      <c r="S80">
        <f t="shared" si="33"/>
        <v>2818.4550939065666</v>
      </c>
      <c r="T80" s="43">
        <f t="shared" si="34"/>
        <v>44046.706009373782</v>
      </c>
      <c r="U80">
        <f t="shared" si="35"/>
        <v>0</v>
      </c>
      <c r="V80">
        <f t="shared" si="36"/>
        <v>2818.4550939065666</v>
      </c>
      <c r="W80" s="43">
        <f t="shared" si="37"/>
        <v>44046.706009373782</v>
      </c>
      <c r="X80" s="43">
        <f t="shared" si="38"/>
        <v>4916.4028660592012</v>
      </c>
      <c r="Y80" s="27">
        <f t="shared" si="39"/>
        <v>337.36351652249317</v>
      </c>
      <c r="Z80" s="27">
        <f t="shared" si="40"/>
        <v>43709.34249285129</v>
      </c>
      <c r="AA80">
        <f t="shared" si="41"/>
        <v>0</v>
      </c>
      <c r="AB80" s="27">
        <f t="shared" si="42"/>
        <v>43709.34249285129</v>
      </c>
      <c r="AD80" s="27">
        <f t="shared" si="43"/>
        <v>0</v>
      </c>
      <c r="AE80" s="27">
        <f t="shared" si="44"/>
        <v>43709.34249285129</v>
      </c>
      <c r="AF80" s="50"/>
      <c r="AG80" t="str">
        <f t="shared" si="45"/>
        <v>5302730</v>
      </c>
    </row>
    <row r="81" spans="1:33" hidden="1" x14ac:dyDescent="0.25">
      <c r="A81" s="7" t="s">
        <v>398</v>
      </c>
      <c r="B81" s="2" t="s">
        <v>813</v>
      </c>
      <c r="C81" s="4" t="s">
        <v>812</v>
      </c>
      <c r="D81">
        <f>_xlfn.IFNA(VLOOKUP(A81,'Prior Year data'!$A$1:$T$318,12,FALSE),0)</f>
        <v>10006048.192744821</v>
      </c>
      <c r="E81">
        <f>VLOOKUP(A81,'Basic HH'!$B$1:$Y$319,23,FALSE)</f>
        <v>3685113.0662693065</v>
      </c>
      <c r="F81">
        <f>VLOOKUP(A81,'Conc. HH'!$B$1:$Y$319,23,FALSE)</f>
        <v>991517.80398188543</v>
      </c>
      <c r="G81">
        <f>VLOOKUP(A81,'Targeted HH'!$B$1:$Y$319,23,FALSE)</f>
        <v>2936620.9054127363</v>
      </c>
      <c r="H81">
        <f>VLOOKUP(A81,'EFIG HH'!$B$1:$Y$319,23,FALSE)</f>
        <v>3981717.0909497533</v>
      </c>
      <c r="I81">
        <f t="shared" si="23"/>
        <v>11594968.866613682</v>
      </c>
      <c r="J81">
        <f t="shared" si="24"/>
        <v>11594968.866613682</v>
      </c>
      <c r="K81" s="43">
        <f t="shared" si="25"/>
        <v>10542017.0592862</v>
      </c>
      <c r="L81">
        <f t="shared" si="26"/>
        <v>0</v>
      </c>
      <c r="M81">
        <f t="shared" si="27"/>
        <v>535968.8665413782</v>
      </c>
      <c r="N81" s="43">
        <f t="shared" si="28"/>
        <v>10465412.796441946</v>
      </c>
      <c r="O81">
        <f t="shared" si="29"/>
        <v>0</v>
      </c>
      <c r="P81">
        <f t="shared" si="30"/>
        <v>459364.60369712487</v>
      </c>
      <c r="Q81" s="43">
        <f t="shared" si="31"/>
        <v>10465412.796441946</v>
      </c>
      <c r="R81">
        <f t="shared" si="32"/>
        <v>0</v>
      </c>
      <c r="S81">
        <f t="shared" si="33"/>
        <v>459364.60369712487</v>
      </c>
      <c r="T81" s="43">
        <f t="shared" si="34"/>
        <v>10465412.796441946</v>
      </c>
      <c r="U81">
        <f t="shared" si="35"/>
        <v>0</v>
      </c>
      <c r="V81">
        <f t="shared" si="36"/>
        <v>459364.60369712487</v>
      </c>
      <c r="W81" s="43">
        <f t="shared" si="37"/>
        <v>10465412.796441946</v>
      </c>
      <c r="X81" s="43">
        <f t="shared" si="38"/>
        <v>1129556.0701717362</v>
      </c>
      <c r="Y81" s="27">
        <f t="shared" si="39"/>
        <v>80156.92392788193</v>
      </c>
      <c r="Z81" s="27">
        <f t="shared" si="40"/>
        <v>10385255.872514063</v>
      </c>
      <c r="AA81">
        <f t="shared" si="41"/>
        <v>0</v>
      </c>
      <c r="AB81" s="27">
        <f t="shared" si="42"/>
        <v>10385255.872514063</v>
      </c>
      <c r="AD81" s="27">
        <f t="shared" si="43"/>
        <v>0</v>
      </c>
      <c r="AE81" s="27">
        <f t="shared" si="44"/>
        <v>10385255.872514063</v>
      </c>
      <c r="AF81" s="50"/>
      <c r="AG81" t="str">
        <f t="shared" si="45"/>
        <v>5302820</v>
      </c>
    </row>
    <row r="82" spans="1:33" hidden="1" x14ac:dyDescent="0.25">
      <c r="A82" s="7" t="s">
        <v>127</v>
      </c>
      <c r="B82" s="2" t="s">
        <v>815</v>
      </c>
      <c r="C82" s="4" t="s">
        <v>814</v>
      </c>
      <c r="D82">
        <f>_xlfn.IFNA(VLOOKUP(A82,'Prior Year data'!$A$1:$T$318,12,FALSE),0)</f>
        <v>1832944.1968441755</v>
      </c>
      <c r="E82">
        <f>VLOOKUP(A82,'Basic HH'!$B$1:$Y$319,23,FALSE)</f>
        <v>681945.72301306087</v>
      </c>
      <c r="F82">
        <f>VLOOKUP(A82,'Conc. HH'!$B$1:$Y$319,23,FALSE)</f>
        <v>157618.98088599634</v>
      </c>
      <c r="G82">
        <f>VLOOKUP(A82,'Targeted HH'!$B$1:$Y$319,23,FALSE)</f>
        <v>348664.80104222556</v>
      </c>
      <c r="H82">
        <f>VLOOKUP(A82,'EFIG HH'!$B$1:$Y$319,23,FALSE)</f>
        <v>472749.00030969619</v>
      </c>
      <c r="I82">
        <f t="shared" si="23"/>
        <v>1660978.505250979</v>
      </c>
      <c r="J82">
        <f t="shared" si="24"/>
        <v>0</v>
      </c>
      <c r="K82" s="43">
        <f t="shared" si="25"/>
        <v>1660978.505250979</v>
      </c>
      <c r="L82">
        <f t="shared" si="26"/>
        <v>0</v>
      </c>
      <c r="M82">
        <f t="shared" si="27"/>
        <v>0</v>
      </c>
      <c r="N82" s="43">
        <f t="shared" si="28"/>
        <v>1660978.505250979</v>
      </c>
      <c r="O82">
        <f t="shared" si="29"/>
        <v>0</v>
      </c>
      <c r="P82">
        <f t="shared" si="30"/>
        <v>0</v>
      </c>
      <c r="Q82" s="43">
        <f t="shared" si="31"/>
        <v>1660978.505250979</v>
      </c>
      <c r="R82">
        <f t="shared" si="32"/>
        <v>0</v>
      </c>
      <c r="S82">
        <f t="shared" si="33"/>
        <v>0</v>
      </c>
      <c r="T82" s="43">
        <f t="shared" si="34"/>
        <v>1660978.505250979</v>
      </c>
      <c r="U82">
        <f t="shared" si="35"/>
        <v>0</v>
      </c>
      <c r="V82">
        <f t="shared" si="36"/>
        <v>0</v>
      </c>
      <c r="W82" s="43">
        <f t="shared" si="37"/>
        <v>1660978.505250979</v>
      </c>
      <c r="X82" s="43">
        <f t="shared" si="38"/>
        <v>0</v>
      </c>
      <c r="Y82" s="27">
        <f t="shared" si="39"/>
        <v>12721.803743519284</v>
      </c>
      <c r="Z82" s="27">
        <f t="shared" si="40"/>
        <v>1648256.7015074596</v>
      </c>
      <c r="AA82">
        <f t="shared" si="41"/>
        <v>0</v>
      </c>
      <c r="AB82" s="27">
        <f t="shared" si="42"/>
        <v>1648256.7015074596</v>
      </c>
      <c r="AD82" s="27">
        <f t="shared" si="43"/>
        <v>0</v>
      </c>
      <c r="AE82" s="27">
        <f t="shared" si="44"/>
        <v>1648256.7015074596</v>
      </c>
      <c r="AF82" s="50"/>
      <c r="AG82" t="str">
        <f t="shared" si="45"/>
        <v>5302850</v>
      </c>
    </row>
    <row r="83" spans="1:33" hidden="1" x14ac:dyDescent="0.25">
      <c r="A83" s="7" t="s">
        <v>129</v>
      </c>
      <c r="B83" s="2" t="s">
        <v>817</v>
      </c>
      <c r="C83" s="4" t="s">
        <v>816</v>
      </c>
      <c r="D83">
        <f>_xlfn.IFNA(VLOOKUP(A83,'Prior Year data'!$A$1:$T$318,12,FALSE),0)</f>
        <v>623118.03733632446</v>
      </c>
      <c r="E83">
        <f>VLOOKUP(A83,'Basic HH'!$B$1:$Y$319,23,FALSE)</f>
        <v>345750.82517095329</v>
      </c>
      <c r="F83">
        <f>VLOOKUP(A83,'Conc. HH'!$B$1:$Y$319,23,FALSE)</f>
        <v>0</v>
      </c>
      <c r="G83">
        <f>VLOOKUP(A83,'Targeted HH'!$B$1:$Y$319,23,FALSE)</f>
        <v>166789.17165241082</v>
      </c>
      <c r="H83">
        <f>VLOOKUP(A83,'EFIG HH'!$B$1:$Y$319,23,FALSE)</f>
        <v>226146.75735968637</v>
      </c>
      <c r="I83">
        <f t="shared" si="23"/>
        <v>738686.75418305048</v>
      </c>
      <c r="J83">
        <f t="shared" si="24"/>
        <v>738686.75418305048</v>
      </c>
      <c r="K83" s="43">
        <f t="shared" si="25"/>
        <v>671605.80193439883</v>
      </c>
      <c r="L83">
        <f t="shared" si="26"/>
        <v>0</v>
      </c>
      <c r="M83">
        <f t="shared" si="27"/>
        <v>48487.764598074369</v>
      </c>
      <c r="N83" s="43">
        <f t="shared" si="28"/>
        <v>664675.60561913508</v>
      </c>
      <c r="O83">
        <f t="shared" si="29"/>
        <v>0</v>
      </c>
      <c r="P83">
        <f t="shared" si="30"/>
        <v>41557.568282810622</v>
      </c>
      <c r="Q83" s="43">
        <f t="shared" si="31"/>
        <v>664675.60561913508</v>
      </c>
      <c r="R83">
        <f t="shared" si="32"/>
        <v>0</v>
      </c>
      <c r="S83">
        <f t="shared" si="33"/>
        <v>41557.568282810622</v>
      </c>
      <c r="T83" s="43">
        <f t="shared" si="34"/>
        <v>664675.60561913508</v>
      </c>
      <c r="U83">
        <f t="shared" si="35"/>
        <v>0</v>
      </c>
      <c r="V83">
        <f t="shared" si="36"/>
        <v>41557.568282810622</v>
      </c>
      <c r="W83" s="43">
        <f t="shared" si="37"/>
        <v>664675.60561913508</v>
      </c>
      <c r="X83" s="43">
        <f t="shared" si="38"/>
        <v>74011.148563915398</v>
      </c>
      <c r="Y83" s="27">
        <f t="shared" si="39"/>
        <v>5090.8982753595301</v>
      </c>
      <c r="Z83" s="27">
        <f t="shared" si="40"/>
        <v>659584.70734377555</v>
      </c>
      <c r="AA83">
        <f t="shared" si="41"/>
        <v>0</v>
      </c>
      <c r="AB83" s="27">
        <f t="shared" si="42"/>
        <v>659584.70734377555</v>
      </c>
      <c r="AD83" s="27">
        <f t="shared" si="43"/>
        <v>0</v>
      </c>
      <c r="AE83" s="27">
        <f t="shared" si="44"/>
        <v>659584.70734377555</v>
      </c>
      <c r="AF83" s="50"/>
      <c r="AG83" t="str">
        <f t="shared" si="45"/>
        <v>5302880</v>
      </c>
    </row>
    <row r="84" spans="1:33" hidden="1" x14ac:dyDescent="0.25">
      <c r="A84" s="7" t="s">
        <v>400</v>
      </c>
      <c r="B84" s="2" t="s">
        <v>819</v>
      </c>
      <c r="C84" s="4" t="s">
        <v>818</v>
      </c>
      <c r="D84">
        <f>_xlfn.IFNA(VLOOKUP(A84,'Prior Year data'!$A$1:$T$318,12,FALSE),0)</f>
        <v>280829.31515242899</v>
      </c>
      <c r="E84">
        <f>VLOOKUP(A84,'Basic HH'!$B$1:$Y$319,23,FALSE)</f>
        <v>106852.6419498172</v>
      </c>
      <c r="F84">
        <f>VLOOKUP(A84,'Conc. HH'!$B$1:$Y$319,23,FALSE)</f>
        <v>26632.893843933394</v>
      </c>
      <c r="G84">
        <f>VLOOKUP(A84,'Targeted HH'!$B$1:$Y$319,23,FALSE)</f>
        <v>51545.397269463654</v>
      </c>
      <c r="H84">
        <f>VLOOKUP(A84,'EFIG HH'!$B$1:$Y$319,23,FALSE)</f>
        <v>69889.575766938258</v>
      </c>
      <c r="I84">
        <f t="shared" si="23"/>
        <v>254920.50883015251</v>
      </c>
      <c r="J84">
        <f t="shared" si="24"/>
        <v>0</v>
      </c>
      <c r="K84" s="43">
        <f t="shared" si="25"/>
        <v>254920.50883015251</v>
      </c>
      <c r="L84">
        <f t="shared" si="26"/>
        <v>0</v>
      </c>
      <c r="M84">
        <f t="shared" si="27"/>
        <v>0</v>
      </c>
      <c r="N84" s="43">
        <f t="shared" si="28"/>
        <v>254920.50883015251</v>
      </c>
      <c r="O84">
        <f t="shared" si="29"/>
        <v>0</v>
      </c>
      <c r="P84">
        <f t="shared" si="30"/>
        <v>0</v>
      </c>
      <c r="Q84" s="43">
        <f t="shared" si="31"/>
        <v>254920.50883015251</v>
      </c>
      <c r="R84">
        <f t="shared" si="32"/>
        <v>0</v>
      </c>
      <c r="S84">
        <f t="shared" si="33"/>
        <v>0</v>
      </c>
      <c r="T84" s="43">
        <f t="shared" si="34"/>
        <v>254920.50883015251</v>
      </c>
      <c r="U84">
        <f t="shared" si="35"/>
        <v>0</v>
      </c>
      <c r="V84">
        <f t="shared" si="36"/>
        <v>0</v>
      </c>
      <c r="W84" s="43">
        <f t="shared" si="37"/>
        <v>254920.50883015251</v>
      </c>
      <c r="X84" s="43">
        <f t="shared" si="38"/>
        <v>0</v>
      </c>
      <c r="Y84" s="27">
        <f t="shared" si="39"/>
        <v>1952.4928668750229</v>
      </c>
      <c r="Z84" s="27">
        <f t="shared" si="40"/>
        <v>252968.01596327749</v>
      </c>
      <c r="AA84">
        <f t="shared" si="41"/>
        <v>0</v>
      </c>
      <c r="AB84" s="27">
        <f t="shared" si="42"/>
        <v>252968.01596327749</v>
      </c>
      <c r="AD84" s="27">
        <f t="shared" si="43"/>
        <v>0</v>
      </c>
      <c r="AE84" s="27">
        <f t="shared" si="44"/>
        <v>252968.01596327749</v>
      </c>
      <c r="AF84" s="50"/>
      <c r="AG84" t="str">
        <f t="shared" si="45"/>
        <v>5302910</v>
      </c>
    </row>
    <row r="85" spans="1:33" hidden="1" x14ac:dyDescent="0.25">
      <c r="A85" s="7" t="s">
        <v>402</v>
      </c>
      <c r="B85" s="2" t="s">
        <v>821</v>
      </c>
      <c r="C85" s="4" t="s">
        <v>820</v>
      </c>
      <c r="D85">
        <f>_xlfn.IFNA(VLOOKUP(A85,'Prior Year data'!$A$1:$T$318,12,FALSE),0)</f>
        <v>2704339.627073179</v>
      </c>
      <c r="E85">
        <f>VLOOKUP(A85,'Basic HH'!$B$1:$Y$319,23,FALSE)</f>
        <v>1226633.5807572515</v>
      </c>
      <c r="F85">
        <f>VLOOKUP(A85,'Conc. HH'!$B$1:$Y$319,23,FALSE)</f>
        <v>330038.45809109428</v>
      </c>
      <c r="G85">
        <f>VLOOKUP(A85,'Targeted HH'!$B$1:$Y$319,23,FALSE)</f>
        <v>742798.50943190523</v>
      </c>
      <c r="H85">
        <f>VLOOKUP(A85,'EFIG HH'!$B$1:$Y$319,23,FALSE)</f>
        <v>1007148.5613568949</v>
      </c>
      <c r="I85">
        <f t="shared" si="23"/>
        <v>3306619.1096371459</v>
      </c>
      <c r="J85">
        <f t="shared" si="24"/>
        <v>3306619.1096371459</v>
      </c>
      <c r="K85" s="43">
        <f t="shared" si="25"/>
        <v>3006341.4109482612</v>
      </c>
      <c r="L85">
        <f t="shared" si="26"/>
        <v>0</v>
      </c>
      <c r="M85">
        <f t="shared" si="27"/>
        <v>302001.78387508215</v>
      </c>
      <c r="N85" s="43">
        <f t="shared" si="28"/>
        <v>2963177.2917696815</v>
      </c>
      <c r="O85">
        <f t="shared" si="29"/>
        <v>0</v>
      </c>
      <c r="P85">
        <f t="shared" si="30"/>
        <v>258837.6646965025</v>
      </c>
      <c r="Q85" s="43">
        <f t="shared" si="31"/>
        <v>2963177.2917696815</v>
      </c>
      <c r="R85">
        <f t="shared" si="32"/>
        <v>0</v>
      </c>
      <c r="S85">
        <f t="shared" si="33"/>
        <v>258837.6646965025</v>
      </c>
      <c r="T85" s="43">
        <f t="shared" si="34"/>
        <v>2963177.2917696815</v>
      </c>
      <c r="U85">
        <f t="shared" si="35"/>
        <v>0</v>
      </c>
      <c r="V85">
        <f t="shared" si="36"/>
        <v>258837.6646965025</v>
      </c>
      <c r="W85" s="43">
        <f t="shared" si="37"/>
        <v>2963177.2917696815</v>
      </c>
      <c r="X85" s="43">
        <f t="shared" si="38"/>
        <v>343441.81786746439</v>
      </c>
      <c r="Y85" s="27">
        <f t="shared" si="39"/>
        <v>22695.633835099346</v>
      </c>
      <c r="Z85" s="27">
        <f t="shared" si="40"/>
        <v>2940481.6579345823</v>
      </c>
      <c r="AA85">
        <f t="shared" si="41"/>
        <v>0</v>
      </c>
      <c r="AB85" s="27">
        <f t="shared" si="42"/>
        <v>2940481.6579345823</v>
      </c>
      <c r="AD85" s="27">
        <f t="shared" si="43"/>
        <v>0</v>
      </c>
      <c r="AE85" s="27">
        <f t="shared" si="44"/>
        <v>2940481.6579345823</v>
      </c>
      <c r="AF85" s="50"/>
      <c r="AG85" t="str">
        <f t="shared" si="45"/>
        <v>5302940</v>
      </c>
    </row>
    <row r="86" spans="1:33" hidden="1" x14ac:dyDescent="0.25">
      <c r="A86" s="7" t="s">
        <v>131</v>
      </c>
      <c r="B86" s="2" t="s">
        <v>823</v>
      </c>
      <c r="C86" s="4" t="s">
        <v>822</v>
      </c>
      <c r="D86">
        <f>_xlfn.IFNA(VLOOKUP(A86,'Prior Year data'!$A$1:$T$318,12,FALSE),0)</f>
        <v>88580.505307614731</v>
      </c>
      <c r="E86">
        <f>VLOOKUP(A86,'Basic HH'!$B$1:$Y$319,23,FALSE)</f>
        <v>36564.897675740009</v>
      </c>
      <c r="F86">
        <f>VLOOKUP(A86,'Conc. HH'!$B$1:$Y$319,23,FALSE)</f>
        <v>0</v>
      </c>
      <c r="G86">
        <f>VLOOKUP(A86,'Targeted HH'!$B$1:$Y$319,23,FALSE)</f>
        <v>0</v>
      </c>
      <c r="H86">
        <f>VLOOKUP(A86,'EFIG HH'!$B$1:$Y$319,23,FALSE)</f>
        <v>0</v>
      </c>
      <c r="I86">
        <f t="shared" si="23"/>
        <v>36564.897675740009</v>
      </c>
      <c r="J86">
        <f t="shared" si="24"/>
        <v>0</v>
      </c>
      <c r="K86" s="43">
        <f t="shared" si="25"/>
        <v>36564.897675740009</v>
      </c>
      <c r="L86">
        <f t="shared" si="26"/>
        <v>0</v>
      </c>
      <c r="M86">
        <f t="shared" si="27"/>
        <v>0</v>
      </c>
      <c r="N86" s="43">
        <f t="shared" si="28"/>
        <v>36564.897675740009</v>
      </c>
      <c r="O86">
        <f t="shared" si="29"/>
        <v>0</v>
      </c>
      <c r="P86">
        <f t="shared" si="30"/>
        <v>0</v>
      </c>
      <c r="Q86" s="43">
        <f t="shared" si="31"/>
        <v>36564.897675740009</v>
      </c>
      <c r="R86">
        <f t="shared" si="32"/>
        <v>0</v>
      </c>
      <c r="S86">
        <f t="shared" si="33"/>
        <v>0</v>
      </c>
      <c r="T86" s="43">
        <f t="shared" si="34"/>
        <v>36564.897675740009</v>
      </c>
      <c r="U86">
        <f t="shared" si="35"/>
        <v>0</v>
      </c>
      <c r="V86">
        <f t="shared" si="36"/>
        <v>0</v>
      </c>
      <c r="W86" s="43">
        <f t="shared" si="37"/>
        <v>36564.897675740009</v>
      </c>
      <c r="X86" s="43">
        <f t="shared" si="38"/>
        <v>0</v>
      </c>
      <c r="Y86" s="27">
        <f t="shared" si="39"/>
        <v>280.05868267533049</v>
      </c>
      <c r="Z86" s="27">
        <f t="shared" si="40"/>
        <v>36284.838993064681</v>
      </c>
      <c r="AA86">
        <f t="shared" si="41"/>
        <v>0</v>
      </c>
      <c r="AB86" s="27">
        <f t="shared" si="42"/>
        <v>36284.838993064681</v>
      </c>
      <c r="AD86" s="27">
        <f t="shared" si="43"/>
        <v>0</v>
      </c>
      <c r="AE86" s="27">
        <f t="shared" si="44"/>
        <v>36284.838993064681</v>
      </c>
      <c r="AF86" s="50"/>
      <c r="AG86" t="str">
        <f t="shared" si="45"/>
        <v>5302970</v>
      </c>
    </row>
    <row r="87" spans="1:33" hidden="1" x14ac:dyDescent="0.25">
      <c r="A87" s="7" t="s">
        <v>404</v>
      </c>
      <c r="B87" s="2" t="s">
        <v>825</v>
      </c>
      <c r="C87" s="4" t="s">
        <v>824</v>
      </c>
      <c r="D87">
        <f>_xlfn.IFNA(VLOOKUP(A87,'Prior Year data'!$A$1:$T$318,12,FALSE),0)</f>
        <v>72939.004953018142</v>
      </c>
      <c r="E87">
        <f>VLOOKUP(A87,'Basic HH'!$B$1:$Y$319,23,FALSE)</f>
        <v>28667.781986536331</v>
      </c>
      <c r="F87">
        <f>VLOOKUP(A87,'Conc. HH'!$B$1:$Y$319,23,FALSE)</f>
        <v>7713.36339731311</v>
      </c>
      <c r="G87">
        <f>VLOOKUP(A87,'Targeted HH'!$B$1:$Y$319,23,FALSE)</f>
        <v>19112.950400887334</v>
      </c>
      <c r="H87">
        <f>VLOOKUP(A87,'EFIG HH'!$B$1:$Y$319,23,FALSE)</f>
        <v>26271.095252021722</v>
      </c>
      <c r="I87">
        <f t="shared" si="23"/>
        <v>81765.191036758493</v>
      </c>
      <c r="J87">
        <f t="shared" si="24"/>
        <v>81765.191036758493</v>
      </c>
      <c r="K87" s="43">
        <f t="shared" si="25"/>
        <v>74340.004590028882</v>
      </c>
      <c r="L87">
        <f t="shared" si="26"/>
        <v>0</v>
      </c>
      <c r="M87">
        <f t="shared" si="27"/>
        <v>1400.9996370107401</v>
      </c>
      <c r="N87" s="43">
        <f t="shared" si="28"/>
        <v>74139.764331427985</v>
      </c>
      <c r="O87">
        <f t="shared" si="29"/>
        <v>0</v>
      </c>
      <c r="P87">
        <f t="shared" si="30"/>
        <v>1200.7593784098426</v>
      </c>
      <c r="Q87" s="43">
        <f t="shared" si="31"/>
        <v>74139.764331427985</v>
      </c>
      <c r="R87">
        <f t="shared" si="32"/>
        <v>0</v>
      </c>
      <c r="S87">
        <f t="shared" si="33"/>
        <v>1200.7593784098426</v>
      </c>
      <c r="T87" s="43">
        <f t="shared" si="34"/>
        <v>74139.764331427985</v>
      </c>
      <c r="U87">
        <f t="shared" si="35"/>
        <v>0</v>
      </c>
      <c r="V87">
        <f t="shared" si="36"/>
        <v>1200.7593784098426</v>
      </c>
      <c r="W87" s="43">
        <f t="shared" si="37"/>
        <v>74139.764331427985</v>
      </c>
      <c r="X87" s="43">
        <f t="shared" si="38"/>
        <v>7625.4267053305084</v>
      </c>
      <c r="Y87" s="27">
        <f t="shared" si="39"/>
        <v>567.85294236705295</v>
      </c>
      <c r="Z87" s="27">
        <f t="shared" si="40"/>
        <v>73571.91138906093</v>
      </c>
      <c r="AA87">
        <f t="shared" si="41"/>
        <v>0</v>
      </c>
      <c r="AB87" s="27">
        <f t="shared" si="42"/>
        <v>73571.91138906093</v>
      </c>
      <c r="AD87" s="27">
        <f t="shared" si="43"/>
        <v>0</v>
      </c>
      <c r="AE87" s="27">
        <f t="shared" si="44"/>
        <v>73571.91138906093</v>
      </c>
      <c r="AF87" s="50"/>
      <c r="AG87" t="str">
        <f t="shared" si="45"/>
        <v>5303000</v>
      </c>
    </row>
    <row r="88" spans="1:33" hidden="1" x14ac:dyDescent="0.25">
      <c r="A88" s="7" t="s">
        <v>133</v>
      </c>
      <c r="B88" s="2" t="s">
        <v>827</v>
      </c>
      <c r="C88" s="4" t="s">
        <v>826</v>
      </c>
      <c r="D88">
        <f>_xlfn.IFNA(VLOOKUP(A88,'Prior Year data'!$A$1:$T$318,12,FALSE),0)</f>
        <v>33319.070302997512</v>
      </c>
      <c r="E88">
        <f>VLOOKUP(A88,'Basic HH'!$B$1:$Y$319,23,FALSE)</f>
        <v>10470.618216733825</v>
      </c>
      <c r="F88">
        <f>VLOOKUP(A88,'Conc. HH'!$B$1:$Y$319,23,FALSE)</f>
        <v>2742.3128581885594</v>
      </c>
      <c r="G88">
        <f>VLOOKUP(A88,'Targeted HH'!$B$1:$Y$319,23,FALSE)</f>
        <v>7149.1800423581171</v>
      </c>
      <c r="H88">
        <f>VLOOKUP(A88,'EFIG HH'!$B$1:$Y$319,23,FALSE)</f>
        <v>9858.245021560786</v>
      </c>
      <c r="I88">
        <f t="shared" si="23"/>
        <v>30220.356138841289</v>
      </c>
      <c r="J88">
        <f t="shared" si="24"/>
        <v>0</v>
      </c>
      <c r="K88" s="43">
        <f t="shared" si="25"/>
        <v>30220.356138841289</v>
      </c>
      <c r="L88">
        <f t="shared" si="26"/>
        <v>0</v>
      </c>
      <c r="M88">
        <f t="shared" si="27"/>
        <v>0</v>
      </c>
      <c r="N88" s="43">
        <f t="shared" si="28"/>
        <v>30220.356138841289</v>
      </c>
      <c r="O88">
        <f t="shared" si="29"/>
        <v>0</v>
      </c>
      <c r="P88">
        <f t="shared" si="30"/>
        <v>0</v>
      </c>
      <c r="Q88" s="43">
        <f t="shared" si="31"/>
        <v>30220.356138841289</v>
      </c>
      <c r="R88">
        <f t="shared" si="32"/>
        <v>0</v>
      </c>
      <c r="S88">
        <f t="shared" si="33"/>
        <v>0</v>
      </c>
      <c r="T88" s="43">
        <f t="shared" si="34"/>
        <v>30220.356138841289</v>
      </c>
      <c r="U88">
        <f t="shared" si="35"/>
        <v>0</v>
      </c>
      <c r="V88">
        <f t="shared" si="36"/>
        <v>0</v>
      </c>
      <c r="W88" s="43">
        <f t="shared" si="37"/>
        <v>30220.356138841289</v>
      </c>
      <c r="X88" s="43">
        <f t="shared" si="38"/>
        <v>0</v>
      </c>
      <c r="Y88" s="27">
        <f t="shared" si="39"/>
        <v>231.46442813208128</v>
      </c>
      <c r="Z88" s="27">
        <f t="shared" si="40"/>
        <v>29988.891710709209</v>
      </c>
      <c r="AA88">
        <f t="shared" si="41"/>
        <v>0</v>
      </c>
      <c r="AB88" s="27">
        <f t="shared" si="42"/>
        <v>29988.891710709209</v>
      </c>
      <c r="AD88" s="27">
        <f t="shared" si="43"/>
        <v>0</v>
      </c>
      <c r="AE88" s="27">
        <f t="shared" si="44"/>
        <v>29988.891710709209</v>
      </c>
      <c r="AF88" s="50"/>
      <c r="AG88" t="str">
        <f t="shared" si="45"/>
        <v>5303030</v>
      </c>
    </row>
    <row r="89" spans="1:33" hidden="1" x14ac:dyDescent="0.25">
      <c r="A89" s="7" t="s">
        <v>406</v>
      </c>
      <c r="B89" s="2" t="s">
        <v>829</v>
      </c>
      <c r="C89" s="4" t="s">
        <v>828</v>
      </c>
      <c r="D89">
        <f>_xlfn.IFNA(VLOOKUP(A89,'Prior Year data'!$A$1:$T$318,12,FALSE),0)</f>
        <v>485919.80312827695</v>
      </c>
      <c r="E89">
        <f>VLOOKUP(A89,'Basic HH'!$B$1:$Y$319,23,FALSE)</f>
        <v>170349.40564227104</v>
      </c>
      <c r="F89">
        <f>VLOOKUP(A89,'Conc. HH'!$B$1:$Y$319,23,FALSE)</f>
        <v>44884.260885132906</v>
      </c>
      <c r="G89">
        <f>VLOOKUP(A89,'Targeted HH'!$B$1:$Y$319,23,FALSE)</f>
        <v>101972.00712497588</v>
      </c>
      <c r="H89">
        <f>VLOOKUP(A89,'EFIG HH'!$B$1:$Y$319,23,FALSE)</f>
        <v>140612.63328413441</v>
      </c>
      <c r="I89">
        <f t="shared" si="23"/>
        <v>457818.30693651421</v>
      </c>
      <c r="J89">
        <f t="shared" si="24"/>
        <v>0</v>
      </c>
      <c r="K89" s="43">
        <f t="shared" si="25"/>
        <v>457818.30693651421</v>
      </c>
      <c r="L89">
        <f t="shared" si="26"/>
        <v>0</v>
      </c>
      <c r="M89">
        <f t="shared" si="27"/>
        <v>0</v>
      </c>
      <c r="N89" s="43">
        <f t="shared" si="28"/>
        <v>457818.30693651421</v>
      </c>
      <c r="O89">
        <f t="shared" si="29"/>
        <v>0</v>
      </c>
      <c r="P89">
        <f t="shared" si="30"/>
        <v>0</v>
      </c>
      <c r="Q89" s="43">
        <f t="shared" si="31"/>
        <v>457818.30693651421</v>
      </c>
      <c r="R89">
        <f t="shared" si="32"/>
        <v>0</v>
      </c>
      <c r="S89">
        <f t="shared" si="33"/>
        <v>0</v>
      </c>
      <c r="T89" s="43">
        <f t="shared" si="34"/>
        <v>457818.30693651421</v>
      </c>
      <c r="U89">
        <f t="shared" si="35"/>
        <v>0</v>
      </c>
      <c r="V89">
        <f t="shared" si="36"/>
        <v>0</v>
      </c>
      <c r="W89" s="43">
        <f t="shared" si="37"/>
        <v>457818.30693651421</v>
      </c>
      <c r="X89" s="43">
        <f t="shared" si="38"/>
        <v>0</v>
      </c>
      <c r="Y89" s="27">
        <f t="shared" si="39"/>
        <v>3506.5322233995676</v>
      </c>
      <c r="Z89" s="27">
        <f t="shared" si="40"/>
        <v>454311.77471311466</v>
      </c>
      <c r="AA89">
        <f t="shared" si="41"/>
        <v>0</v>
      </c>
      <c r="AB89" s="27">
        <f t="shared" si="42"/>
        <v>454311.77471311466</v>
      </c>
      <c r="AD89" s="27">
        <f t="shared" si="43"/>
        <v>0</v>
      </c>
      <c r="AE89" s="27">
        <f t="shared" si="44"/>
        <v>454311.77471311466</v>
      </c>
      <c r="AF89" s="50"/>
      <c r="AG89" t="str">
        <f t="shared" si="45"/>
        <v>5303090</v>
      </c>
    </row>
    <row r="90" spans="1:33" hidden="1" x14ac:dyDescent="0.25">
      <c r="A90" s="7" t="s">
        <v>408</v>
      </c>
      <c r="B90" s="2" t="s">
        <v>831</v>
      </c>
      <c r="C90" s="4" t="s">
        <v>830</v>
      </c>
      <c r="D90">
        <f>_xlfn.IFNA(VLOOKUP(A90,'Prior Year data'!$A$1:$T$318,12,FALSE),0)</f>
        <v>207173.00579546459</v>
      </c>
      <c r="E90">
        <f>VLOOKUP(A90,'Basic HH'!$B$1:$Y$319,23,FALSE)</f>
        <v>99034.155953489142</v>
      </c>
      <c r="F90">
        <f>VLOOKUP(A90,'Conc. HH'!$B$1:$Y$319,23,FALSE)</f>
        <v>26646.164463445293</v>
      </c>
      <c r="G90">
        <f>VLOOKUP(A90,'Targeted HH'!$B$1:$Y$319,23,FALSE)</f>
        <v>50697.538344621564</v>
      </c>
      <c r="H90">
        <f>VLOOKUP(A90,'EFIG HH'!$B$1:$Y$319,23,FALSE)</f>
        <v>68739.977476762069</v>
      </c>
      <c r="I90">
        <f t="shared" si="23"/>
        <v>245117.83623831806</v>
      </c>
      <c r="J90">
        <f t="shared" si="24"/>
        <v>245117.83623831806</v>
      </c>
      <c r="K90" s="43">
        <f t="shared" si="25"/>
        <v>222858.41737791052</v>
      </c>
      <c r="L90">
        <f t="shared" si="26"/>
        <v>0</v>
      </c>
      <c r="M90">
        <f t="shared" si="27"/>
        <v>15685.41158244593</v>
      </c>
      <c r="N90" s="43">
        <f t="shared" si="28"/>
        <v>220616.55321994974</v>
      </c>
      <c r="O90">
        <f t="shared" si="29"/>
        <v>0</v>
      </c>
      <c r="P90">
        <f t="shared" si="30"/>
        <v>13443.54742448515</v>
      </c>
      <c r="Q90" s="43">
        <f t="shared" si="31"/>
        <v>220616.55321994974</v>
      </c>
      <c r="R90">
        <f t="shared" si="32"/>
        <v>0</v>
      </c>
      <c r="S90">
        <f t="shared" si="33"/>
        <v>13443.54742448515</v>
      </c>
      <c r="T90" s="43">
        <f t="shared" si="34"/>
        <v>220616.55321994974</v>
      </c>
      <c r="U90">
        <f t="shared" si="35"/>
        <v>0</v>
      </c>
      <c r="V90">
        <f t="shared" si="36"/>
        <v>13443.54742448515</v>
      </c>
      <c r="W90" s="43">
        <f t="shared" si="37"/>
        <v>220616.55321994974</v>
      </c>
      <c r="X90" s="43">
        <f t="shared" si="38"/>
        <v>24501.283018368325</v>
      </c>
      <c r="Y90" s="27">
        <f t="shared" si="39"/>
        <v>1689.7512422725695</v>
      </c>
      <c r="Z90" s="27">
        <f t="shared" si="40"/>
        <v>218926.80197767718</v>
      </c>
      <c r="AA90">
        <f t="shared" si="41"/>
        <v>0</v>
      </c>
      <c r="AB90" s="27">
        <f t="shared" si="42"/>
        <v>218926.80197767718</v>
      </c>
      <c r="AD90" s="27">
        <f t="shared" si="43"/>
        <v>0</v>
      </c>
      <c r="AE90" s="27">
        <f t="shared" si="44"/>
        <v>218926.80197767718</v>
      </c>
      <c r="AF90" s="50"/>
      <c r="AG90" t="str">
        <f t="shared" si="45"/>
        <v>5303130</v>
      </c>
    </row>
    <row r="91" spans="1:33" hidden="1" x14ac:dyDescent="0.25">
      <c r="A91" s="7" t="s">
        <v>410</v>
      </c>
      <c r="B91" s="2" t="s">
        <v>833</v>
      </c>
      <c r="C91" s="4" t="s">
        <v>832</v>
      </c>
      <c r="D91">
        <f>_xlfn.IFNA(VLOOKUP(A91,'Prior Year data'!$A$1:$T$318,12,FALSE),0)</f>
        <v>1285645.0296456486</v>
      </c>
      <c r="E91">
        <f>VLOOKUP(A91,'Basic HH'!$B$1:$Y$319,23,FALSE)</f>
        <v>713219.66699837381</v>
      </c>
      <c r="F91">
        <f>VLOOKUP(A91,'Conc. HH'!$B$1:$Y$319,23,FALSE)</f>
        <v>191899.13179375953</v>
      </c>
      <c r="G91">
        <f>VLOOKUP(A91,'Targeted HH'!$B$1:$Y$319,23,FALSE)</f>
        <v>419249.34988312033</v>
      </c>
      <c r="H91">
        <f>VLOOKUP(A91,'EFIG HH'!$B$1:$Y$319,23,FALSE)</f>
        <v>568453.45571241586</v>
      </c>
      <c r="I91">
        <f t="shared" si="23"/>
        <v>1892821.6043876694</v>
      </c>
      <c r="J91">
        <f t="shared" si="24"/>
        <v>1892821.6043876694</v>
      </c>
      <c r="K91" s="43">
        <f t="shared" si="25"/>
        <v>1720932.4038028149</v>
      </c>
      <c r="L91">
        <f t="shared" si="26"/>
        <v>0</v>
      </c>
      <c r="M91">
        <f t="shared" si="27"/>
        <v>435287.37415716634</v>
      </c>
      <c r="N91" s="43">
        <f t="shared" si="28"/>
        <v>1658718.2146878841</v>
      </c>
      <c r="O91">
        <f t="shared" si="29"/>
        <v>0</v>
      </c>
      <c r="P91">
        <f t="shared" si="30"/>
        <v>373073.18504223553</v>
      </c>
      <c r="Q91" s="43">
        <f t="shared" si="31"/>
        <v>1658718.2146878841</v>
      </c>
      <c r="R91">
        <f t="shared" si="32"/>
        <v>0</v>
      </c>
      <c r="S91">
        <f t="shared" si="33"/>
        <v>373073.18504223553</v>
      </c>
      <c r="T91" s="43">
        <f t="shared" si="34"/>
        <v>1658718.2146878841</v>
      </c>
      <c r="U91">
        <f t="shared" si="35"/>
        <v>0</v>
      </c>
      <c r="V91">
        <f t="shared" si="36"/>
        <v>373073.18504223553</v>
      </c>
      <c r="W91" s="43">
        <f t="shared" si="37"/>
        <v>1658718.2146878841</v>
      </c>
      <c r="X91" s="43">
        <f t="shared" si="38"/>
        <v>234103.38969978527</v>
      </c>
      <c r="Y91" s="27">
        <f t="shared" si="39"/>
        <v>12704.491675448493</v>
      </c>
      <c r="Z91" s="27">
        <f t="shared" si="40"/>
        <v>1646013.7230124355</v>
      </c>
      <c r="AA91">
        <f t="shared" si="41"/>
        <v>0</v>
      </c>
      <c r="AB91" s="27">
        <f t="shared" si="42"/>
        <v>1646013.7230124355</v>
      </c>
      <c r="AD91" s="27">
        <f t="shared" si="43"/>
        <v>0</v>
      </c>
      <c r="AE91" s="27">
        <f t="shared" si="44"/>
        <v>1646013.7230124355</v>
      </c>
      <c r="AF91" s="50"/>
      <c r="AG91" t="str">
        <f t="shared" si="45"/>
        <v>5303150</v>
      </c>
    </row>
    <row r="92" spans="1:33" hidden="1" x14ac:dyDescent="0.25">
      <c r="A92" s="7" t="s">
        <v>412</v>
      </c>
      <c r="B92" s="2" t="s">
        <v>835</v>
      </c>
      <c r="C92" s="4" t="s">
        <v>834</v>
      </c>
      <c r="D92">
        <f>_xlfn.IFNA(VLOOKUP(A92,'Prior Year data'!$A$1:$T$318,12,FALSE),0)</f>
        <v>860121.4717899774</v>
      </c>
      <c r="E92">
        <f>VLOOKUP(A92,'Basic HH'!$B$1:$Y$319,23,FALSE)</f>
        <v>287271.04315128434</v>
      </c>
      <c r="F92">
        <f>VLOOKUP(A92,'Conc. HH'!$B$1:$Y$319,23,FALSE)</f>
        <v>75691.185401746814</v>
      </c>
      <c r="G92">
        <f>VLOOKUP(A92,'Targeted HH'!$B$1:$Y$319,23,FALSE)</f>
        <v>177384.56009816015</v>
      </c>
      <c r="H92">
        <f>VLOOKUP(A92,'EFIG HH'!$B$1:$Y$319,23,FALSE)</f>
        <v>243818.27906383268</v>
      </c>
      <c r="I92">
        <f t="shared" si="23"/>
        <v>784165.06771502399</v>
      </c>
      <c r="J92">
        <f t="shared" si="24"/>
        <v>0</v>
      </c>
      <c r="K92" s="43">
        <f t="shared" si="25"/>
        <v>784165.06771502399</v>
      </c>
      <c r="L92">
        <f t="shared" si="26"/>
        <v>0</v>
      </c>
      <c r="M92">
        <f t="shared" si="27"/>
        <v>0</v>
      </c>
      <c r="N92" s="43">
        <f t="shared" si="28"/>
        <v>784165.06771502399</v>
      </c>
      <c r="O92">
        <f t="shared" si="29"/>
        <v>0</v>
      </c>
      <c r="P92">
        <f t="shared" si="30"/>
        <v>0</v>
      </c>
      <c r="Q92" s="43">
        <f t="shared" si="31"/>
        <v>784165.06771502399</v>
      </c>
      <c r="R92">
        <f t="shared" si="32"/>
        <v>0</v>
      </c>
      <c r="S92">
        <f t="shared" si="33"/>
        <v>0</v>
      </c>
      <c r="T92" s="43">
        <f t="shared" si="34"/>
        <v>784165.06771502399</v>
      </c>
      <c r="U92">
        <f t="shared" si="35"/>
        <v>0</v>
      </c>
      <c r="V92">
        <f t="shared" si="36"/>
        <v>0</v>
      </c>
      <c r="W92" s="43">
        <f t="shared" si="37"/>
        <v>784165.06771502399</v>
      </c>
      <c r="X92" s="43">
        <f t="shared" si="38"/>
        <v>0</v>
      </c>
      <c r="Y92" s="27">
        <f t="shared" si="39"/>
        <v>6006.0946378632643</v>
      </c>
      <c r="Z92" s="27">
        <f t="shared" si="40"/>
        <v>778158.97307716077</v>
      </c>
      <c r="AA92">
        <f t="shared" si="41"/>
        <v>0</v>
      </c>
      <c r="AB92" s="27">
        <f t="shared" si="42"/>
        <v>778158.97307716077</v>
      </c>
      <c r="AD92" s="27">
        <f t="shared" si="43"/>
        <v>0</v>
      </c>
      <c r="AE92" s="27">
        <f t="shared" si="44"/>
        <v>778158.97307716077</v>
      </c>
      <c r="AF92" s="50"/>
      <c r="AG92" t="str">
        <f t="shared" si="45"/>
        <v>5303180</v>
      </c>
    </row>
    <row r="93" spans="1:33" hidden="1" x14ac:dyDescent="0.25">
      <c r="A93" s="7" t="s">
        <v>135</v>
      </c>
      <c r="B93" s="2" t="s">
        <v>837</v>
      </c>
      <c r="C93" s="4" t="s">
        <v>836</v>
      </c>
      <c r="D93">
        <f>_xlfn.IFNA(VLOOKUP(A93,'Prior Year data'!$A$1:$T$318,12,FALSE),0)</f>
        <v>350485.68670256698</v>
      </c>
      <c r="E93">
        <f>VLOOKUP(A93,'Basic HH'!$B$1:$Y$319,23,FALSE)</f>
        <v>158691.65591271158</v>
      </c>
      <c r="F93">
        <f>VLOOKUP(A93,'Conc. HH'!$B$1:$Y$319,23,FALSE)</f>
        <v>0</v>
      </c>
      <c r="G93">
        <f>VLOOKUP(A93,'Targeted HH'!$B$1:$Y$319,23,FALSE)</f>
        <v>76270.425227986867</v>
      </c>
      <c r="H93">
        <f>VLOOKUP(A93,'EFIG HH'!$B$1:$Y$319,23,FALSE)</f>
        <v>104342.75827740594</v>
      </c>
      <c r="I93">
        <f t="shared" si="23"/>
        <v>339304.83941810438</v>
      </c>
      <c r="J93">
        <f t="shared" si="24"/>
        <v>0</v>
      </c>
      <c r="K93" s="43">
        <f t="shared" si="25"/>
        <v>339304.83941810438</v>
      </c>
      <c r="L93">
        <f t="shared" si="26"/>
        <v>0</v>
      </c>
      <c r="M93">
        <f t="shared" si="27"/>
        <v>0</v>
      </c>
      <c r="N93" s="43">
        <f t="shared" si="28"/>
        <v>339304.83941810438</v>
      </c>
      <c r="O93">
        <f t="shared" si="29"/>
        <v>0</v>
      </c>
      <c r="P93">
        <f t="shared" si="30"/>
        <v>0</v>
      </c>
      <c r="Q93" s="43">
        <f t="shared" si="31"/>
        <v>339304.83941810438</v>
      </c>
      <c r="R93">
        <f t="shared" si="32"/>
        <v>0</v>
      </c>
      <c r="S93">
        <f t="shared" si="33"/>
        <v>0</v>
      </c>
      <c r="T93" s="43">
        <f t="shared" si="34"/>
        <v>339304.83941810438</v>
      </c>
      <c r="U93">
        <f t="shared" si="35"/>
        <v>0</v>
      </c>
      <c r="V93">
        <f t="shared" si="36"/>
        <v>0</v>
      </c>
      <c r="W93" s="43">
        <f t="shared" si="37"/>
        <v>339304.83941810438</v>
      </c>
      <c r="X93" s="43">
        <f t="shared" si="38"/>
        <v>0</v>
      </c>
      <c r="Y93" s="27">
        <f t="shared" si="39"/>
        <v>2598.8112204084196</v>
      </c>
      <c r="Z93" s="27">
        <f t="shared" si="40"/>
        <v>336706.02819769597</v>
      </c>
      <c r="AA93">
        <f t="shared" si="41"/>
        <v>0</v>
      </c>
      <c r="AB93" s="27">
        <f t="shared" si="42"/>
        <v>336706.02819769597</v>
      </c>
      <c r="AD93" s="27">
        <f t="shared" si="43"/>
        <v>0</v>
      </c>
      <c r="AE93" s="27">
        <f t="shared" si="44"/>
        <v>336706.02819769597</v>
      </c>
      <c r="AF93" s="50"/>
      <c r="AG93" t="str">
        <f t="shared" si="45"/>
        <v>5303210</v>
      </c>
    </row>
    <row r="94" spans="1:33" hidden="1" x14ac:dyDescent="0.25">
      <c r="A94" s="7" t="s">
        <v>414</v>
      </c>
      <c r="B94" s="2" t="s">
        <v>839</v>
      </c>
      <c r="C94" s="4" t="s">
        <v>838</v>
      </c>
      <c r="D94">
        <f>_xlfn.IFNA(VLOOKUP(A94,'Prior Year data'!$A$1:$T$318,12,FALSE),0)</f>
        <v>77218.093728898762</v>
      </c>
      <c r="E94">
        <f>VLOOKUP(A94,'Basic HH'!$B$1:$Y$319,23,FALSE)</f>
        <v>30405.223319053675</v>
      </c>
      <c r="F94">
        <f>VLOOKUP(A94,'Conc. HH'!$B$1:$Y$319,23,FALSE)</f>
        <v>5726.8648220957939</v>
      </c>
      <c r="G94">
        <f>VLOOKUP(A94,'Targeted HH'!$B$1:$Y$319,23,FALSE)</f>
        <v>14667.389466920553</v>
      </c>
      <c r="H94">
        <f>VLOOKUP(A94,'EFIG HH'!$B$1:$Y$319,23,FALSE)</f>
        <v>19887.277657258855</v>
      </c>
      <c r="I94">
        <f t="shared" si="23"/>
        <v>70686.755265328888</v>
      </c>
      <c r="J94">
        <f t="shared" si="24"/>
        <v>0</v>
      </c>
      <c r="K94" s="43">
        <f t="shared" si="25"/>
        <v>70686.755265328888</v>
      </c>
      <c r="L94">
        <f t="shared" si="26"/>
        <v>0</v>
      </c>
      <c r="M94">
        <f t="shared" si="27"/>
        <v>0</v>
      </c>
      <c r="N94" s="43">
        <f t="shared" si="28"/>
        <v>70686.755265328888</v>
      </c>
      <c r="O94">
        <f t="shared" si="29"/>
        <v>0</v>
      </c>
      <c r="P94">
        <f t="shared" si="30"/>
        <v>0</v>
      </c>
      <c r="Q94" s="43">
        <f t="shared" si="31"/>
        <v>70686.755265328888</v>
      </c>
      <c r="R94">
        <f t="shared" si="32"/>
        <v>0</v>
      </c>
      <c r="S94">
        <f t="shared" si="33"/>
        <v>0</v>
      </c>
      <c r="T94" s="43">
        <f t="shared" si="34"/>
        <v>70686.755265328888</v>
      </c>
      <c r="U94">
        <f t="shared" si="35"/>
        <v>0</v>
      </c>
      <c r="V94">
        <f t="shared" si="36"/>
        <v>0</v>
      </c>
      <c r="W94" s="43">
        <f t="shared" si="37"/>
        <v>70686.755265328888</v>
      </c>
      <c r="X94" s="43">
        <f t="shared" si="38"/>
        <v>0</v>
      </c>
      <c r="Y94" s="27">
        <f t="shared" si="39"/>
        <v>541.40557804257128</v>
      </c>
      <c r="Z94" s="27">
        <f t="shared" si="40"/>
        <v>70145.349687286318</v>
      </c>
      <c r="AA94">
        <f t="shared" si="41"/>
        <v>0</v>
      </c>
      <c r="AB94" s="27">
        <f t="shared" si="42"/>
        <v>70145.349687286318</v>
      </c>
      <c r="AD94" s="27">
        <f t="shared" si="43"/>
        <v>0</v>
      </c>
      <c r="AE94" s="27">
        <f t="shared" si="44"/>
        <v>70145.349687286318</v>
      </c>
      <c r="AF94" s="50"/>
      <c r="AG94" t="str">
        <f t="shared" si="45"/>
        <v>5303240</v>
      </c>
    </row>
    <row r="95" spans="1:33" x14ac:dyDescent="0.25">
      <c r="A95" s="7" t="s">
        <v>416</v>
      </c>
      <c r="B95" s="2" t="s">
        <v>841</v>
      </c>
      <c r="C95" s="4" t="s">
        <v>840</v>
      </c>
      <c r="D95">
        <f>_xlfn.IFNA(VLOOKUP(A95,'Prior Year data'!$A$1:$T$318,12,FALSE),0)</f>
        <v>88911.951451279252</v>
      </c>
      <c r="E95">
        <f>VLOOKUP(A95,'Basic HH'!$B$1:$Y$319,23,FALSE)</f>
        <v>33295.565648262062</v>
      </c>
      <c r="F95">
        <f>VLOOKUP(A95,'Conc. HH'!$B$1:$Y$319,23,FALSE)</f>
        <v>8772.8328093668861</v>
      </c>
      <c r="G95">
        <f>VLOOKUP(A95,'Targeted HH'!$B$1:$Y$319,23,FALSE)</f>
        <v>20238.793484930913</v>
      </c>
      <c r="H95">
        <f>VLOOKUP(A95,'EFIG HH'!$B$1:$Y$319,23,FALSE)</f>
        <v>27818.586888810871</v>
      </c>
      <c r="I95">
        <f t="shared" si="23"/>
        <v>90125.778831370728</v>
      </c>
      <c r="J95">
        <f t="shared" si="24"/>
        <v>90125.778831370728</v>
      </c>
      <c r="K95" s="43">
        <f t="shared" si="25"/>
        <v>81941.358260778565</v>
      </c>
      <c r="L95">
        <f t="shared" si="26"/>
        <v>6970.5931905006873</v>
      </c>
      <c r="M95">
        <f t="shared" si="27"/>
        <v>0</v>
      </c>
      <c r="N95" s="43">
        <f t="shared" si="28"/>
        <v>88911.951451279252</v>
      </c>
      <c r="O95">
        <f t="shared" si="29"/>
        <v>0</v>
      </c>
      <c r="P95">
        <f t="shared" si="30"/>
        <v>0</v>
      </c>
      <c r="Q95" s="43">
        <f t="shared" si="31"/>
        <v>88911.951451279252</v>
      </c>
      <c r="R95">
        <f t="shared" si="32"/>
        <v>0</v>
      </c>
      <c r="S95">
        <f t="shared" si="33"/>
        <v>0</v>
      </c>
      <c r="T95" s="43">
        <f t="shared" si="34"/>
        <v>88911.951451279252</v>
      </c>
      <c r="U95">
        <f t="shared" si="35"/>
        <v>0</v>
      </c>
      <c r="V95">
        <f t="shared" si="36"/>
        <v>0</v>
      </c>
      <c r="W95" s="43">
        <f t="shared" si="37"/>
        <v>88911.951451279252</v>
      </c>
      <c r="X95" s="43">
        <f t="shared" si="38"/>
        <v>1213.8273800914758</v>
      </c>
      <c r="Y95" s="27">
        <f t="shared" si="39"/>
        <v>680.99640858722205</v>
      </c>
      <c r="Z95" s="27">
        <f t="shared" si="40"/>
        <v>88230.955042692032</v>
      </c>
      <c r="AA95">
        <f t="shared" si="41"/>
        <v>0</v>
      </c>
      <c r="AB95" s="27">
        <f t="shared" si="42"/>
        <v>88230.955042692032</v>
      </c>
      <c r="AD95" s="27">
        <f t="shared" si="43"/>
        <v>0</v>
      </c>
      <c r="AE95" s="27">
        <f t="shared" si="44"/>
        <v>88230.955042692032</v>
      </c>
      <c r="AF95" s="50"/>
      <c r="AG95" t="str">
        <f t="shared" si="45"/>
        <v>5303270</v>
      </c>
    </row>
    <row r="96" spans="1:33" hidden="1" x14ac:dyDescent="0.25">
      <c r="A96" s="7" t="s">
        <v>137</v>
      </c>
      <c r="B96" s="2" t="s">
        <v>843</v>
      </c>
      <c r="C96" s="4" t="s">
        <v>842</v>
      </c>
      <c r="D96">
        <f>_xlfn.IFNA(VLOOKUP(A96,'Prior Year data'!$A$1:$T$318,12,FALSE),0)</f>
        <v>27490.501647190784</v>
      </c>
      <c r="E96">
        <f>VLOOKUP(A96,'Basic HH'!$B$1:$Y$319,23,FALSE)</f>
        <v>11700.767256236799</v>
      </c>
      <c r="F96">
        <f>VLOOKUP(A96,'Conc. HH'!$B$1:$Y$319,23,FALSE)</f>
        <v>0</v>
      </c>
      <c r="G96">
        <f>VLOOKUP(A96,'Targeted HH'!$B$1:$Y$319,23,FALSE)</f>
        <v>5597.2166266354961</v>
      </c>
      <c r="H96">
        <f>VLOOKUP(A96,'EFIG HH'!$B$1:$Y$319,23,FALSE)</f>
        <v>7693.4752646935249</v>
      </c>
      <c r="I96">
        <f t="shared" si="23"/>
        <v>24991.459147565816</v>
      </c>
      <c r="J96">
        <f t="shared" si="24"/>
        <v>0</v>
      </c>
      <c r="K96" s="43">
        <f t="shared" si="25"/>
        <v>24991.459147565816</v>
      </c>
      <c r="L96">
        <f t="shared" si="26"/>
        <v>0</v>
      </c>
      <c r="M96">
        <f t="shared" si="27"/>
        <v>0</v>
      </c>
      <c r="N96" s="43">
        <f t="shared" si="28"/>
        <v>24991.459147565816</v>
      </c>
      <c r="O96">
        <f t="shared" si="29"/>
        <v>0</v>
      </c>
      <c r="P96">
        <f t="shared" si="30"/>
        <v>0</v>
      </c>
      <c r="Q96" s="43">
        <f t="shared" si="31"/>
        <v>24991.459147565816</v>
      </c>
      <c r="R96">
        <f t="shared" si="32"/>
        <v>0</v>
      </c>
      <c r="S96">
        <f t="shared" si="33"/>
        <v>0</v>
      </c>
      <c r="T96" s="43">
        <f t="shared" si="34"/>
        <v>24991.459147565816</v>
      </c>
      <c r="U96">
        <f t="shared" si="35"/>
        <v>0</v>
      </c>
      <c r="V96">
        <f t="shared" si="36"/>
        <v>0</v>
      </c>
      <c r="W96" s="43">
        <f t="shared" si="37"/>
        <v>24991.459147565816</v>
      </c>
      <c r="X96" s="43">
        <f t="shared" si="38"/>
        <v>0</v>
      </c>
      <c r="Y96" s="27">
        <f t="shared" si="39"/>
        <v>191.41514326307961</v>
      </c>
      <c r="Z96" s="27">
        <f t="shared" si="40"/>
        <v>24800.044004302737</v>
      </c>
      <c r="AA96">
        <f t="shared" si="41"/>
        <v>0</v>
      </c>
      <c r="AB96" s="27">
        <f t="shared" si="42"/>
        <v>24800.044004302737</v>
      </c>
      <c r="AD96" s="27">
        <f t="shared" si="43"/>
        <v>0</v>
      </c>
      <c r="AE96" s="27">
        <f t="shared" si="44"/>
        <v>24800.044004302737</v>
      </c>
      <c r="AF96" s="50"/>
      <c r="AG96" t="str">
        <f t="shared" si="45"/>
        <v>5303300</v>
      </c>
    </row>
    <row r="97" spans="1:33" hidden="1" x14ac:dyDescent="0.25">
      <c r="A97" s="7" t="s">
        <v>139</v>
      </c>
      <c r="B97" s="2" t="s">
        <v>845</v>
      </c>
      <c r="C97" s="4" t="s">
        <v>844</v>
      </c>
      <c r="D97">
        <f>_xlfn.IFNA(VLOOKUP(A97,'Prior Year data'!$A$1:$T$318,12,FALSE),0)</f>
        <v>104329.46339196703</v>
      </c>
      <c r="E97">
        <f>VLOOKUP(A97,'Basic HH'!$B$1:$Y$319,23,FALSE)</f>
        <v>41444.177312723994</v>
      </c>
      <c r="F97">
        <f>VLOOKUP(A97,'Conc. HH'!$B$1:$Y$319,23,FALSE)</f>
        <v>0</v>
      </c>
      <c r="G97">
        <f>VLOOKUP(A97,'Targeted HH'!$B$1:$Y$319,23,FALSE)</f>
        <v>20145.782479523343</v>
      </c>
      <c r="H97">
        <f>VLOOKUP(A97,'EFIG HH'!$B$1:$Y$319,23,FALSE)</f>
        <v>27779.697623715147</v>
      </c>
      <c r="I97">
        <f t="shared" si="23"/>
        <v>89369.657415962487</v>
      </c>
      <c r="J97">
        <f t="shared" si="24"/>
        <v>0</v>
      </c>
      <c r="K97" s="43">
        <f t="shared" si="25"/>
        <v>89369.657415962487</v>
      </c>
      <c r="L97">
        <f t="shared" si="26"/>
        <v>0</v>
      </c>
      <c r="M97">
        <f t="shared" si="27"/>
        <v>0</v>
      </c>
      <c r="N97" s="43">
        <f t="shared" si="28"/>
        <v>89369.657415962487</v>
      </c>
      <c r="O97">
        <f t="shared" si="29"/>
        <v>0</v>
      </c>
      <c r="P97">
        <f t="shared" si="30"/>
        <v>0</v>
      </c>
      <c r="Q97" s="43">
        <f t="shared" si="31"/>
        <v>89369.657415962487</v>
      </c>
      <c r="R97">
        <f t="shared" si="32"/>
        <v>0</v>
      </c>
      <c r="S97">
        <f t="shared" si="33"/>
        <v>0</v>
      </c>
      <c r="T97" s="43">
        <f t="shared" si="34"/>
        <v>89369.657415962487</v>
      </c>
      <c r="U97">
        <f t="shared" si="35"/>
        <v>0</v>
      </c>
      <c r="V97">
        <f t="shared" si="36"/>
        <v>0</v>
      </c>
      <c r="W97" s="43">
        <f t="shared" si="37"/>
        <v>89369.657415962487</v>
      </c>
      <c r="X97" s="43">
        <f t="shared" si="38"/>
        <v>0</v>
      </c>
      <c r="Y97" s="27">
        <f t="shared" si="39"/>
        <v>684.5020803563209</v>
      </c>
      <c r="Z97" s="27">
        <f t="shared" si="40"/>
        <v>88685.155335606163</v>
      </c>
      <c r="AA97">
        <f t="shared" si="41"/>
        <v>0</v>
      </c>
      <c r="AB97" s="27">
        <f t="shared" si="42"/>
        <v>88685.155335606163</v>
      </c>
      <c r="AD97" s="27">
        <f t="shared" si="43"/>
        <v>0</v>
      </c>
      <c r="AE97" s="27">
        <f t="shared" si="44"/>
        <v>88685.155335606163</v>
      </c>
      <c r="AF97" s="50"/>
      <c r="AG97" t="str">
        <f t="shared" si="45"/>
        <v>5303330</v>
      </c>
    </row>
    <row r="98" spans="1:33" hidden="1" x14ac:dyDescent="0.25">
      <c r="A98" s="7" t="s">
        <v>418</v>
      </c>
      <c r="B98" s="2" t="s">
        <v>847</v>
      </c>
      <c r="C98" s="4" t="s">
        <v>846</v>
      </c>
      <c r="D98">
        <f>_xlfn.IFNA(VLOOKUP(A98,'Prior Year data'!$A$1:$T$318,12,FALSE),0)</f>
        <v>56487.542201573771</v>
      </c>
      <c r="E98">
        <f>VLOOKUP(A98,'Basic HH'!$B$1:$Y$319,23,FALSE)</f>
        <v>21718.016656466916</v>
      </c>
      <c r="F98">
        <f>VLOOKUP(A98,'Conc. HH'!$B$1:$Y$319,23,FALSE)</f>
        <v>5843.4571191765999</v>
      </c>
      <c r="G98">
        <f>VLOOKUP(A98,'Targeted HH'!$B$1:$Y$319,23,FALSE)</f>
        <v>11700.313370201611</v>
      </c>
      <c r="H98">
        <f>VLOOKUP(A98,'EFIG HH'!$B$1:$Y$319,23,FALSE)</f>
        <v>15846.282597067166</v>
      </c>
      <c r="I98">
        <f t="shared" si="23"/>
        <v>55108.069742912296</v>
      </c>
      <c r="J98">
        <f t="shared" si="24"/>
        <v>0</v>
      </c>
      <c r="K98" s="43">
        <f t="shared" si="25"/>
        <v>55108.069742912296</v>
      </c>
      <c r="L98">
        <f t="shared" si="26"/>
        <v>0</v>
      </c>
      <c r="M98">
        <f t="shared" si="27"/>
        <v>0</v>
      </c>
      <c r="N98" s="43">
        <f t="shared" si="28"/>
        <v>55108.069742912296</v>
      </c>
      <c r="O98">
        <f t="shared" si="29"/>
        <v>0</v>
      </c>
      <c r="P98">
        <f t="shared" si="30"/>
        <v>0</v>
      </c>
      <c r="Q98" s="43">
        <f t="shared" si="31"/>
        <v>55108.069742912296</v>
      </c>
      <c r="R98">
        <f t="shared" si="32"/>
        <v>0</v>
      </c>
      <c r="S98">
        <f t="shared" si="33"/>
        <v>0</v>
      </c>
      <c r="T98" s="43">
        <f t="shared" si="34"/>
        <v>55108.069742912296</v>
      </c>
      <c r="U98">
        <f t="shared" si="35"/>
        <v>0</v>
      </c>
      <c r="V98">
        <f t="shared" si="36"/>
        <v>0</v>
      </c>
      <c r="W98" s="43">
        <f t="shared" si="37"/>
        <v>55108.069742912296</v>
      </c>
      <c r="X98" s="43">
        <f t="shared" si="38"/>
        <v>0</v>
      </c>
      <c r="Y98" s="27">
        <f t="shared" si="39"/>
        <v>422.08496120638767</v>
      </c>
      <c r="Z98" s="27">
        <f t="shared" si="40"/>
        <v>54685.984781705905</v>
      </c>
      <c r="AA98">
        <f t="shared" si="41"/>
        <v>0</v>
      </c>
      <c r="AB98" s="27">
        <f t="shared" si="42"/>
        <v>54685.984781705905</v>
      </c>
      <c r="AD98" s="27">
        <f t="shared" si="43"/>
        <v>0</v>
      </c>
      <c r="AE98" s="27">
        <f t="shared" si="44"/>
        <v>54685.984781705905</v>
      </c>
      <c r="AF98" s="50"/>
      <c r="AG98" t="str">
        <f t="shared" si="45"/>
        <v>5303360</v>
      </c>
    </row>
    <row r="99" spans="1:33" hidden="1" x14ac:dyDescent="0.25">
      <c r="A99" s="7" t="s">
        <v>420</v>
      </c>
      <c r="B99" s="2" t="s">
        <v>849</v>
      </c>
      <c r="C99" s="4" t="s">
        <v>848</v>
      </c>
      <c r="D99">
        <f>_xlfn.IFNA(VLOOKUP(A99,'Prior Year data'!$A$1:$T$318,12,FALSE),0)</f>
        <v>445139.31602933258</v>
      </c>
      <c r="E99">
        <f>VLOOKUP(A99,'Basic HH'!$B$1:$Y$319,23,FALSE)</f>
        <v>171855.01907597794</v>
      </c>
      <c r="F99">
        <f>VLOOKUP(A99,'Conc. HH'!$B$1:$Y$319,23,FALSE)</f>
        <v>45280.96521113786</v>
      </c>
      <c r="G99">
        <f>VLOOKUP(A99,'Targeted HH'!$B$1:$Y$319,23,FALSE)</f>
        <v>91870.194962113019</v>
      </c>
      <c r="H99">
        <f>VLOOKUP(A99,'EFIG HH'!$B$1:$Y$319,23,FALSE)</f>
        <v>126277.24093081043</v>
      </c>
      <c r="I99">
        <f t="shared" si="23"/>
        <v>435283.42018003925</v>
      </c>
      <c r="J99">
        <f t="shared" si="24"/>
        <v>0</v>
      </c>
      <c r="K99" s="43">
        <f t="shared" si="25"/>
        <v>435283.42018003925</v>
      </c>
      <c r="L99">
        <f t="shared" si="26"/>
        <v>0</v>
      </c>
      <c r="M99">
        <f t="shared" si="27"/>
        <v>0</v>
      </c>
      <c r="N99" s="43">
        <f t="shared" si="28"/>
        <v>435283.42018003925</v>
      </c>
      <c r="O99">
        <f t="shared" si="29"/>
        <v>0</v>
      </c>
      <c r="P99">
        <f t="shared" si="30"/>
        <v>0</v>
      </c>
      <c r="Q99" s="43">
        <f t="shared" si="31"/>
        <v>435283.42018003925</v>
      </c>
      <c r="R99">
        <f t="shared" si="32"/>
        <v>0</v>
      </c>
      <c r="S99">
        <f t="shared" si="33"/>
        <v>0</v>
      </c>
      <c r="T99" s="43">
        <f t="shared" si="34"/>
        <v>435283.42018003925</v>
      </c>
      <c r="U99">
        <f t="shared" si="35"/>
        <v>0</v>
      </c>
      <c r="V99">
        <f t="shared" si="36"/>
        <v>0</v>
      </c>
      <c r="W99" s="43">
        <f t="shared" si="37"/>
        <v>435283.42018003925</v>
      </c>
      <c r="X99" s="43">
        <f t="shared" si="38"/>
        <v>0</v>
      </c>
      <c r="Y99" s="27">
        <f t="shared" si="39"/>
        <v>3333.9325143774531</v>
      </c>
      <c r="Z99" s="27">
        <f t="shared" si="40"/>
        <v>431949.48766566179</v>
      </c>
      <c r="AA99">
        <f t="shared" si="41"/>
        <v>0</v>
      </c>
      <c r="AB99" s="27">
        <f t="shared" si="42"/>
        <v>431949.48766566179</v>
      </c>
      <c r="AD99" s="27">
        <f t="shared" si="43"/>
        <v>0</v>
      </c>
      <c r="AE99" s="27">
        <f t="shared" si="44"/>
        <v>431949.48766566179</v>
      </c>
      <c r="AF99" s="50"/>
      <c r="AG99" t="str">
        <f t="shared" si="45"/>
        <v>5303510</v>
      </c>
    </row>
    <row r="100" spans="1:33" hidden="1" x14ac:dyDescent="0.25">
      <c r="A100" s="7" t="s">
        <v>57</v>
      </c>
      <c r="B100" s="2" t="s">
        <v>850</v>
      </c>
      <c r="C100" s="4" t="s">
        <v>18</v>
      </c>
      <c r="D100">
        <f>_xlfn.IFNA(VLOOKUP(A100,'Prior Year data'!$A$1:$T$318,12,FALSE),0)</f>
        <v>7453488.3529646741</v>
      </c>
      <c r="E100">
        <f>VLOOKUP(A100,'Basic HH'!$B$1:$Y$319,23,FALSE)</f>
        <v>2879119.732662891</v>
      </c>
      <c r="F100">
        <f>VLOOKUP(A100,'Conc. HH'!$B$1:$Y$319,23,FALSE)</f>
        <v>774656.95716653531</v>
      </c>
      <c r="G100">
        <f>VLOOKUP(A100,'Targeted HH'!$B$1:$Y$319,23,FALSE)</f>
        <v>2176385.31722253</v>
      </c>
      <c r="H100">
        <f>VLOOKUP(A100,'EFIG HH'!$B$1:$Y$319,23,FALSE)</f>
        <v>2950925.8747373451</v>
      </c>
      <c r="I100">
        <f t="shared" si="23"/>
        <v>8781087.8817893006</v>
      </c>
      <c r="J100">
        <f t="shared" si="24"/>
        <v>8781087.8817893006</v>
      </c>
      <c r="K100" s="43">
        <f t="shared" si="25"/>
        <v>7983667.6849956363</v>
      </c>
      <c r="L100">
        <f t="shared" si="26"/>
        <v>0</v>
      </c>
      <c r="M100">
        <f t="shared" si="27"/>
        <v>530179.33203096222</v>
      </c>
      <c r="N100" s="43">
        <f t="shared" si="28"/>
        <v>7907890.9012291208</v>
      </c>
      <c r="O100">
        <f t="shared" si="29"/>
        <v>0</v>
      </c>
      <c r="P100">
        <f t="shared" si="30"/>
        <v>454402.54826444667</v>
      </c>
      <c r="Q100" s="43">
        <f t="shared" si="31"/>
        <v>7907890.9012291208</v>
      </c>
      <c r="R100">
        <f t="shared" si="32"/>
        <v>0</v>
      </c>
      <c r="S100">
        <f t="shared" si="33"/>
        <v>454402.54826444667</v>
      </c>
      <c r="T100" s="43">
        <f t="shared" si="34"/>
        <v>7907890.9012291208</v>
      </c>
      <c r="U100">
        <f t="shared" si="35"/>
        <v>0</v>
      </c>
      <c r="V100">
        <f t="shared" si="36"/>
        <v>454402.54826444667</v>
      </c>
      <c r="W100" s="43">
        <f t="shared" si="37"/>
        <v>7907890.9012291208</v>
      </c>
      <c r="X100" s="43">
        <f t="shared" si="38"/>
        <v>873196.9805601798</v>
      </c>
      <c r="Y100" s="27">
        <f t="shared" si="39"/>
        <v>60568.294985489491</v>
      </c>
      <c r="Z100" s="27">
        <f t="shared" si="40"/>
        <v>7847322.6062436309</v>
      </c>
      <c r="AA100">
        <f t="shared" si="41"/>
        <v>0</v>
      </c>
      <c r="AB100" s="27">
        <f t="shared" si="42"/>
        <v>7847322.6062436309</v>
      </c>
      <c r="AD100" s="27">
        <f t="shared" si="43"/>
        <v>0</v>
      </c>
      <c r="AE100" s="27">
        <f t="shared" si="44"/>
        <v>7847322.6062436309</v>
      </c>
      <c r="AF100" s="50"/>
      <c r="AG100" t="str">
        <f t="shared" si="45"/>
        <v>5303540</v>
      </c>
    </row>
    <row r="101" spans="1:33" hidden="1" x14ac:dyDescent="0.25">
      <c r="A101" s="7" t="s">
        <v>141</v>
      </c>
      <c r="B101" s="2" t="s">
        <v>852</v>
      </c>
      <c r="C101" s="4" t="s">
        <v>851</v>
      </c>
      <c r="D101">
        <f>_xlfn.IFNA(VLOOKUP(A101,'Prior Year data'!$A$1:$T$318,12,FALSE),0)</f>
        <v>100851.82702552312</v>
      </c>
      <c r="E101">
        <f>VLOOKUP(A101,'Basic HH'!$B$1:$Y$319,23,FALSE)</f>
        <v>92084.390623419764</v>
      </c>
      <c r="F101">
        <f>VLOOKUP(A101,'Conc. HH'!$B$1:$Y$319,23,FALSE)</f>
        <v>0</v>
      </c>
      <c r="G101">
        <f>VLOOKUP(A101,'Targeted HH'!$B$1:$Y$319,23,FALSE)</f>
        <v>0</v>
      </c>
      <c r="H101">
        <f>VLOOKUP(A101,'EFIG HH'!$B$1:$Y$319,23,FALSE)</f>
        <v>0</v>
      </c>
      <c r="I101">
        <f t="shared" si="23"/>
        <v>92084.390623419764</v>
      </c>
      <c r="J101">
        <f t="shared" si="24"/>
        <v>0</v>
      </c>
      <c r="K101" s="43">
        <f t="shared" si="25"/>
        <v>92084.390623419764</v>
      </c>
      <c r="L101">
        <f t="shared" si="26"/>
        <v>0</v>
      </c>
      <c r="M101">
        <f t="shared" si="27"/>
        <v>0</v>
      </c>
      <c r="N101" s="43">
        <f t="shared" si="28"/>
        <v>92084.390623419764</v>
      </c>
      <c r="O101">
        <f t="shared" si="29"/>
        <v>0</v>
      </c>
      <c r="P101">
        <f t="shared" si="30"/>
        <v>0</v>
      </c>
      <c r="Q101" s="43">
        <f t="shared" si="31"/>
        <v>92084.390623419764</v>
      </c>
      <c r="R101">
        <f t="shared" si="32"/>
        <v>0</v>
      </c>
      <c r="S101">
        <f t="shared" si="33"/>
        <v>0</v>
      </c>
      <c r="T101" s="43">
        <f t="shared" si="34"/>
        <v>92084.390623419764</v>
      </c>
      <c r="U101">
        <f t="shared" si="35"/>
        <v>0</v>
      </c>
      <c r="V101">
        <f t="shared" si="36"/>
        <v>0</v>
      </c>
      <c r="W101" s="43">
        <f t="shared" si="37"/>
        <v>92084.390623419764</v>
      </c>
      <c r="X101" s="43">
        <f t="shared" si="38"/>
        <v>0</v>
      </c>
      <c r="Y101" s="27">
        <f t="shared" si="39"/>
        <v>705.29482570016717</v>
      </c>
      <c r="Z101" s="27">
        <f t="shared" si="40"/>
        <v>91379.095797719594</v>
      </c>
      <c r="AA101">
        <f t="shared" si="41"/>
        <v>0</v>
      </c>
      <c r="AB101" s="27">
        <f t="shared" si="42"/>
        <v>91379.095797719594</v>
      </c>
      <c r="AD101" s="27">
        <f t="shared" si="43"/>
        <v>0</v>
      </c>
      <c r="AE101" s="27">
        <f t="shared" si="44"/>
        <v>91379.095797719594</v>
      </c>
      <c r="AF101" s="50"/>
      <c r="AG101" t="str">
        <f t="shared" si="45"/>
        <v>5303570</v>
      </c>
    </row>
    <row r="102" spans="1:33" hidden="1" x14ac:dyDescent="0.25">
      <c r="A102" s="7" t="s">
        <v>422</v>
      </c>
      <c r="B102" s="2" t="s">
        <v>854</v>
      </c>
      <c r="C102" s="4" t="s">
        <v>853</v>
      </c>
      <c r="D102">
        <f>_xlfn.IFNA(VLOOKUP(A102,'Prior Year data'!$A$1:$T$318,12,FALSE),0)</f>
        <v>258758.11021842985</v>
      </c>
      <c r="E102">
        <f>VLOOKUP(A102,'Basic HH'!$B$1:$Y$319,23,FALSE)</f>
        <v>122489.6139424734</v>
      </c>
      <c r="F102">
        <f>VLOOKUP(A102,'Conc. HH'!$B$1:$Y$319,23,FALSE)</f>
        <v>32957.098152156017</v>
      </c>
      <c r="G102">
        <f>VLOOKUP(A102,'Targeted HH'!$B$1:$Y$319,23,FALSE)</f>
        <v>68931.5340479726</v>
      </c>
      <c r="H102">
        <f>VLOOKUP(A102,'EFIG HH'!$B$1:$Y$319,23,FALSE)</f>
        <v>93463.159210746599</v>
      </c>
      <c r="I102">
        <f t="shared" si="23"/>
        <v>317841.40535334859</v>
      </c>
      <c r="J102">
        <f t="shared" si="24"/>
        <v>317841.40535334859</v>
      </c>
      <c r="K102" s="43">
        <f t="shared" si="25"/>
        <v>288977.87962418841</v>
      </c>
      <c r="L102">
        <f t="shared" si="26"/>
        <v>0</v>
      </c>
      <c r="M102">
        <f t="shared" si="27"/>
        <v>30219.769405758561</v>
      </c>
      <c r="N102" s="43">
        <f t="shared" si="28"/>
        <v>284658.66762668942</v>
      </c>
      <c r="O102">
        <f t="shared" si="29"/>
        <v>0</v>
      </c>
      <c r="P102">
        <f t="shared" si="30"/>
        <v>25900.55740825957</v>
      </c>
      <c r="Q102" s="43">
        <f t="shared" si="31"/>
        <v>284658.66762668942</v>
      </c>
      <c r="R102">
        <f t="shared" si="32"/>
        <v>0</v>
      </c>
      <c r="S102">
        <f t="shared" si="33"/>
        <v>25900.55740825957</v>
      </c>
      <c r="T102" s="43">
        <f t="shared" si="34"/>
        <v>284658.66762668942</v>
      </c>
      <c r="U102">
        <f t="shared" si="35"/>
        <v>0</v>
      </c>
      <c r="V102">
        <f t="shared" si="36"/>
        <v>25900.55740825957</v>
      </c>
      <c r="W102" s="43">
        <f t="shared" si="37"/>
        <v>284658.66762668942</v>
      </c>
      <c r="X102" s="43">
        <f t="shared" si="38"/>
        <v>33182.737726659165</v>
      </c>
      <c r="Y102" s="27">
        <f t="shared" si="39"/>
        <v>2180.2640383303624</v>
      </c>
      <c r="Z102" s="27">
        <f t="shared" si="40"/>
        <v>282478.40358835907</v>
      </c>
      <c r="AA102">
        <f t="shared" si="41"/>
        <v>0</v>
      </c>
      <c r="AB102" s="27">
        <f t="shared" si="42"/>
        <v>282478.40358835907</v>
      </c>
      <c r="AD102" s="27">
        <f t="shared" si="43"/>
        <v>0</v>
      </c>
      <c r="AE102" s="27">
        <f t="shared" si="44"/>
        <v>282478.40358835907</v>
      </c>
      <c r="AF102" s="50"/>
      <c r="AG102" t="str">
        <f t="shared" si="45"/>
        <v>5303600</v>
      </c>
    </row>
    <row r="103" spans="1:33" x14ac:dyDescent="0.25">
      <c r="A103" s="7" t="s">
        <v>424</v>
      </c>
      <c r="B103" s="2" t="s">
        <v>856</v>
      </c>
      <c r="C103" s="4" t="s">
        <v>855</v>
      </c>
      <c r="D103">
        <f>_xlfn.IFNA(VLOOKUP(A103,'Prior Year data'!$A$1:$T$318,12,FALSE),0)</f>
        <v>1040475.0666146204</v>
      </c>
      <c r="E103">
        <f>VLOOKUP(A103,'Basic HH'!$B$1:$Y$319,23,FALSE)</f>
        <v>387157.74009607045</v>
      </c>
      <c r="F103">
        <f>VLOOKUP(A103,'Conc. HH'!$B$1:$Y$319,23,FALSE)</f>
        <v>102009.6838298475</v>
      </c>
      <c r="G103">
        <f>VLOOKUP(A103,'Targeted HH'!$B$1:$Y$319,23,FALSE)</f>
        <v>272862.65607709519</v>
      </c>
      <c r="H103">
        <f>VLOOKUP(A103,'EFIG HH'!$B$1:$Y$319,23,FALSE)</f>
        <v>375054.64505303261</v>
      </c>
      <c r="I103">
        <f t="shared" si="23"/>
        <v>1137084.7250560457</v>
      </c>
      <c r="J103">
        <f t="shared" si="24"/>
        <v>1137084.7250560457</v>
      </c>
      <c r="K103" s="43">
        <f t="shared" si="25"/>
        <v>1033824.8172369135</v>
      </c>
      <c r="L103">
        <f t="shared" si="26"/>
        <v>6650.249377706903</v>
      </c>
      <c r="M103">
        <f t="shared" si="27"/>
        <v>0</v>
      </c>
      <c r="N103" s="43">
        <f t="shared" si="28"/>
        <v>1040475.0666146204</v>
      </c>
      <c r="O103">
        <f t="shared" si="29"/>
        <v>0</v>
      </c>
      <c r="P103">
        <f t="shared" si="30"/>
        <v>0</v>
      </c>
      <c r="Q103" s="43">
        <f t="shared" si="31"/>
        <v>1040475.0666146204</v>
      </c>
      <c r="R103">
        <f t="shared" si="32"/>
        <v>0</v>
      </c>
      <c r="S103">
        <f t="shared" si="33"/>
        <v>0</v>
      </c>
      <c r="T103" s="43">
        <f t="shared" si="34"/>
        <v>1040475.0666146204</v>
      </c>
      <c r="U103">
        <f t="shared" si="35"/>
        <v>0</v>
      </c>
      <c r="V103">
        <f t="shared" si="36"/>
        <v>0</v>
      </c>
      <c r="W103" s="43">
        <f t="shared" si="37"/>
        <v>1040475.0666146204</v>
      </c>
      <c r="X103" s="43">
        <f t="shared" si="38"/>
        <v>96609.658441425301</v>
      </c>
      <c r="Y103" s="27">
        <f t="shared" si="39"/>
        <v>7969.2299181778053</v>
      </c>
      <c r="Z103" s="27">
        <f t="shared" si="40"/>
        <v>1032505.8366964426</v>
      </c>
      <c r="AA103">
        <f t="shared" si="41"/>
        <v>0</v>
      </c>
      <c r="AB103" s="27">
        <f t="shared" si="42"/>
        <v>1032505.8366964426</v>
      </c>
      <c r="AD103" s="27">
        <f t="shared" si="43"/>
        <v>0</v>
      </c>
      <c r="AE103" s="27">
        <f t="shared" si="44"/>
        <v>1032505.8366964426</v>
      </c>
      <c r="AF103" s="50"/>
      <c r="AG103" t="str">
        <f t="shared" si="45"/>
        <v>5303660</v>
      </c>
    </row>
    <row r="104" spans="1:33" hidden="1" x14ac:dyDescent="0.25">
      <c r="A104" s="7" t="s">
        <v>79</v>
      </c>
      <c r="B104" s="2" t="s">
        <v>857</v>
      </c>
      <c r="C104" s="4" t="s">
        <v>37</v>
      </c>
      <c r="D104">
        <f>_xlfn.IFNA(VLOOKUP(A104,'Prior Year data'!$A$1:$T$318,12,FALSE),0)</f>
        <v>101548.58776640269</v>
      </c>
      <c r="E104">
        <f>VLOOKUP(A104,'Basic HH'!$B$1:$Y$319,23,FALSE)</f>
        <v>38969.283899707749</v>
      </c>
      <c r="F104">
        <f>VLOOKUP(A104,'Conc. HH'!$B$1:$Y$319,23,FALSE)</f>
        <v>0</v>
      </c>
      <c r="G104">
        <f>VLOOKUP(A104,'Targeted HH'!$B$1:$Y$319,23,FALSE)</f>
        <v>31361.379650400344</v>
      </c>
      <c r="H104">
        <f>VLOOKUP(A104,'EFIG HH'!$B$1:$Y$319,23,FALSE)</f>
        <v>42522.390656417512</v>
      </c>
      <c r="I104">
        <f t="shared" si="23"/>
        <v>112853.0542065256</v>
      </c>
      <c r="J104">
        <f t="shared" si="24"/>
        <v>112853.0542065256</v>
      </c>
      <c r="K104" s="43">
        <f t="shared" si="25"/>
        <v>102604.74489615386</v>
      </c>
      <c r="L104">
        <f t="shared" si="26"/>
        <v>0</v>
      </c>
      <c r="M104">
        <f t="shared" si="27"/>
        <v>1056.1571297511691</v>
      </c>
      <c r="N104" s="43">
        <f t="shared" si="28"/>
        <v>102453.79184006614</v>
      </c>
      <c r="O104">
        <f t="shared" si="29"/>
        <v>0</v>
      </c>
      <c r="P104">
        <f t="shared" si="30"/>
        <v>905.20407366345171</v>
      </c>
      <c r="Q104" s="43">
        <f t="shared" si="31"/>
        <v>102453.79184006614</v>
      </c>
      <c r="R104">
        <f t="shared" si="32"/>
        <v>0</v>
      </c>
      <c r="S104">
        <f t="shared" si="33"/>
        <v>905.20407366345171</v>
      </c>
      <c r="T104" s="43">
        <f t="shared" si="34"/>
        <v>102453.79184006614</v>
      </c>
      <c r="U104">
        <f t="shared" si="35"/>
        <v>0</v>
      </c>
      <c r="V104">
        <f t="shared" si="36"/>
        <v>905.20407366345171</v>
      </c>
      <c r="W104" s="43">
        <f t="shared" si="37"/>
        <v>102453.79184006614</v>
      </c>
      <c r="X104" s="43">
        <f t="shared" si="38"/>
        <v>10399.262366459458</v>
      </c>
      <c r="Y104" s="27">
        <f t="shared" si="39"/>
        <v>784.71637558714303</v>
      </c>
      <c r="Z104" s="27">
        <f t="shared" si="40"/>
        <v>101669.075464479</v>
      </c>
      <c r="AA104">
        <f t="shared" si="41"/>
        <v>0</v>
      </c>
      <c r="AB104" s="27">
        <f t="shared" si="42"/>
        <v>101669.075464479</v>
      </c>
      <c r="AD104" s="27">
        <f t="shared" si="43"/>
        <v>0</v>
      </c>
      <c r="AE104" s="27">
        <f t="shared" si="44"/>
        <v>101669.075464479</v>
      </c>
      <c r="AF104" s="50"/>
      <c r="AG104" t="str">
        <f t="shared" si="45"/>
        <v>5303705</v>
      </c>
    </row>
    <row r="105" spans="1:33" hidden="1" x14ac:dyDescent="0.25">
      <c r="A105" s="7" t="s">
        <v>74</v>
      </c>
      <c r="B105" s="2" t="s">
        <v>858</v>
      </c>
      <c r="C105" s="4" t="s">
        <v>40</v>
      </c>
      <c r="D105">
        <f>_xlfn.IFNA(VLOOKUP(A105,'Prior Year data'!$A$1:$T$318,12,FALSE),0)</f>
        <v>201899.50015478383</v>
      </c>
      <c r="E105">
        <f>VLOOKUP(A105,'Basic HH'!$B$1:$Y$319,23,FALSE)</f>
        <v>71119.090440131375</v>
      </c>
      <c r="F105">
        <f>VLOOKUP(A105,'Conc. HH'!$B$1:$Y$319,23,FALSE)</f>
        <v>19135.327222341155</v>
      </c>
      <c r="G105">
        <f>VLOOKUP(A105,'Targeted HH'!$B$1:$Y$319,23,FALSE)</f>
        <v>41549.338893293847</v>
      </c>
      <c r="H105">
        <f>VLOOKUP(A105,'EFIG HH'!$B$1:$Y$319,23,FALSE)</f>
        <v>56336.080862245137</v>
      </c>
      <c r="I105">
        <f t="shared" si="23"/>
        <v>188139.83741801151</v>
      </c>
      <c r="J105">
        <f t="shared" si="24"/>
        <v>0</v>
      </c>
      <c r="K105" s="43">
        <f t="shared" si="25"/>
        <v>188139.83741801151</v>
      </c>
      <c r="L105">
        <f t="shared" si="26"/>
        <v>0</v>
      </c>
      <c r="M105">
        <f t="shared" si="27"/>
        <v>0</v>
      </c>
      <c r="N105" s="43">
        <f t="shared" si="28"/>
        <v>188139.83741801151</v>
      </c>
      <c r="O105">
        <f t="shared" si="29"/>
        <v>0</v>
      </c>
      <c r="P105">
        <f t="shared" si="30"/>
        <v>0</v>
      </c>
      <c r="Q105" s="43">
        <f t="shared" si="31"/>
        <v>188139.83741801151</v>
      </c>
      <c r="R105">
        <f t="shared" si="32"/>
        <v>0</v>
      </c>
      <c r="S105">
        <f t="shared" si="33"/>
        <v>0</v>
      </c>
      <c r="T105" s="43">
        <f t="shared" si="34"/>
        <v>188139.83741801151</v>
      </c>
      <c r="U105">
        <f t="shared" si="35"/>
        <v>0</v>
      </c>
      <c r="V105">
        <f t="shared" si="36"/>
        <v>0</v>
      </c>
      <c r="W105" s="43">
        <f t="shared" si="37"/>
        <v>188139.83741801151</v>
      </c>
      <c r="X105" s="43">
        <f t="shared" si="38"/>
        <v>0</v>
      </c>
      <c r="Y105" s="27">
        <f t="shared" si="39"/>
        <v>1441.0048537069454</v>
      </c>
      <c r="Z105" s="27">
        <f t="shared" si="40"/>
        <v>186698.83256430455</v>
      </c>
      <c r="AA105">
        <f t="shared" si="41"/>
        <v>0</v>
      </c>
      <c r="AB105" s="27">
        <f t="shared" si="42"/>
        <v>186698.83256430455</v>
      </c>
      <c r="AD105" s="27">
        <f t="shared" si="43"/>
        <v>0</v>
      </c>
      <c r="AE105" s="27">
        <f t="shared" si="44"/>
        <v>186698.83256430455</v>
      </c>
      <c r="AF105" s="50"/>
      <c r="AG105" t="str">
        <f t="shared" si="45"/>
        <v>5303700</v>
      </c>
    </row>
    <row r="106" spans="1:33" hidden="1" x14ac:dyDescent="0.25">
      <c r="A106" t="s">
        <v>1420</v>
      </c>
      <c r="B106" t="s">
        <v>1421</v>
      </c>
      <c r="C106" t="s">
        <v>1428</v>
      </c>
      <c r="D106">
        <f>_xlfn.IFNA(VLOOKUP(A106,'Prior Year data'!$A$1:$T$318,12,FALSE),0)</f>
        <v>61247.093468726431</v>
      </c>
      <c r="E106">
        <f>VLOOKUP(A106,'Basic HH'!$B$1:$Y$319,23,FALSE)</f>
        <v>53817.951196163798</v>
      </c>
      <c r="F106">
        <f>VLOOKUP(A106,'Conc. HH'!$B$1:$Y$319,23,FALSE)</f>
        <v>0</v>
      </c>
      <c r="G106">
        <f>VLOOKUP(A106,'Targeted HH'!$B$1:$Y$319,23,FALSE)</f>
        <v>35864.449765436562</v>
      </c>
      <c r="H106">
        <f>VLOOKUP(A106,'EFIG HH'!$B$1:$Y$319,23,FALSE)</f>
        <v>48628.031056149266</v>
      </c>
      <c r="I106">
        <f t="shared" si="23"/>
        <v>138310.43201774964</v>
      </c>
      <c r="J106">
        <f t="shared" si="24"/>
        <v>138310.43201774964</v>
      </c>
      <c r="K106" s="43">
        <f t="shared" si="25"/>
        <v>125750.31037872822</v>
      </c>
      <c r="L106">
        <f t="shared" si="26"/>
        <v>0</v>
      </c>
      <c r="M106">
        <f t="shared" si="27"/>
        <v>64503.216910001785</v>
      </c>
      <c r="N106" s="43">
        <f t="shared" si="28"/>
        <v>116531.07827228236</v>
      </c>
      <c r="O106">
        <f t="shared" si="29"/>
        <v>0</v>
      </c>
      <c r="P106">
        <f t="shared" si="30"/>
        <v>55283.984803555933</v>
      </c>
      <c r="Q106" s="43">
        <f t="shared" si="31"/>
        <v>116531.07827228236</v>
      </c>
      <c r="R106">
        <f t="shared" si="32"/>
        <v>0</v>
      </c>
      <c r="S106">
        <f t="shared" si="33"/>
        <v>55283.984803555933</v>
      </c>
      <c r="T106" s="43">
        <f t="shared" si="34"/>
        <v>116531.07827228236</v>
      </c>
      <c r="U106">
        <f t="shared" si="35"/>
        <v>0</v>
      </c>
      <c r="V106">
        <f t="shared" si="36"/>
        <v>55283.984803555933</v>
      </c>
      <c r="W106" s="43">
        <f t="shared" si="37"/>
        <v>116531.07827228236</v>
      </c>
      <c r="X106" s="43">
        <f t="shared" si="38"/>
        <v>21779.353745467277</v>
      </c>
      <c r="Y106" s="27">
        <f t="shared" si="39"/>
        <v>892.53744290727718</v>
      </c>
      <c r="Z106" s="27">
        <f t="shared" si="40"/>
        <v>115638.54082937508</v>
      </c>
      <c r="AA106">
        <f t="shared" si="41"/>
        <v>0</v>
      </c>
      <c r="AB106" s="27">
        <f t="shared" si="42"/>
        <v>115638.54082937508</v>
      </c>
      <c r="AD106" s="27">
        <f t="shared" si="43"/>
        <v>0</v>
      </c>
      <c r="AE106" s="27">
        <f t="shared" si="44"/>
        <v>115638.54082937508</v>
      </c>
      <c r="AF106" s="50"/>
      <c r="AG106" t="str">
        <f t="shared" si="45"/>
        <v>5307790</v>
      </c>
    </row>
    <row r="107" spans="1:33" hidden="1" x14ac:dyDescent="0.25">
      <c r="A107" s="7" t="s">
        <v>75</v>
      </c>
      <c r="B107" s="2" t="s">
        <v>859</v>
      </c>
      <c r="C107" s="4" t="s">
        <v>44</v>
      </c>
      <c r="D107">
        <f>_xlfn.IFNA(VLOOKUP(A107,'Prior Year data'!$A$1:$T$318,12,FALSE),0)</f>
        <v>112947.19530004336</v>
      </c>
      <c r="E107">
        <f>VLOOKUP(A107,'Basic HH'!$B$1:$Y$319,23,FALSE)</f>
        <v>52336.897415882966</v>
      </c>
      <c r="F107">
        <f>VLOOKUP(A107,'Conc. HH'!$B$1:$Y$319,23,FALSE)</f>
        <v>14081.783831277748</v>
      </c>
      <c r="G107">
        <f>VLOOKUP(A107,'Targeted HH'!$B$1:$Y$319,23,FALSE)</f>
        <v>30576.368087646471</v>
      </c>
      <c r="H107">
        <f>VLOOKUP(A107,'EFIG HH'!$B$1:$Y$319,23,FALSE)</f>
        <v>41458.006094471166</v>
      </c>
      <c r="I107">
        <f t="shared" si="23"/>
        <v>138453.05542927835</v>
      </c>
      <c r="J107">
        <f t="shared" si="24"/>
        <v>138453.05542927835</v>
      </c>
      <c r="K107" s="43">
        <f t="shared" si="25"/>
        <v>125879.98200223023</v>
      </c>
      <c r="L107">
        <f t="shared" si="26"/>
        <v>0</v>
      </c>
      <c r="M107">
        <f t="shared" si="27"/>
        <v>12932.786702186873</v>
      </c>
      <c r="N107" s="43">
        <f t="shared" si="28"/>
        <v>124031.54144217299</v>
      </c>
      <c r="O107">
        <f t="shared" si="29"/>
        <v>0</v>
      </c>
      <c r="P107">
        <f t="shared" si="30"/>
        <v>11084.346142129638</v>
      </c>
      <c r="Q107" s="43">
        <f t="shared" si="31"/>
        <v>124031.54144217299</v>
      </c>
      <c r="R107">
        <f t="shared" si="32"/>
        <v>0</v>
      </c>
      <c r="S107">
        <f t="shared" si="33"/>
        <v>11084.346142129638</v>
      </c>
      <c r="T107" s="43">
        <f t="shared" si="34"/>
        <v>124031.54144217299</v>
      </c>
      <c r="U107">
        <f t="shared" si="35"/>
        <v>0</v>
      </c>
      <c r="V107">
        <f t="shared" si="36"/>
        <v>11084.346142129638</v>
      </c>
      <c r="W107" s="43">
        <f t="shared" si="37"/>
        <v>124031.54144217299</v>
      </c>
      <c r="X107" s="43">
        <f t="shared" si="38"/>
        <v>14421.513987105354</v>
      </c>
      <c r="Y107" s="27">
        <f t="shared" si="39"/>
        <v>949.98515829383177</v>
      </c>
      <c r="Z107" s="27">
        <f t="shared" si="40"/>
        <v>123081.55628387917</v>
      </c>
      <c r="AA107">
        <f t="shared" si="41"/>
        <v>0</v>
      </c>
      <c r="AB107" s="27">
        <f t="shared" si="42"/>
        <v>123081.55628387917</v>
      </c>
      <c r="AD107" s="27">
        <f t="shared" si="43"/>
        <v>0</v>
      </c>
      <c r="AE107" s="27">
        <f t="shared" si="44"/>
        <v>123081.55628387917</v>
      </c>
      <c r="AF107" s="50"/>
      <c r="AG107" t="str">
        <f t="shared" si="45"/>
        <v>5303710</v>
      </c>
    </row>
    <row r="108" spans="1:33" hidden="1" x14ac:dyDescent="0.25">
      <c r="A108" s="7" t="s">
        <v>426</v>
      </c>
      <c r="B108" s="2" t="s">
        <v>861</v>
      </c>
      <c r="C108" s="4" t="s">
        <v>860</v>
      </c>
      <c r="D108">
        <f>_xlfn.IFNA(VLOOKUP(A108,'Prior Year data'!$A$1:$T$318,12,FALSE),0)</f>
        <v>105778.10746234223</v>
      </c>
      <c r="E108">
        <f>VLOOKUP(A108,'Basic HH'!$B$1:$Y$319,23,FALSE)</f>
        <v>51254.51930926193</v>
      </c>
      <c r="F108">
        <f>VLOOKUP(A108,'Conc. HH'!$B$1:$Y$319,23,FALSE)</f>
        <v>13790.558801256777</v>
      </c>
      <c r="G108">
        <f>VLOOKUP(A108,'Targeted HH'!$B$1:$Y$319,23,FALSE)</f>
        <v>38357.465471244337</v>
      </c>
      <c r="H108">
        <f>VLOOKUP(A108,'EFIG HH'!$B$1:$Y$319,23,FALSE)</f>
        <v>52008.270986173797</v>
      </c>
      <c r="I108">
        <f t="shared" si="23"/>
        <v>155410.81456793685</v>
      </c>
      <c r="J108">
        <f t="shared" si="24"/>
        <v>155410.81456793685</v>
      </c>
      <c r="K108" s="43">
        <f t="shared" si="25"/>
        <v>141297.78848222416</v>
      </c>
      <c r="L108">
        <f t="shared" si="26"/>
        <v>0</v>
      </c>
      <c r="M108">
        <f t="shared" si="27"/>
        <v>35519.681019881929</v>
      </c>
      <c r="N108" s="43">
        <f t="shared" si="28"/>
        <v>136221.07759312066</v>
      </c>
      <c r="O108">
        <f t="shared" si="29"/>
        <v>0</v>
      </c>
      <c r="P108">
        <f t="shared" si="30"/>
        <v>30442.970130778427</v>
      </c>
      <c r="Q108" s="43">
        <f t="shared" si="31"/>
        <v>136221.07759312066</v>
      </c>
      <c r="R108">
        <f t="shared" si="32"/>
        <v>0</v>
      </c>
      <c r="S108">
        <f t="shared" si="33"/>
        <v>30442.970130778427</v>
      </c>
      <c r="T108" s="43">
        <f t="shared" si="34"/>
        <v>136221.07759312066</v>
      </c>
      <c r="U108">
        <f t="shared" si="35"/>
        <v>0</v>
      </c>
      <c r="V108">
        <f t="shared" si="36"/>
        <v>30442.970130778427</v>
      </c>
      <c r="W108" s="43">
        <f t="shared" si="37"/>
        <v>136221.07759312066</v>
      </c>
      <c r="X108" s="43">
        <f t="shared" si="38"/>
        <v>19189.736974816187</v>
      </c>
      <c r="Y108" s="27">
        <f t="shared" si="39"/>
        <v>1043.3475264079559</v>
      </c>
      <c r="Z108" s="27">
        <f t="shared" si="40"/>
        <v>135177.73006671271</v>
      </c>
      <c r="AA108">
        <f t="shared" si="41"/>
        <v>0</v>
      </c>
      <c r="AB108" s="27">
        <f t="shared" si="42"/>
        <v>135177.73006671271</v>
      </c>
      <c r="AD108" s="27">
        <f t="shared" si="43"/>
        <v>0</v>
      </c>
      <c r="AE108" s="27">
        <f t="shared" si="44"/>
        <v>135177.73006671271</v>
      </c>
      <c r="AF108" s="50"/>
      <c r="AG108" t="str">
        <f t="shared" si="45"/>
        <v>5300002</v>
      </c>
    </row>
    <row r="109" spans="1:33" hidden="1" x14ac:dyDescent="0.25">
      <c r="A109" s="7" t="s">
        <v>428</v>
      </c>
      <c r="B109" s="2" t="s">
        <v>863</v>
      </c>
      <c r="C109" s="4" t="s">
        <v>862</v>
      </c>
      <c r="D109">
        <f>_xlfn.IFNA(VLOOKUP(A109,'Prior Year data'!$A$1:$T$318,12,FALSE),0)</f>
        <v>2265.7137961861254</v>
      </c>
      <c r="E109">
        <f>VLOOKUP(A109,'Basic HH'!$B$1:$Y$319,23,FALSE)</f>
        <v>0</v>
      </c>
      <c r="F109">
        <f>VLOOKUP(A109,'Conc. HH'!$B$1:$Y$319,23,FALSE)</f>
        <v>1940.8330033006239</v>
      </c>
      <c r="G109">
        <f>VLOOKUP(A109,'Targeted HH'!$B$1:$Y$319,23,FALSE)</f>
        <v>0</v>
      </c>
      <c r="H109">
        <f>VLOOKUP(A109,'EFIG HH'!$B$1:$Y$319,23,FALSE)</f>
        <v>0</v>
      </c>
      <c r="I109">
        <f t="shared" si="23"/>
        <v>1940.8330033006239</v>
      </c>
      <c r="J109">
        <f t="shared" si="24"/>
        <v>0</v>
      </c>
      <c r="K109" s="43">
        <f t="shared" si="25"/>
        <v>1940.8330033006239</v>
      </c>
      <c r="L109">
        <f t="shared" si="26"/>
        <v>0</v>
      </c>
      <c r="M109">
        <f t="shared" si="27"/>
        <v>0</v>
      </c>
      <c r="N109" s="43">
        <f t="shared" si="28"/>
        <v>1940.8330033006239</v>
      </c>
      <c r="O109">
        <f t="shared" si="29"/>
        <v>0</v>
      </c>
      <c r="P109">
        <f t="shared" si="30"/>
        <v>0</v>
      </c>
      <c r="Q109" s="43">
        <f t="shared" si="31"/>
        <v>1940.8330033006239</v>
      </c>
      <c r="R109">
        <f t="shared" si="32"/>
        <v>0</v>
      </c>
      <c r="S109">
        <f t="shared" si="33"/>
        <v>0</v>
      </c>
      <c r="T109" s="43">
        <f t="shared" si="34"/>
        <v>1940.8330033006239</v>
      </c>
      <c r="U109">
        <f t="shared" si="35"/>
        <v>0</v>
      </c>
      <c r="V109">
        <f t="shared" si="36"/>
        <v>0</v>
      </c>
      <c r="W109" s="43">
        <f t="shared" si="37"/>
        <v>1940.8330033006239</v>
      </c>
      <c r="X109" s="43">
        <f t="shared" si="38"/>
        <v>0</v>
      </c>
      <c r="Y109" s="27">
        <f t="shared" si="39"/>
        <v>14.865271578697991</v>
      </c>
      <c r="Z109" s="27">
        <f t="shared" si="40"/>
        <v>1925.9677317219259</v>
      </c>
      <c r="AA109">
        <f t="shared" si="41"/>
        <v>0</v>
      </c>
      <c r="AB109" s="27">
        <f t="shared" si="42"/>
        <v>1925.9677317219259</v>
      </c>
      <c r="AD109" s="27">
        <f t="shared" si="43"/>
        <v>0</v>
      </c>
      <c r="AE109" s="27">
        <f t="shared" si="44"/>
        <v>1925.9677317219259</v>
      </c>
      <c r="AF109" s="50"/>
      <c r="AG109" t="str">
        <f t="shared" si="45"/>
        <v>5303720</v>
      </c>
    </row>
    <row r="110" spans="1:33" hidden="1" x14ac:dyDescent="0.25">
      <c r="A110" s="7" t="s">
        <v>143</v>
      </c>
      <c r="B110" s="2" t="s">
        <v>865</v>
      </c>
      <c r="C110" s="4" t="s">
        <v>864</v>
      </c>
      <c r="D110">
        <f>_xlfn.IFNA(VLOOKUP(A110,'Prior Year data'!$A$1:$T$318,12,FALSE),0)</f>
        <v>669256.74098083889</v>
      </c>
      <c r="E110">
        <f>VLOOKUP(A110,'Basic HH'!$B$1:$Y$319,23,FALSE)</f>
        <v>808778.94028682797</v>
      </c>
      <c r="F110">
        <f>VLOOKUP(A110,'Conc. HH'!$B$1:$Y$319,23,FALSE)</f>
        <v>0</v>
      </c>
      <c r="G110">
        <f>VLOOKUP(A110,'Targeted HH'!$B$1:$Y$319,23,FALSE)</f>
        <v>0</v>
      </c>
      <c r="H110">
        <f>VLOOKUP(A110,'EFIG HH'!$B$1:$Y$319,23,FALSE)</f>
        <v>0</v>
      </c>
      <c r="I110">
        <f t="shared" si="23"/>
        <v>808778.94028682797</v>
      </c>
      <c r="J110">
        <f t="shared" si="24"/>
        <v>808778.94028682797</v>
      </c>
      <c r="K110" s="43">
        <f t="shared" si="25"/>
        <v>735332.83993933024</v>
      </c>
      <c r="L110">
        <f t="shared" si="26"/>
        <v>0</v>
      </c>
      <c r="M110">
        <f t="shared" si="27"/>
        <v>66076.098958491348</v>
      </c>
      <c r="N110" s="43">
        <f t="shared" si="28"/>
        <v>725888.80098795879</v>
      </c>
      <c r="O110">
        <f t="shared" si="29"/>
        <v>0</v>
      </c>
      <c r="P110">
        <f t="shared" si="30"/>
        <v>56632.060007119901</v>
      </c>
      <c r="Q110" s="43">
        <f t="shared" si="31"/>
        <v>725888.80098795879</v>
      </c>
      <c r="R110">
        <f t="shared" si="32"/>
        <v>0</v>
      </c>
      <c r="S110">
        <f t="shared" si="33"/>
        <v>56632.060007119901</v>
      </c>
      <c r="T110" s="43">
        <f t="shared" si="34"/>
        <v>725888.80098795879</v>
      </c>
      <c r="U110">
        <f t="shared" si="35"/>
        <v>0</v>
      </c>
      <c r="V110">
        <f t="shared" si="36"/>
        <v>56632.060007119901</v>
      </c>
      <c r="W110" s="43">
        <f t="shared" si="37"/>
        <v>725888.80098795879</v>
      </c>
      <c r="X110" s="43">
        <f t="shared" si="38"/>
        <v>82890.13929886918</v>
      </c>
      <c r="Y110" s="27">
        <f t="shared" si="39"/>
        <v>5559.7437514051144</v>
      </c>
      <c r="Z110" s="27">
        <f t="shared" si="40"/>
        <v>720329.05723655364</v>
      </c>
      <c r="AA110">
        <f t="shared" si="41"/>
        <v>0</v>
      </c>
      <c r="AB110" s="27">
        <f t="shared" si="42"/>
        <v>720329.05723655364</v>
      </c>
      <c r="AD110" s="27">
        <f t="shared" si="43"/>
        <v>0</v>
      </c>
      <c r="AE110" s="27">
        <f t="shared" si="44"/>
        <v>720329.05723655364</v>
      </c>
      <c r="AF110" s="50"/>
      <c r="AG110" t="str">
        <f t="shared" si="45"/>
        <v>5303750</v>
      </c>
    </row>
    <row r="111" spans="1:33" hidden="1" x14ac:dyDescent="0.25">
      <c r="A111" s="7" t="s">
        <v>145</v>
      </c>
      <c r="B111" s="2" t="s">
        <v>867</v>
      </c>
      <c r="C111" s="4" t="s">
        <v>866</v>
      </c>
      <c r="D111">
        <f>_xlfn.IFNA(VLOOKUP(A111,'Prior Year data'!$A$1:$T$318,12,FALSE),0)</f>
        <v>48924.431565747298</v>
      </c>
      <c r="E111">
        <f>VLOOKUP(A111,'Basic HH'!$B$1:$Y$319,23,FALSE)</f>
        <v>0</v>
      </c>
      <c r="F111">
        <f>VLOOKUP(A111,'Conc. HH'!$B$1:$Y$319,23,FALSE)</f>
        <v>4239.0690835958831</v>
      </c>
      <c r="G111">
        <f>VLOOKUP(A111,'Targeted HH'!$B$1:$Y$319,23,FALSE)</f>
        <v>0</v>
      </c>
      <c r="H111">
        <f>VLOOKUP(A111,'EFIG HH'!$B$1:$Y$319,23,FALSE)</f>
        <v>0</v>
      </c>
      <c r="I111">
        <f t="shared" si="23"/>
        <v>4239.0690835958831</v>
      </c>
      <c r="J111">
        <f t="shared" si="24"/>
        <v>0</v>
      </c>
      <c r="K111" s="43">
        <f t="shared" si="25"/>
        <v>4239.0690835958831</v>
      </c>
      <c r="L111">
        <f t="shared" si="26"/>
        <v>0</v>
      </c>
      <c r="M111">
        <f t="shared" si="27"/>
        <v>0</v>
      </c>
      <c r="N111" s="43">
        <f t="shared" si="28"/>
        <v>4239.0690835958831</v>
      </c>
      <c r="O111">
        <f t="shared" si="29"/>
        <v>0</v>
      </c>
      <c r="P111">
        <f t="shared" si="30"/>
        <v>0</v>
      </c>
      <c r="Q111" s="43">
        <f t="shared" si="31"/>
        <v>4239.0690835958831</v>
      </c>
      <c r="R111">
        <f t="shared" si="32"/>
        <v>0</v>
      </c>
      <c r="S111">
        <f t="shared" si="33"/>
        <v>0</v>
      </c>
      <c r="T111" s="43">
        <f t="shared" si="34"/>
        <v>4239.0690835958831</v>
      </c>
      <c r="U111">
        <f t="shared" si="35"/>
        <v>0</v>
      </c>
      <c r="V111">
        <f t="shared" si="36"/>
        <v>0</v>
      </c>
      <c r="W111" s="43">
        <f t="shared" si="37"/>
        <v>4239.0690835958831</v>
      </c>
      <c r="X111" s="43">
        <f t="shared" si="38"/>
        <v>0</v>
      </c>
      <c r="Y111" s="27">
        <f t="shared" si="39"/>
        <v>32.467972804126191</v>
      </c>
      <c r="Z111" s="27">
        <f t="shared" si="40"/>
        <v>4206.6011107917566</v>
      </c>
      <c r="AA111">
        <f t="shared" si="41"/>
        <v>0</v>
      </c>
      <c r="AB111" s="27">
        <f t="shared" si="42"/>
        <v>4206.6011107917566</v>
      </c>
      <c r="AD111" s="27">
        <f t="shared" si="43"/>
        <v>0</v>
      </c>
      <c r="AE111" s="27">
        <f t="shared" si="44"/>
        <v>4206.6011107917566</v>
      </c>
      <c r="AF111" s="50"/>
      <c r="AG111" t="str">
        <f t="shared" si="45"/>
        <v>5303780</v>
      </c>
    </row>
    <row r="112" spans="1:33" x14ac:dyDescent="0.25">
      <c r="A112" s="7" t="s">
        <v>147</v>
      </c>
      <c r="B112" s="2" t="s">
        <v>869</v>
      </c>
      <c r="C112" s="4" t="s">
        <v>868</v>
      </c>
      <c r="D112">
        <f>_xlfn.IFNA(VLOOKUP(A112,'Prior Year data'!$A$1:$T$318,12,FALSE),0)</f>
        <v>192433.5115303355</v>
      </c>
      <c r="E112">
        <f>VLOOKUP(A112,'Basic HH'!$B$1:$Y$319,23,FALSE)</f>
        <v>92084.390623419764</v>
      </c>
      <c r="F112">
        <f>VLOOKUP(A112,'Conc. HH'!$B$1:$Y$319,23,FALSE)</f>
        <v>0</v>
      </c>
      <c r="G112">
        <f>VLOOKUP(A112,'Targeted HH'!$B$1:$Y$319,23,FALSE)</f>
        <v>44421.236671245111</v>
      </c>
      <c r="H112">
        <f>VLOOKUP(A112,'EFIG HH'!$B$1:$Y$319,23,FALSE)</f>
        <v>60230.040904841109</v>
      </c>
      <c r="I112">
        <f t="shared" si="23"/>
        <v>196735.66819950601</v>
      </c>
      <c r="J112">
        <f t="shared" si="24"/>
        <v>196735.66819950601</v>
      </c>
      <c r="K112" s="43">
        <f t="shared" si="25"/>
        <v>178869.88694735256</v>
      </c>
      <c r="L112">
        <f t="shared" si="26"/>
        <v>13563.624582982942</v>
      </c>
      <c r="M112">
        <f t="shared" si="27"/>
        <v>0</v>
      </c>
      <c r="N112" s="43">
        <f t="shared" si="28"/>
        <v>192433.5115303355</v>
      </c>
      <c r="O112">
        <f t="shared" si="29"/>
        <v>0</v>
      </c>
      <c r="P112">
        <f t="shared" si="30"/>
        <v>0</v>
      </c>
      <c r="Q112" s="43">
        <f t="shared" si="31"/>
        <v>192433.5115303355</v>
      </c>
      <c r="R112">
        <f t="shared" si="32"/>
        <v>0</v>
      </c>
      <c r="S112">
        <f t="shared" si="33"/>
        <v>0</v>
      </c>
      <c r="T112" s="43">
        <f t="shared" si="34"/>
        <v>192433.5115303355</v>
      </c>
      <c r="U112">
        <f t="shared" si="35"/>
        <v>0</v>
      </c>
      <c r="V112">
        <f t="shared" si="36"/>
        <v>0</v>
      </c>
      <c r="W112" s="43">
        <f t="shared" si="37"/>
        <v>192433.5115303355</v>
      </c>
      <c r="X112" s="43">
        <f t="shared" si="38"/>
        <v>4302.1566691705084</v>
      </c>
      <c r="Y112" s="27">
        <f t="shared" si="39"/>
        <v>1473.8910585692784</v>
      </c>
      <c r="Z112" s="27">
        <f t="shared" si="40"/>
        <v>190959.62047176622</v>
      </c>
      <c r="AA112">
        <f t="shared" si="41"/>
        <v>0</v>
      </c>
      <c r="AB112" s="27">
        <f t="shared" si="42"/>
        <v>190959.62047176622</v>
      </c>
      <c r="AD112" s="27">
        <f t="shared" si="43"/>
        <v>0</v>
      </c>
      <c r="AE112" s="27">
        <f t="shared" si="44"/>
        <v>190959.62047176622</v>
      </c>
      <c r="AF112" s="50"/>
      <c r="AG112" t="str">
        <f t="shared" si="45"/>
        <v>5303810</v>
      </c>
    </row>
    <row r="113" spans="1:33" x14ac:dyDescent="0.25">
      <c r="A113" s="7" t="s">
        <v>430</v>
      </c>
      <c r="B113" s="2" t="s">
        <v>871</v>
      </c>
      <c r="C113" s="4" t="s">
        <v>870</v>
      </c>
      <c r="D113">
        <f>_xlfn.IFNA(VLOOKUP(A113,'Prior Year data'!$A$1:$T$318,12,FALSE),0)</f>
        <v>71696.511917529948</v>
      </c>
      <c r="E113">
        <f>VLOOKUP(A113,'Basic HH'!$B$1:$Y$319,23,FALSE)</f>
        <v>24003.779885956374</v>
      </c>
      <c r="F113">
        <f>VLOOKUP(A113,'Conc. HH'!$B$1:$Y$319,23,FALSE)</f>
        <v>6324.6003974505466</v>
      </c>
      <c r="G113">
        <f>VLOOKUP(A113,'Targeted HH'!$B$1:$Y$319,23,FALSE)</f>
        <v>17921.805084332831</v>
      </c>
      <c r="H113">
        <f>VLOOKUP(A113,'EFIG HH'!$B$1:$Y$319,23,FALSE)</f>
        <v>24633.844518155445</v>
      </c>
      <c r="I113">
        <f t="shared" si="23"/>
        <v>72884.029885895201</v>
      </c>
      <c r="J113">
        <f t="shared" si="24"/>
        <v>72884.029885895201</v>
      </c>
      <c r="K113" s="43">
        <f t="shared" si="25"/>
        <v>66265.35139900104</v>
      </c>
      <c r="L113">
        <f t="shared" si="26"/>
        <v>5431.1605185289081</v>
      </c>
      <c r="M113">
        <f t="shared" si="27"/>
        <v>0</v>
      </c>
      <c r="N113" s="43">
        <f t="shared" si="28"/>
        <v>71696.511917529948</v>
      </c>
      <c r="O113">
        <f t="shared" si="29"/>
        <v>0</v>
      </c>
      <c r="P113">
        <f t="shared" si="30"/>
        <v>0</v>
      </c>
      <c r="Q113" s="43">
        <f t="shared" si="31"/>
        <v>71696.511917529948</v>
      </c>
      <c r="R113">
        <f t="shared" si="32"/>
        <v>0</v>
      </c>
      <c r="S113">
        <f t="shared" si="33"/>
        <v>0</v>
      </c>
      <c r="T113" s="43">
        <f t="shared" si="34"/>
        <v>71696.511917529948</v>
      </c>
      <c r="U113">
        <f t="shared" si="35"/>
        <v>0</v>
      </c>
      <c r="V113">
        <f t="shared" si="36"/>
        <v>0</v>
      </c>
      <c r="W113" s="43">
        <f t="shared" si="37"/>
        <v>71696.511917529948</v>
      </c>
      <c r="X113" s="43">
        <f t="shared" si="38"/>
        <v>1187.5179683652532</v>
      </c>
      <c r="Y113" s="27">
        <f t="shared" si="39"/>
        <v>549.13952879353178</v>
      </c>
      <c r="Z113" s="27">
        <f t="shared" si="40"/>
        <v>71147.372388736418</v>
      </c>
      <c r="AA113">
        <f t="shared" si="41"/>
        <v>0</v>
      </c>
      <c r="AB113" s="27">
        <f t="shared" si="42"/>
        <v>71147.372388736418</v>
      </c>
      <c r="AD113" s="27">
        <f t="shared" si="43"/>
        <v>0</v>
      </c>
      <c r="AE113" s="27">
        <f t="shared" si="44"/>
        <v>71147.372388736418</v>
      </c>
      <c r="AF113" s="50"/>
      <c r="AG113" t="str">
        <f t="shared" si="45"/>
        <v>5303870</v>
      </c>
    </row>
    <row r="114" spans="1:33" hidden="1" x14ac:dyDescent="0.25">
      <c r="A114" s="7" t="s">
        <v>432</v>
      </c>
      <c r="B114" s="2" t="s">
        <v>873</v>
      </c>
      <c r="C114" s="8" t="s">
        <v>872</v>
      </c>
      <c r="D114">
        <f>_xlfn.IFNA(VLOOKUP(A114,'Prior Year data'!$A$1:$T$318,12,FALSE),0)</f>
        <v>1767411.3346116841</v>
      </c>
      <c r="E114">
        <f>VLOOKUP(A114,'Basic HH'!$B$1:$Y$319,23,FALSE)</f>
        <v>789667.08562913712</v>
      </c>
      <c r="F114">
        <f>VLOOKUP(A114,'Conc. HH'!$B$1:$Y$319,23,FALSE)</f>
        <v>212468.10085326113</v>
      </c>
      <c r="G114">
        <f>VLOOKUP(A114,'Targeted HH'!$B$1:$Y$319,23,FALSE)</f>
        <v>426611.49935214635</v>
      </c>
      <c r="H114">
        <f>VLOOKUP(A114,'EFIG HH'!$B$1:$Y$319,23,FALSE)</f>
        <v>578435.67585970042</v>
      </c>
      <c r="I114">
        <f t="shared" si="23"/>
        <v>2007182.3616942451</v>
      </c>
      <c r="J114">
        <f t="shared" si="24"/>
        <v>2007182.3616942451</v>
      </c>
      <c r="K114" s="43">
        <f t="shared" si="25"/>
        <v>1824907.9356311213</v>
      </c>
      <c r="L114">
        <f t="shared" si="26"/>
        <v>0</v>
      </c>
      <c r="M114">
        <f t="shared" si="27"/>
        <v>57496.601019437192</v>
      </c>
      <c r="N114" s="43">
        <f t="shared" si="28"/>
        <v>1816690.1360309946</v>
      </c>
      <c r="O114">
        <f t="shared" si="29"/>
        <v>0</v>
      </c>
      <c r="P114">
        <f t="shared" si="30"/>
        <v>49278.801419310505</v>
      </c>
      <c r="Q114" s="43">
        <f t="shared" si="31"/>
        <v>1816690.1360309946</v>
      </c>
      <c r="R114">
        <f t="shared" si="32"/>
        <v>0</v>
      </c>
      <c r="S114">
        <f t="shared" si="33"/>
        <v>49278.801419310505</v>
      </c>
      <c r="T114" s="43">
        <f t="shared" si="34"/>
        <v>1816690.1360309946</v>
      </c>
      <c r="U114">
        <f t="shared" si="35"/>
        <v>0</v>
      </c>
      <c r="V114">
        <f t="shared" si="36"/>
        <v>49278.801419310505</v>
      </c>
      <c r="W114" s="43">
        <f t="shared" si="37"/>
        <v>1816690.1360309946</v>
      </c>
      <c r="X114" s="43">
        <f t="shared" si="38"/>
        <v>190492.22566325055</v>
      </c>
      <c r="Y114" s="27">
        <f t="shared" si="39"/>
        <v>13914.433751134804</v>
      </c>
      <c r="Z114" s="27">
        <f t="shared" si="40"/>
        <v>1802775.7022798597</v>
      </c>
      <c r="AA114">
        <f t="shared" si="41"/>
        <v>0</v>
      </c>
      <c r="AB114" s="27">
        <f t="shared" si="42"/>
        <v>1802775.7022798597</v>
      </c>
      <c r="AD114" s="27">
        <f t="shared" si="43"/>
        <v>0</v>
      </c>
      <c r="AE114" s="27">
        <f t="shared" si="44"/>
        <v>1802775.7022798597</v>
      </c>
      <c r="AF114" s="50"/>
      <c r="AG114" t="str">
        <f t="shared" si="45"/>
        <v>5300003</v>
      </c>
    </row>
    <row r="115" spans="1:33" hidden="1" x14ac:dyDescent="0.25">
      <c r="A115" s="7" t="s">
        <v>434</v>
      </c>
      <c r="B115" s="2" t="s">
        <v>875</v>
      </c>
      <c r="C115" s="4" t="s">
        <v>874</v>
      </c>
      <c r="D115">
        <f>_xlfn.IFNA(VLOOKUP(A115,'Prior Year data'!$A$1:$T$318,12,FALSE),0)</f>
        <v>6263830.307698356</v>
      </c>
      <c r="E115">
        <f>VLOOKUP(A115,'Basic HH'!$B$1:$Y$319,23,FALSE)</f>
        <v>2624405.1327674626</v>
      </c>
      <c r="F115">
        <f>VLOOKUP(A115,'Conc. HH'!$B$1:$Y$319,23,FALSE)</f>
        <v>394816.79832331027</v>
      </c>
      <c r="G115">
        <f>VLOOKUP(A115,'Targeted HH'!$B$1:$Y$319,23,FALSE)</f>
        <v>1913256.1888921654</v>
      </c>
      <c r="H115">
        <f>VLOOKUP(A115,'EFIG HH'!$B$1:$Y$319,23,FALSE)</f>
        <v>2594153.3184061511</v>
      </c>
      <c r="I115">
        <f t="shared" si="23"/>
        <v>7526631.438389089</v>
      </c>
      <c r="J115">
        <f t="shared" si="24"/>
        <v>7526631.438389089</v>
      </c>
      <c r="K115" s="43">
        <f t="shared" si="25"/>
        <v>6843129.8035585517</v>
      </c>
      <c r="L115">
        <f t="shared" si="26"/>
        <v>0</v>
      </c>
      <c r="M115">
        <f t="shared" si="27"/>
        <v>579299.49586019572</v>
      </c>
      <c r="N115" s="43">
        <f t="shared" si="28"/>
        <v>6760332.4367398731</v>
      </c>
      <c r="O115">
        <f t="shared" si="29"/>
        <v>0</v>
      </c>
      <c r="P115">
        <f t="shared" si="30"/>
        <v>496502.12904151715</v>
      </c>
      <c r="Q115" s="43">
        <f t="shared" si="31"/>
        <v>6760332.4367398731</v>
      </c>
      <c r="R115">
        <f t="shared" si="32"/>
        <v>0</v>
      </c>
      <c r="S115">
        <f t="shared" si="33"/>
        <v>496502.12904151715</v>
      </c>
      <c r="T115" s="43">
        <f t="shared" si="34"/>
        <v>6760332.4367398731</v>
      </c>
      <c r="U115">
        <f t="shared" si="35"/>
        <v>0</v>
      </c>
      <c r="V115">
        <f t="shared" si="36"/>
        <v>496502.12904151715</v>
      </c>
      <c r="W115" s="43">
        <f t="shared" si="37"/>
        <v>6760332.4367398731</v>
      </c>
      <c r="X115" s="43">
        <f t="shared" si="38"/>
        <v>766299.00164921582</v>
      </c>
      <c r="Y115" s="27">
        <f t="shared" si="39"/>
        <v>51778.889509564564</v>
      </c>
      <c r="Z115" s="27">
        <f t="shared" si="40"/>
        <v>6708553.5472303089</v>
      </c>
      <c r="AA115">
        <f t="shared" si="41"/>
        <v>0</v>
      </c>
      <c r="AB115" s="27">
        <f t="shared" si="42"/>
        <v>6708553.5472303089</v>
      </c>
      <c r="AD115" s="27">
        <f t="shared" si="43"/>
        <v>0</v>
      </c>
      <c r="AE115" s="27">
        <f t="shared" si="44"/>
        <v>6708553.5472303089</v>
      </c>
      <c r="AF115" s="50"/>
      <c r="AG115" t="str">
        <f t="shared" si="45"/>
        <v>5303930</v>
      </c>
    </row>
    <row r="116" spans="1:33" hidden="1" x14ac:dyDescent="0.25">
      <c r="A116" s="7" t="s">
        <v>436</v>
      </c>
      <c r="B116" s="2" t="s">
        <v>877</v>
      </c>
      <c r="C116" s="4" t="s">
        <v>876</v>
      </c>
      <c r="D116">
        <f>_xlfn.IFNA(VLOOKUP(A116,'Prior Year data'!$A$1:$T$318,12,FALSE),0)</f>
        <v>9849589.3203536384</v>
      </c>
      <c r="E116">
        <f>VLOOKUP(A116,'Basic HH'!$B$1:$Y$319,23,FALSE)</f>
        <v>3867544.4061836284</v>
      </c>
      <c r="F116">
        <f>VLOOKUP(A116,'Conc. HH'!$B$1:$Y$319,23,FALSE)</f>
        <v>0</v>
      </c>
      <c r="G116">
        <f>VLOOKUP(A116,'Targeted HH'!$B$1:$Y$319,23,FALSE)</f>
        <v>3112629.5790157816</v>
      </c>
      <c r="H116">
        <f>VLOOKUP(A116,'EFIG HH'!$B$1:$Y$319,23,FALSE)</f>
        <v>4220364.4228368625</v>
      </c>
      <c r="I116">
        <f t="shared" si="23"/>
        <v>11200538.408036273</v>
      </c>
      <c r="J116">
        <f t="shared" si="24"/>
        <v>11200538.408036273</v>
      </c>
      <c r="K116" s="43">
        <f t="shared" si="25"/>
        <v>10183405.262147369</v>
      </c>
      <c r="L116">
        <f t="shared" si="26"/>
        <v>0</v>
      </c>
      <c r="M116">
        <f t="shared" si="27"/>
        <v>333815.94179373048</v>
      </c>
      <c r="N116" s="43">
        <f t="shared" si="28"/>
        <v>10135694.050278321</v>
      </c>
      <c r="O116">
        <f t="shared" si="29"/>
        <v>0</v>
      </c>
      <c r="P116">
        <f t="shared" si="30"/>
        <v>286104.72992468253</v>
      </c>
      <c r="Q116" s="43">
        <f t="shared" si="31"/>
        <v>10135694.050278321</v>
      </c>
      <c r="R116">
        <f t="shared" si="32"/>
        <v>0</v>
      </c>
      <c r="S116">
        <f t="shared" si="33"/>
        <v>286104.72992468253</v>
      </c>
      <c r="T116" s="43">
        <f t="shared" si="34"/>
        <v>10135694.050278321</v>
      </c>
      <c r="U116">
        <f t="shared" si="35"/>
        <v>0</v>
      </c>
      <c r="V116">
        <f t="shared" si="36"/>
        <v>286104.72992468253</v>
      </c>
      <c r="W116" s="43">
        <f t="shared" si="37"/>
        <v>10135694.050278321</v>
      </c>
      <c r="X116" s="43">
        <f t="shared" si="38"/>
        <v>1064844.3577579521</v>
      </c>
      <c r="Y116" s="27">
        <f t="shared" si="39"/>
        <v>77631.534727484614</v>
      </c>
      <c r="Z116" s="27">
        <f t="shared" si="40"/>
        <v>10058062.515550837</v>
      </c>
      <c r="AA116">
        <f t="shared" si="41"/>
        <v>0</v>
      </c>
      <c r="AB116" s="27">
        <f t="shared" si="42"/>
        <v>10058062.515550837</v>
      </c>
      <c r="AD116" s="27">
        <f t="shared" si="43"/>
        <v>0</v>
      </c>
      <c r="AE116" s="27">
        <f t="shared" si="44"/>
        <v>10058062.515550837</v>
      </c>
      <c r="AF116" s="50"/>
      <c r="AG116" t="str">
        <f t="shared" si="45"/>
        <v>5303960</v>
      </c>
    </row>
    <row r="117" spans="1:33" hidden="1" x14ac:dyDescent="0.25">
      <c r="A117" s="7" t="s">
        <v>438</v>
      </c>
      <c r="B117" s="2" t="s">
        <v>879</v>
      </c>
      <c r="C117" s="4" t="s">
        <v>878</v>
      </c>
      <c r="D117">
        <f>_xlfn.IFNA(VLOOKUP(A117,'Prior Year data'!$A$1:$T$318,12,FALSE),0)</f>
        <v>315738.88026817678</v>
      </c>
      <c r="E117">
        <f>VLOOKUP(A117,'Basic HH'!$B$1:$Y$319,23,FALSE)</f>
        <v>128570.65860628414</v>
      </c>
      <c r="F117">
        <f>VLOOKUP(A117,'Conc. HH'!$B$1:$Y$319,23,FALSE)</f>
        <v>34593.266145525464</v>
      </c>
      <c r="G117">
        <f>VLOOKUP(A117,'Targeted HH'!$B$1:$Y$319,23,FALSE)</f>
        <v>62165.865401739131</v>
      </c>
      <c r="H117">
        <f>VLOOKUP(A117,'EFIG HH'!$B$1:$Y$319,23,FALSE)</f>
        <v>84289.697824989547</v>
      </c>
      <c r="I117">
        <f t="shared" si="23"/>
        <v>309619.48797853827</v>
      </c>
      <c r="J117">
        <f t="shared" si="24"/>
        <v>0</v>
      </c>
      <c r="K117" s="43">
        <f t="shared" si="25"/>
        <v>309619.48797853827</v>
      </c>
      <c r="L117">
        <f t="shared" si="26"/>
        <v>0</v>
      </c>
      <c r="M117">
        <f t="shared" si="27"/>
        <v>0</v>
      </c>
      <c r="N117" s="43">
        <f t="shared" si="28"/>
        <v>309619.48797853827</v>
      </c>
      <c r="O117">
        <f t="shared" si="29"/>
        <v>0</v>
      </c>
      <c r="P117">
        <f t="shared" si="30"/>
        <v>0</v>
      </c>
      <c r="Q117" s="43">
        <f t="shared" si="31"/>
        <v>309619.48797853827</v>
      </c>
      <c r="R117">
        <f t="shared" si="32"/>
        <v>0</v>
      </c>
      <c r="S117">
        <f t="shared" si="33"/>
        <v>0</v>
      </c>
      <c r="T117" s="43">
        <f t="shared" si="34"/>
        <v>309619.48797853827</v>
      </c>
      <c r="U117">
        <f t="shared" si="35"/>
        <v>0</v>
      </c>
      <c r="V117">
        <f t="shared" si="36"/>
        <v>0</v>
      </c>
      <c r="W117" s="43">
        <f t="shared" si="37"/>
        <v>309619.48797853827</v>
      </c>
      <c r="X117" s="43">
        <f t="shared" si="38"/>
        <v>0</v>
      </c>
      <c r="Y117" s="27">
        <f t="shared" si="39"/>
        <v>2371.4445122435277</v>
      </c>
      <c r="Z117" s="27">
        <f t="shared" si="40"/>
        <v>307248.04346629477</v>
      </c>
      <c r="AA117">
        <f t="shared" si="41"/>
        <v>0</v>
      </c>
      <c r="AB117" s="27">
        <f t="shared" si="42"/>
        <v>307248.04346629477</v>
      </c>
      <c r="AD117" s="27">
        <f t="shared" si="43"/>
        <v>0</v>
      </c>
      <c r="AE117" s="27">
        <f t="shared" si="44"/>
        <v>307248.04346629477</v>
      </c>
      <c r="AF117" s="50"/>
      <c r="AG117" t="str">
        <f t="shared" si="45"/>
        <v>5303990</v>
      </c>
    </row>
    <row r="118" spans="1:33" hidden="1" x14ac:dyDescent="0.25">
      <c r="A118" s="7" t="s">
        <v>440</v>
      </c>
      <c r="B118" s="2" t="s">
        <v>881</v>
      </c>
      <c r="C118" s="8" t="s">
        <v>880</v>
      </c>
      <c r="D118">
        <f>_xlfn.IFNA(VLOOKUP(A118,'Prior Year data'!$A$1:$T$318,12,FALSE),0)</f>
        <v>471685.65543848812</v>
      </c>
      <c r="E118">
        <f>VLOOKUP(A118,'Basic HH'!$B$1:$Y$319,23,FALSE)</f>
        <v>182824.48837869993</v>
      </c>
      <c r="F118">
        <f>VLOOKUP(A118,'Conc. HH'!$B$1:$Y$319,23,FALSE)</f>
        <v>41889.040507044614</v>
      </c>
      <c r="G118">
        <f>VLOOKUP(A118,'Targeted HH'!$B$1:$Y$319,23,FALSE)</f>
        <v>87456.509791179604</v>
      </c>
      <c r="H118">
        <f>VLOOKUP(A118,'EFIG HH'!$B$1:$Y$319,23,FALSE)</f>
        <v>120210.55101083637</v>
      </c>
      <c r="I118">
        <f t="shared" si="23"/>
        <v>432380.58968776051</v>
      </c>
      <c r="J118">
        <f t="shared" si="24"/>
        <v>0</v>
      </c>
      <c r="K118" s="43">
        <f t="shared" si="25"/>
        <v>432380.58968776051</v>
      </c>
      <c r="L118">
        <f t="shared" si="26"/>
        <v>0</v>
      </c>
      <c r="M118">
        <f t="shared" si="27"/>
        <v>0</v>
      </c>
      <c r="N118" s="43">
        <f t="shared" si="28"/>
        <v>432380.58968776051</v>
      </c>
      <c r="O118">
        <f t="shared" si="29"/>
        <v>0</v>
      </c>
      <c r="P118">
        <f t="shared" si="30"/>
        <v>0</v>
      </c>
      <c r="Q118" s="43">
        <f t="shared" si="31"/>
        <v>432380.58968776051</v>
      </c>
      <c r="R118">
        <f t="shared" si="32"/>
        <v>0</v>
      </c>
      <c r="S118">
        <f t="shared" si="33"/>
        <v>0</v>
      </c>
      <c r="T118" s="43">
        <f t="shared" si="34"/>
        <v>432380.58968776051</v>
      </c>
      <c r="U118">
        <f t="shared" si="35"/>
        <v>0</v>
      </c>
      <c r="V118">
        <f t="shared" si="36"/>
        <v>0</v>
      </c>
      <c r="W118" s="43">
        <f t="shared" si="37"/>
        <v>432380.58968776051</v>
      </c>
      <c r="X118" s="43">
        <f t="shared" si="38"/>
        <v>0</v>
      </c>
      <c r="Y118" s="27">
        <f t="shared" si="39"/>
        <v>3311.6990900996998</v>
      </c>
      <c r="Z118" s="27">
        <f t="shared" si="40"/>
        <v>429068.89059766079</v>
      </c>
      <c r="AA118">
        <f t="shared" si="41"/>
        <v>0</v>
      </c>
      <c r="AB118" s="27">
        <f t="shared" si="42"/>
        <v>429068.89059766079</v>
      </c>
      <c r="AD118" s="27">
        <f t="shared" si="43"/>
        <v>0</v>
      </c>
      <c r="AE118" s="27">
        <f t="shared" si="44"/>
        <v>429068.89059766079</v>
      </c>
      <c r="AF118" s="50"/>
      <c r="AG118" t="str">
        <f t="shared" si="45"/>
        <v>5304020</v>
      </c>
    </row>
    <row r="119" spans="1:33" hidden="1" x14ac:dyDescent="0.25">
      <c r="A119" s="7" t="s">
        <v>278</v>
      </c>
      <c r="B119" s="2" t="s">
        <v>883</v>
      </c>
      <c r="C119" s="4" t="s">
        <v>882</v>
      </c>
      <c r="D119">
        <f>_xlfn.IFNA(VLOOKUP(A119,'Prior Year data'!$A$1:$T$318,12,FALSE),0)</f>
        <v>98224.258250258034</v>
      </c>
      <c r="E119">
        <f>VLOOKUP(A119,'Basic HH'!$B$1:$Y$319,23,FALSE)</f>
        <v>61679.167304366056</v>
      </c>
      <c r="F119">
        <f>VLOOKUP(A119,'Conc. HH'!$B$1:$Y$319,23,FALSE)</f>
        <v>0</v>
      </c>
      <c r="G119">
        <f>VLOOKUP(A119,'Targeted HH'!$B$1:$Y$319,23,FALSE)</f>
        <v>29753.847204324549</v>
      </c>
      <c r="H119">
        <f>VLOOKUP(A119,'EFIG HH'!$B$1:$Y$319,23,FALSE)</f>
        <v>40342.763247582261</v>
      </c>
      <c r="I119">
        <f t="shared" si="23"/>
        <v>131775.77775627287</v>
      </c>
      <c r="J119">
        <f t="shared" si="24"/>
        <v>131775.77775627287</v>
      </c>
      <c r="K119" s="43">
        <f t="shared" si="25"/>
        <v>119809.07521945311</v>
      </c>
      <c r="L119">
        <f t="shared" si="26"/>
        <v>0</v>
      </c>
      <c r="M119">
        <f t="shared" si="27"/>
        <v>21584.816969195075</v>
      </c>
      <c r="N119" s="43">
        <f t="shared" si="28"/>
        <v>116724.02850167763</v>
      </c>
      <c r="O119">
        <f t="shared" si="29"/>
        <v>0</v>
      </c>
      <c r="P119">
        <f t="shared" si="30"/>
        <v>18499.770251419599</v>
      </c>
      <c r="Q119" s="43">
        <f t="shared" si="31"/>
        <v>116724.02850167763</v>
      </c>
      <c r="R119">
        <f t="shared" si="32"/>
        <v>0</v>
      </c>
      <c r="S119">
        <f t="shared" si="33"/>
        <v>18499.770251419599</v>
      </c>
      <c r="T119" s="43">
        <f t="shared" si="34"/>
        <v>116724.02850167763</v>
      </c>
      <c r="U119">
        <f t="shared" si="35"/>
        <v>0</v>
      </c>
      <c r="V119">
        <f t="shared" si="36"/>
        <v>18499.770251419599</v>
      </c>
      <c r="W119" s="43">
        <f t="shared" si="37"/>
        <v>116724.02850167763</v>
      </c>
      <c r="X119" s="43">
        <f t="shared" si="38"/>
        <v>15051.749254595241</v>
      </c>
      <c r="Y119" s="27">
        <f t="shared" si="39"/>
        <v>894.01529162288273</v>
      </c>
      <c r="Z119" s="27">
        <f t="shared" si="40"/>
        <v>115830.01321005475</v>
      </c>
      <c r="AA119">
        <f t="shared" si="41"/>
        <v>0</v>
      </c>
      <c r="AB119" s="27">
        <f t="shared" si="42"/>
        <v>115830.01321005475</v>
      </c>
      <c r="AD119" s="27">
        <f t="shared" si="43"/>
        <v>0</v>
      </c>
      <c r="AE119" s="27">
        <f t="shared" si="44"/>
        <v>115830.01321005475</v>
      </c>
      <c r="AF119" s="50"/>
      <c r="AG119" t="str">
        <f t="shared" si="45"/>
        <v>5304050</v>
      </c>
    </row>
    <row r="120" spans="1:33" hidden="1" x14ac:dyDescent="0.25">
      <c r="A120" s="7" t="s">
        <v>441</v>
      </c>
      <c r="B120" s="2" t="s">
        <v>885</v>
      </c>
      <c r="C120" s="4" t="s">
        <v>884</v>
      </c>
      <c r="D120">
        <f>_xlfn.IFNA(VLOOKUP(A120,'Prior Year data'!$A$1:$T$318,12,FALSE),0)</f>
        <v>30459.500619696282</v>
      </c>
      <c r="E120">
        <f>VLOOKUP(A120,'Basic HH'!$B$1:$Y$319,23,FALSE)</f>
        <v>0</v>
      </c>
      <c r="F120">
        <f>VLOOKUP(A120,'Conc. HH'!$B$1:$Y$319,23,FALSE)</f>
        <v>2697.5894168337459</v>
      </c>
      <c r="G120">
        <f>VLOOKUP(A120,'Targeted HH'!$B$1:$Y$319,23,FALSE)</f>
        <v>0</v>
      </c>
      <c r="H120">
        <f>VLOOKUP(A120,'EFIG HH'!$B$1:$Y$319,23,FALSE)</f>
        <v>0</v>
      </c>
      <c r="I120">
        <f t="shared" si="23"/>
        <v>2697.5894168337459</v>
      </c>
      <c r="J120">
        <f t="shared" si="24"/>
        <v>0</v>
      </c>
      <c r="K120" s="43">
        <f t="shared" si="25"/>
        <v>2697.5894168337459</v>
      </c>
      <c r="L120">
        <f t="shared" si="26"/>
        <v>0</v>
      </c>
      <c r="M120">
        <f t="shared" si="27"/>
        <v>0</v>
      </c>
      <c r="N120" s="43">
        <f t="shared" si="28"/>
        <v>2697.5894168337459</v>
      </c>
      <c r="O120">
        <f t="shared" si="29"/>
        <v>0</v>
      </c>
      <c r="P120">
        <f t="shared" si="30"/>
        <v>0</v>
      </c>
      <c r="Q120" s="43">
        <f t="shared" si="31"/>
        <v>2697.5894168337459</v>
      </c>
      <c r="R120">
        <f t="shared" si="32"/>
        <v>0</v>
      </c>
      <c r="S120">
        <f t="shared" si="33"/>
        <v>0</v>
      </c>
      <c r="T120" s="43">
        <f t="shared" si="34"/>
        <v>2697.5894168337459</v>
      </c>
      <c r="U120">
        <f t="shared" si="35"/>
        <v>0</v>
      </c>
      <c r="V120">
        <f t="shared" si="36"/>
        <v>0</v>
      </c>
      <c r="W120" s="43">
        <f t="shared" si="37"/>
        <v>2697.5894168337459</v>
      </c>
      <c r="X120" s="43">
        <f t="shared" si="38"/>
        <v>0</v>
      </c>
      <c r="Y120" s="27">
        <f t="shared" si="39"/>
        <v>20.661437238989407</v>
      </c>
      <c r="Z120" s="27">
        <f t="shared" si="40"/>
        <v>2676.9279795947564</v>
      </c>
      <c r="AA120">
        <f t="shared" si="41"/>
        <v>0</v>
      </c>
      <c r="AB120" s="27">
        <f t="shared" si="42"/>
        <v>2676.9279795947564</v>
      </c>
      <c r="AD120" s="27">
        <f t="shared" si="43"/>
        <v>0</v>
      </c>
      <c r="AE120" s="27">
        <f t="shared" si="44"/>
        <v>2676.9279795947564</v>
      </c>
      <c r="AF120" s="50"/>
      <c r="AG120" t="str">
        <f t="shared" si="45"/>
        <v>5304080</v>
      </c>
    </row>
    <row r="121" spans="1:33" hidden="1" x14ac:dyDescent="0.25">
      <c r="A121" s="7" t="s">
        <v>149</v>
      </c>
      <c r="B121" s="2" t="s">
        <v>887</v>
      </c>
      <c r="C121" s="4" t="s">
        <v>886</v>
      </c>
      <c r="D121">
        <f>_xlfn.IFNA(VLOOKUP(A121,'Prior Year data'!$A$1:$T$318,12,FALSE),0)</f>
        <v>230471.61659446461</v>
      </c>
      <c r="E121">
        <f>VLOOKUP(A121,'Basic HH'!$B$1:$Y$319,23,FALSE)</f>
        <v>92143.542142864768</v>
      </c>
      <c r="F121">
        <f>VLOOKUP(A121,'Conc. HH'!$B$1:$Y$319,23,FALSE)</f>
        <v>0</v>
      </c>
      <c r="G121">
        <f>VLOOKUP(A121,'Targeted HH'!$B$1:$Y$319,23,FALSE)</f>
        <v>0</v>
      </c>
      <c r="H121">
        <f>VLOOKUP(A121,'EFIG HH'!$B$1:$Y$319,23,FALSE)</f>
        <v>0</v>
      </c>
      <c r="I121">
        <f t="shared" si="23"/>
        <v>92143.542142864768</v>
      </c>
      <c r="J121">
        <f t="shared" si="24"/>
        <v>0</v>
      </c>
      <c r="K121" s="43">
        <f t="shared" si="25"/>
        <v>92143.542142864768</v>
      </c>
      <c r="L121">
        <f t="shared" si="26"/>
        <v>0</v>
      </c>
      <c r="M121">
        <f t="shared" si="27"/>
        <v>0</v>
      </c>
      <c r="N121" s="43">
        <f t="shared" si="28"/>
        <v>92143.542142864768</v>
      </c>
      <c r="O121">
        <f t="shared" si="29"/>
        <v>0</v>
      </c>
      <c r="P121">
        <f t="shared" si="30"/>
        <v>0</v>
      </c>
      <c r="Q121" s="43">
        <f t="shared" si="31"/>
        <v>92143.542142864768</v>
      </c>
      <c r="R121">
        <f t="shared" si="32"/>
        <v>0</v>
      </c>
      <c r="S121">
        <f t="shared" si="33"/>
        <v>0</v>
      </c>
      <c r="T121" s="43">
        <f t="shared" si="34"/>
        <v>92143.542142864768</v>
      </c>
      <c r="U121">
        <f t="shared" si="35"/>
        <v>0</v>
      </c>
      <c r="V121">
        <f t="shared" si="36"/>
        <v>0</v>
      </c>
      <c r="W121" s="43">
        <f t="shared" si="37"/>
        <v>92143.542142864768</v>
      </c>
      <c r="X121" s="43">
        <f t="shared" si="38"/>
        <v>0</v>
      </c>
      <c r="Y121" s="27">
        <f t="shared" si="39"/>
        <v>705.74788034183257</v>
      </c>
      <c r="Z121" s="27">
        <f t="shared" si="40"/>
        <v>91437.794262522933</v>
      </c>
      <c r="AA121">
        <f t="shared" si="41"/>
        <v>0</v>
      </c>
      <c r="AB121" s="27">
        <f t="shared" si="42"/>
        <v>91437.794262522933</v>
      </c>
      <c r="AD121" s="27">
        <f t="shared" si="43"/>
        <v>0</v>
      </c>
      <c r="AE121" s="27">
        <f t="shared" si="44"/>
        <v>91437.794262522933</v>
      </c>
      <c r="AF121" s="50"/>
      <c r="AG121" t="str">
        <f t="shared" si="45"/>
        <v>5304170</v>
      </c>
    </row>
    <row r="122" spans="1:33" hidden="1" x14ac:dyDescent="0.25">
      <c r="A122" s="7" t="s">
        <v>280</v>
      </c>
      <c r="B122" s="2" t="s">
        <v>889</v>
      </c>
      <c r="C122" s="4" t="s">
        <v>888</v>
      </c>
      <c r="D122">
        <f>_xlfn.IFNA(VLOOKUP(A122,'Prior Year data'!$A$1:$T$318,12,FALSE),0)</f>
        <v>263551.15852845751</v>
      </c>
      <c r="E122">
        <f>VLOOKUP(A122,'Basic HH'!$B$1:$Y$319,23,FALSE)</f>
        <v>84673.853565184225</v>
      </c>
      <c r="F122">
        <f>VLOOKUP(A122,'Conc. HH'!$B$1:$Y$319,23,FALSE)</f>
        <v>22176.550856670681</v>
      </c>
      <c r="G122">
        <f>VLOOKUP(A122,'Targeted HH'!$B$1:$Y$319,23,FALSE)</f>
        <v>51773.721280946986</v>
      </c>
      <c r="H122">
        <f>VLOOKUP(A122,'EFIG HH'!$B$1:$Y$319,23,FALSE)</f>
        <v>71392.5271208052</v>
      </c>
      <c r="I122">
        <f t="shared" si="23"/>
        <v>230016.65282360709</v>
      </c>
      <c r="J122">
        <f t="shared" si="24"/>
        <v>0</v>
      </c>
      <c r="K122" s="43">
        <f t="shared" si="25"/>
        <v>230016.65282360709</v>
      </c>
      <c r="L122">
        <f t="shared" si="26"/>
        <v>0</v>
      </c>
      <c r="M122">
        <f t="shared" si="27"/>
        <v>0</v>
      </c>
      <c r="N122" s="43">
        <f t="shared" si="28"/>
        <v>230016.65282360709</v>
      </c>
      <c r="O122">
        <f t="shared" si="29"/>
        <v>0</v>
      </c>
      <c r="P122">
        <f t="shared" si="30"/>
        <v>0</v>
      </c>
      <c r="Q122" s="43">
        <f t="shared" si="31"/>
        <v>230016.65282360709</v>
      </c>
      <c r="R122">
        <f t="shared" si="32"/>
        <v>0</v>
      </c>
      <c r="S122">
        <f t="shared" si="33"/>
        <v>0</v>
      </c>
      <c r="T122" s="43">
        <f t="shared" si="34"/>
        <v>230016.65282360709</v>
      </c>
      <c r="U122">
        <f t="shared" si="35"/>
        <v>0</v>
      </c>
      <c r="V122">
        <f t="shared" si="36"/>
        <v>0</v>
      </c>
      <c r="W122" s="43">
        <f t="shared" si="37"/>
        <v>230016.65282360709</v>
      </c>
      <c r="X122" s="43">
        <f t="shared" si="38"/>
        <v>0</v>
      </c>
      <c r="Y122" s="27">
        <f t="shared" si="39"/>
        <v>1761.7486955503844</v>
      </c>
      <c r="Z122" s="27">
        <f t="shared" si="40"/>
        <v>228254.90412805672</v>
      </c>
      <c r="AA122">
        <f t="shared" si="41"/>
        <v>0</v>
      </c>
      <c r="AB122" s="27">
        <f t="shared" si="42"/>
        <v>228254.90412805672</v>
      </c>
      <c r="AD122" s="27">
        <f t="shared" si="43"/>
        <v>0</v>
      </c>
      <c r="AE122" s="27">
        <f t="shared" si="44"/>
        <v>228254.90412805672</v>
      </c>
      <c r="AF122" s="50"/>
      <c r="AG122" t="str">
        <f t="shared" si="45"/>
        <v>5304110</v>
      </c>
    </row>
    <row r="123" spans="1:33" hidden="1" x14ac:dyDescent="0.25">
      <c r="A123" s="7" t="s">
        <v>443</v>
      </c>
      <c r="B123" s="2" t="s">
        <v>891</v>
      </c>
      <c r="C123" s="4" t="s">
        <v>890</v>
      </c>
      <c r="D123">
        <f>_xlfn.IFNA(VLOOKUP(A123,'Prior Year data'!$A$1:$T$318,12,FALSE),0)</f>
        <v>27397.177147390419</v>
      </c>
      <c r="E123">
        <f>VLOOKUP(A123,'Basic HH'!$B$1:$Y$319,23,FALSE)</f>
        <v>14768.251326397507</v>
      </c>
      <c r="F123">
        <f>VLOOKUP(A123,'Conc. HH'!$B$1:$Y$319,23,FALSE)</f>
        <v>3973.5508410400885</v>
      </c>
      <c r="G123">
        <f>VLOOKUP(A123,'Targeted HH'!$B$1:$Y$319,23,FALSE)</f>
        <v>8060.1495803433263</v>
      </c>
      <c r="H123">
        <f>VLOOKUP(A123,'EFIG HH'!$B$1:$Y$319,23,FALSE)</f>
        <v>10928.627280596806</v>
      </c>
      <c r="I123">
        <f t="shared" si="23"/>
        <v>37730.579028377724</v>
      </c>
      <c r="J123">
        <f t="shared" si="24"/>
        <v>37730.579028377724</v>
      </c>
      <c r="K123" s="43">
        <f t="shared" si="25"/>
        <v>34304.223870682035</v>
      </c>
      <c r="L123">
        <f t="shared" si="26"/>
        <v>0</v>
      </c>
      <c r="M123">
        <f t="shared" si="27"/>
        <v>6907.0467232916162</v>
      </c>
      <c r="N123" s="43">
        <f t="shared" si="28"/>
        <v>33317.022457131796</v>
      </c>
      <c r="O123">
        <f t="shared" si="29"/>
        <v>0</v>
      </c>
      <c r="P123">
        <f t="shared" si="30"/>
        <v>5919.8453097413767</v>
      </c>
      <c r="Q123" s="43">
        <f t="shared" si="31"/>
        <v>33317.022457131796</v>
      </c>
      <c r="R123">
        <f t="shared" si="32"/>
        <v>0</v>
      </c>
      <c r="S123">
        <f t="shared" si="33"/>
        <v>5919.8453097413767</v>
      </c>
      <c r="T123" s="43">
        <f t="shared" si="34"/>
        <v>33317.022457131796</v>
      </c>
      <c r="U123">
        <f t="shared" si="35"/>
        <v>0</v>
      </c>
      <c r="V123">
        <f t="shared" si="36"/>
        <v>5919.8453097413767</v>
      </c>
      <c r="W123" s="43">
        <f t="shared" si="37"/>
        <v>33317.022457131796</v>
      </c>
      <c r="X123" s="43">
        <f t="shared" si="38"/>
        <v>4413.5565712459284</v>
      </c>
      <c r="Y123" s="27">
        <f t="shared" si="39"/>
        <v>255.18248410686675</v>
      </c>
      <c r="Z123" s="27">
        <f t="shared" si="40"/>
        <v>33061.839973024929</v>
      </c>
      <c r="AA123">
        <f t="shared" si="41"/>
        <v>0</v>
      </c>
      <c r="AB123" s="27">
        <f t="shared" si="42"/>
        <v>33061.839973024929</v>
      </c>
      <c r="AD123" s="27">
        <f t="shared" si="43"/>
        <v>0</v>
      </c>
      <c r="AE123" s="27">
        <f t="shared" si="44"/>
        <v>33061.839973024929</v>
      </c>
      <c r="AF123" s="50"/>
      <c r="AG123" t="str">
        <f t="shared" si="45"/>
        <v>5304150</v>
      </c>
    </row>
    <row r="124" spans="1:33" hidden="1" x14ac:dyDescent="0.25">
      <c r="A124" s="7" t="s">
        <v>282</v>
      </c>
      <c r="B124" s="2" t="s">
        <v>893</v>
      </c>
      <c r="C124" s="8" t="s">
        <v>892</v>
      </c>
      <c r="D124">
        <f>_xlfn.IFNA(VLOOKUP(A124,'Prior Year data'!$A$1:$T$318,12,FALSE),0)</f>
        <v>267392.66358657542</v>
      </c>
      <c r="E124">
        <f>VLOOKUP(A124,'Basic HH'!$B$1:$Y$319,23,FALSE)</f>
        <v>145076.35126519899</v>
      </c>
      <c r="F124">
        <f>VLOOKUP(A124,'Conc. HH'!$B$1:$Y$319,23,FALSE)</f>
        <v>0</v>
      </c>
      <c r="G124">
        <f>VLOOKUP(A124,'Targeted HH'!$B$1:$Y$319,23,FALSE)</f>
        <v>69984.401170735233</v>
      </c>
      <c r="H124">
        <f>VLOOKUP(A124,'EFIG HH'!$B$1:$Y$319,23,FALSE)</f>
        <v>94890.724821777971</v>
      </c>
      <c r="I124">
        <f t="shared" si="23"/>
        <v>309951.47725771216</v>
      </c>
      <c r="J124">
        <f t="shared" si="24"/>
        <v>309951.47725771216</v>
      </c>
      <c r="K124" s="43">
        <f t="shared" si="25"/>
        <v>281804.44453026284</v>
      </c>
      <c r="L124">
        <f t="shared" si="26"/>
        <v>0</v>
      </c>
      <c r="M124">
        <f t="shared" si="27"/>
        <v>14411.780943687423</v>
      </c>
      <c r="N124" s="43">
        <f t="shared" si="28"/>
        <v>279744.61619995662</v>
      </c>
      <c r="O124">
        <f t="shared" si="29"/>
        <v>0</v>
      </c>
      <c r="P124">
        <f t="shared" si="30"/>
        <v>12351.952613381203</v>
      </c>
      <c r="Q124" s="43">
        <f t="shared" si="31"/>
        <v>279744.61619995662</v>
      </c>
      <c r="R124">
        <f t="shared" si="32"/>
        <v>0</v>
      </c>
      <c r="S124">
        <f t="shared" si="33"/>
        <v>12351.952613381203</v>
      </c>
      <c r="T124" s="43">
        <f t="shared" si="34"/>
        <v>279744.61619995662</v>
      </c>
      <c r="U124">
        <f t="shared" si="35"/>
        <v>0</v>
      </c>
      <c r="V124">
        <f t="shared" si="36"/>
        <v>12351.952613381203</v>
      </c>
      <c r="W124" s="43">
        <f t="shared" si="37"/>
        <v>279744.61619995662</v>
      </c>
      <c r="X124" s="43">
        <f t="shared" si="38"/>
        <v>30206.861057755537</v>
      </c>
      <c r="Y124" s="27">
        <f t="shared" si="39"/>
        <v>2142.6262256561945</v>
      </c>
      <c r="Z124" s="27">
        <f t="shared" si="40"/>
        <v>277601.98997430044</v>
      </c>
      <c r="AA124">
        <f t="shared" si="41"/>
        <v>0</v>
      </c>
      <c r="AB124" s="27">
        <f t="shared" si="42"/>
        <v>277601.98997430044</v>
      </c>
      <c r="AD124" s="27">
        <f t="shared" si="43"/>
        <v>0</v>
      </c>
      <c r="AE124" s="27">
        <f t="shared" si="44"/>
        <v>277601.98997430044</v>
      </c>
      <c r="AF124" s="50"/>
      <c r="AG124" t="str">
        <f t="shared" si="45"/>
        <v>5301200</v>
      </c>
    </row>
    <row r="125" spans="1:33" hidden="1" x14ac:dyDescent="0.25">
      <c r="A125" s="7" t="s">
        <v>151</v>
      </c>
      <c r="B125" s="2" t="s">
        <v>895</v>
      </c>
      <c r="C125" s="4" t="s">
        <v>894</v>
      </c>
      <c r="D125">
        <f>_xlfn.IFNA(VLOOKUP(A125,'Prior Year data'!$A$1:$T$318,12,FALSE),0)</f>
        <v>922373.68025052221</v>
      </c>
      <c r="E125">
        <f>VLOOKUP(A125,'Basic HH'!$B$1:$Y$319,23,FALSE)</f>
        <v>589861.33238964144</v>
      </c>
      <c r="F125">
        <f>VLOOKUP(A125,'Conc. HH'!$B$1:$Y$319,23,FALSE)</f>
        <v>0</v>
      </c>
      <c r="G125">
        <f>VLOOKUP(A125,'Targeted HH'!$B$1:$Y$319,23,FALSE)</f>
        <v>284547.35565825878</v>
      </c>
      <c r="H125">
        <f>VLOOKUP(A125,'EFIG HH'!$B$1:$Y$319,23,FALSE)</f>
        <v>385813.1865508217</v>
      </c>
      <c r="I125">
        <f t="shared" si="23"/>
        <v>1260221.874598722</v>
      </c>
      <c r="J125">
        <f t="shared" si="24"/>
        <v>1260221.874598722</v>
      </c>
      <c r="K125" s="43">
        <f t="shared" si="25"/>
        <v>1145779.7475212484</v>
      </c>
      <c r="L125">
        <f t="shared" si="26"/>
        <v>0</v>
      </c>
      <c r="M125">
        <f t="shared" si="27"/>
        <v>223406.0672707262</v>
      </c>
      <c r="N125" s="43">
        <f t="shared" si="28"/>
        <v>1113849.0549632201</v>
      </c>
      <c r="O125">
        <f t="shared" si="29"/>
        <v>0</v>
      </c>
      <c r="P125">
        <f t="shared" si="30"/>
        <v>191475.37471269793</v>
      </c>
      <c r="Q125" s="43">
        <f t="shared" si="31"/>
        <v>1113849.0549632201</v>
      </c>
      <c r="R125">
        <f t="shared" si="32"/>
        <v>0</v>
      </c>
      <c r="S125">
        <f t="shared" si="33"/>
        <v>191475.37471269793</v>
      </c>
      <c r="T125" s="43">
        <f t="shared" si="34"/>
        <v>1113849.0549632201</v>
      </c>
      <c r="U125">
        <f t="shared" si="35"/>
        <v>0</v>
      </c>
      <c r="V125">
        <f t="shared" si="36"/>
        <v>191475.37471269793</v>
      </c>
      <c r="W125" s="43">
        <f t="shared" si="37"/>
        <v>1113849.0549632201</v>
      </c>
      <c r="X125" s="43">
        <f t="shared" si="38"/>
        <v>146372.81963550183</v>
      </c>
      <c r="Y125" s="27">
        <f t="shared" si="39"/>
        <v>8531.2176119975447</v>
      </c>
      <c r="Z125" s="27">
        <f t="shared" si="40"/>
        <v>1105317.8373512225</v>
      </c>
      <c r="AA125">
        <f t="shared" si="41"/>
        <v>0</v>
      </c>
      <c r="AB125" s="27">
        <f t="shared" si="42"/>
        <v>1105317.8373512225</v>
      </c>
      <c r="AD125" s="27">
        <f t="shared" si="43"/>
        <v>0</v>
      </c>
      <c r="AE125" s="27">
        <f t="shared" si="44"/>
        <v>1105317.8373512225</v>
      </c>
      <c r="AF125" s="50"/>
      <c r="AG125" t="str">
        <f t="shared" si="45"/>
        <v>5304200</v>
      </c>
    </row>
    <row r="126" spans="1:33" hidden="1" x14ac:dyDescent="0.25">
      <c r="A126" s="7" t="s">
        <v>153</v>
      </c>
      <c r="B126" s="2" t="s">
        <v>897</v>
      </c>
      <c r="C126" s="4" t="s">
        <v>896</v>
      </c>
      <c r="D126">
        <f>_xlfn.IFNA(VLOOKUP(A126,'Prior Year data'!$A$1:$T$318,12,FALSE),0)</f>
        <v>1098430.9050383929</v>
      </c>
      <c r="E126">
        <f>VLOOKUP(A126,'Basic HH'!$B$1:$Y$319,23,FALSE)</f>
        <v>1263988.5694063744</v>
      </c>
      <c r="F126">
        <f>VLOOKUP(A126,'Conc. HH'!$B$1:$Y$319,23,FALSE)</f>
        <v>0</v>
      </c>
      <c r="G126">
        <f>VLOOKUP(A126,'Targeted HH'!$B$1:$Y$319,23,FALSE)</f>
        <v>0</v>
      </c>
      <c r="H126">
        <f>VLOOKUP(A126,'EFIG HH'!$B$1:$Y$319,23,FALSE)</f>
        <v>0</v>
      </c>
      <c r="I126">
        <f t="shared" si="23"/>
        <v>1263988.5694063744</v>
      </c>
      <c r="J126">
        <f t="shared" si="24"/>
        <v>1263988.5694063744</v>
      </c>
      <c r="K126" s="43">
        <f t="shared" si="25"/>
        <v>1149204.3846527662</v>
      </c>
      <c r="L126">
        <f t="shared" si="26"/>
        <v>0</v>
      </c>
      <c r="M126">
        <f t="shared" si="27"/>
        <v>50773.479614373296</v>
      </c>
      <c r="N126" s="43">
        <f t="shared" si="28"/>
        <v>1141947.4986269125</v>
      </c>
      <c r="O126">
        <f t="shared" si="29"/>
        <v>0</v>
      </c>
      <c r="P126">
        <f t="shared" si="30"/>
        <v>43516.593588519609</v>
      </c>
      <c r="Q126" s="43">
        <f t="shared" si="31"/>
        <v>1141947.4986269125</v>
      </c>
      <c r="R126">
        <f t="shared" si="32"/>
        <v>0</v>
      </c>
      <c r="S126">
        <f t="shared" si="33"/>
        <v>43516.593588519609</v>
      </c>
      <c r="T126" s="43">
        <f t="shared" si="34"/>
        <v>1141947.4986269125</v>
      </c>
      <c r="U126">
        <f t="shared" si="35"/>
        <v>0</v>
      </c>
      <c r="V126">
        <f t="shared" si="36"/>
        <v>43516.593588519609</v>
      </c>
      <c r="W126" s="43">
        <f t="shared" si="37"/>
        <v>1141947.4986269125</v>
      </c>
      <c r="X126" s="43">
        <f t="shared" si="38"/>
        <v>122041.07077946188</v>
      </c>
      <c r="Y126" s="27">
        <f t="shared" si="39"/>
        <v>8746.4298406072176</v>
      </c>
      <c r="Z126" s="27">
        <f t="shared" si="40"/>
        <v>1133201.0687863054</v>
      </c>
      <c r="AA126">
        <f t="shared" si="41"/>
        <v>0</v>
      </c>
      <c r="AB126" s="27">
        <f t="shared" si="42"/>
        <v>1133201.0687863054</v>
      </c>
      <c r="AD126" s="27">
        <f t="shared" si="43"/>
        <v>0</v>
      </c>
      <c r="AE126" s="27">
        <f t="shared" si="44"/>
        <v>1133201.0687863054</v>
      </c>
      <c r="AF126" s="50"/>
      <c r="AG126" t="str">
        <f t="shared" si="45"/>
        <v>5304230</v>
      </c>
    </row>
    <row r="127" spans="1:33" hidden="1" x14ac:dyDescent="0.25">
      <c r="A127" s="7" t="s">
        <v>155</v>
      </c>
      <c r="B127" s="2" t="s">
        <v>899</v>
      </c>
      <c r="C127" s="4" t="s">
        <v>898</v>
      </c>
      <c r="D127">
        <f>_xlfn.IFNA(VLOOKUP(A127,'Prior Year data'!$A$1:$T$318,12,FALSE),0)</f>
        <v>557198.59935327817</v>
      </c>
      <c r="E127">
        <f>VLOOKUP(A127,'Basic HH'!$B$1:$Y$319,23,FALSE)</f>
        <v>292758.86452917405</v>
      </c>
      <c r="F127">
        <f>VLOOKUP(A127,'Conc. HH'!$B$1:$Y$319,23,FALSE)</f>
        <v>0</v>
      </c>
      <c r="G127">
        <f>VLOOKUP(A127,'Targeted HH'!$B$1:$Y$319,23,FALSE)</f>
        <v>141226.00715292073</v>
      </c>
      <c r="H127">
        <f>VLOOKUP(A127,'EFIG HH'!$B$1:$Y$319,23,FALSE)</f>
        <v>191486.07344274953</v>
      </c>
      <c r="I127">
        <f t="shared" si="23"/>
        <v>625470.94512484432</v>
      </c>
      <c r="J127">
        <f t="shared" si="24"/>
        <v>625470.94512484432</v>
      </c>
      <c r="K127" s="43">
        <f t="shared" si="25"/>
        <v>568671.24435148854</v>
      </c>
      <c r="L127">
        <f t="shared" si="26"/>
        <v>0</v>
      </c>
      <c r="M127">
        <f t="shared" si="27"/>
        <v>11472.644998210366</v>
      </c>
      <c r="N127" s="43">
        <f t="shared" si="28"/>
        <v>567031.49703065446</v>
      </c>
      <c r="O127">
        <f t="shared" si="29"/>
        <v>0</v>
      </c>
      <c r="P127">
        <f t="shared" si="30"/>
        <v>9832.8976773762843</v>
      </c>
      <c r="Q127" s="43">
        <f t="shared" si="31"/>
        <v>567031.49703065446</v>
      </c>
      <c r="R127">
        <f t="shared" si="32"/>
        <v>0</v>
      </c>
      <c r="S127">
        <f t="shared" si="33"/>
        <v>9832.8976773762843</v>
      </c>
      <c r="T127" s="43">
        <f t="shared" si="34"/>
        <v>567031.49703065446</v>
      </c>
      <c r="U127">
        <f t="shared" si="35"/>
        <v>0</v>
      </c>
      <c r="V127">
        <f t="shared" si="36"/>
        <v>9832.8976773762843</v>
      </c>
      <c r="W127" s="43">
        <f t="shared" si="37"/>
        <v>567031.49703065446</v>
      </c>
      <c r="X127" s="43">
        <f t="shared" si="38"/>
        <v>58439.448094189866</v>
      </c>
      <c r="Y127" s="27">
        <f t="shared" si="39"/>
        <v>4343.0203333834934</v>
      </c>
      <c r="Z127" s="27">
        <f t="shared" si="40"/>
        <v>562688.47669727099</v>
      </c>
      <c r="AA127">
        <f t="shared" si="41"/>
        <v>0</v>
      </c>
      <c r="AB127" s="27">
        <f t="shared" si="42"/>
        <v>562688.47669727099</v>
      </c>
      <c r="AD127" s="27">
        <f t="shared" si="43"/>
        <v>0</v>
      </c>
      <c r="AE127" s="27">
        <f t="shared" si="44"/>
        <v>562688.47669727099</v>
      </c>
      <c r="AF127" s="50"/>
      <c r="AG127" t="str">
        <f t="shared" si="45"/>
        <v>5304260</v>
      </c>
    </row>
    <row r="128" spans="1:33" hidden="1" x14ac:dyDescent="0.25">
      <c r="A128" s="7" t="s">
        <v>157</v>
      </c>
      <c r="B128" s="2" t="s">
        <v>901</v>
      </c>
      <c r="C128" s="4" t="s">
        <v>900</v>
      </c>
      <c r="D128">
        <f>_xlfn.IFNA(VLOOKUP(A128,'Prior Year data'!$A$1:$T$318,12,FALSE),0)</f>
        <v>0</v>
      </c>
      <c r="E128">
        <f>VLOOKUP(A128,'Basic HH'!$B$1:$Y$319,23,FALSE)</f>
        <v>8687.2066625867628</v>
      </c>
      <c r="F128">
        <f>VLOOKUP(A128,'Conc. HH'!$B$1:$Y$319,23,FALSE)</f>
        <v>2337.3828476706399</v>
      </c>
      <c r="G128">
        <f>VLOOKUP(A128,'Targeted HH'!$B$1:$Y$319,23,FALSE)</f>
        <v>7648.6245387285826</v>
      </c>
      <c r="H128">
        <f>VLOOKUP(A128,'EFIG HH'!$B$1:$Y$319,23,FALSE)</f>
        <v>10370.647090327424</v>
      </c>
      <c r="I128">
        <f t="shared" si="23"/>
        <v>29043.861139313409</v>
      </c>
      <c r="J128">
        <f t="shared" si="24"/>
        <v>29043.861139313409</v>
      </c>
      <c r="K128" s="43">
        <f t="shared" si="25"/>
        <v>26406.356336134071</v>
      </c>
      <c r="L128">
        <f t="shared" si="26"/>
        <v>0</v>
      </c>
      <c r="M128">
        <f t="shared" si="27"/>
        <v>26406.356336134071</v>
      </c>
      <c r="N128" s="43">
        <f t="shared" si="28"/>
        <v>22632.182894707017</v>
      </c>
      <c r="O128">
        <f t="shared" si="29"/>
        <v>0</v>
      </c>
      <c r="P128">
        <f t="shared" si="30"/>
        <v>22632.182894707017</v>
      </c>
      <c r="Q128" s="43">
        <f t="shared" si="31"/>
        <v>22632.182894707017</v>
      </c>
      <c r="R128">
        <f t="shared" si="32"/>
        <v>0</v>
      </c>
      <c r="S128">
        <f t="shared" si="33"/>
        <v>22632.182894707017</v>
      </c>
      <c r="T128" s="43">
        <f t="shared" si="34"/>
        <v>22632.182894707017</v>
      </c>
      <c r="U128">
        <f t="shared" si="35"/>
        <v>0</v>
      </c>
      <c r="V128">
        <f t="shared" si="36"/>
        <v>22632.182894707017</v>
      </c>
      <c r="W128" s="43">
        <f t="shared" si="37"/>
        <v>22632.182894707017</v>
      </c>
      <c r="X128" s="43">
        <f t="shared" si="38"/>
        <v>6411.6782446063917</v>
      </c>
      <c r="Y128" s="27">
        <f t="shared" si="39"/>
        <v>173.34492178174867</v>
      </c>
      <c r="Z128" s="27">
        <f t="shared" si="40"/>
        <v>22458.83797292527</v>
      </c>
      <c r="AA128">
        <f t="shared" si="41"/>
        <v>0</v>
      </c>
      <c r="AB128" s="27">
        <f t="shared" si="42"/>
        <v>22458.83797292527</v>
      </c>
      <c r="AD128" s="27">
        <f t="shared" si="43"/>
        <v>0</v>
      </c>
      <c r="AE128" s="27">
        <f t="shared" si="44"/>
        <v>22458.83797292527</v>
      </c>
      <c r="AF128" s="50"/>
      <c r="AG128" t="str">
        <f t="shared" si="45"/>
        <v>5304290</v>
      </c>
    </row>
    <row r="129" spans="1:33" hidden="1" x14ac:dyDescent="0.25">
      <c r="A129" s="7" t="s">
        <v>159</v>
      </c>
      <c r="B129" s="2" t="s">
        <v>903</v>
      </c>
      <c r="C129" s="4" t="s">
        <v>902</v>
      </c>
      <c r="D129">
        <f>_xlfn.IFNA(VLOOKUP(A129,'Prior Year data'!$A$1:$T$318,12,FALSE),0)</f>
        <v>120767.35383569237</v>
      </c>
      <c r="E129">
        <f>VLOOKUP(A129,'Basic HH'!$B$1:$Y$319,23,FALSE)</f>
        <v>56309.942420639585</v>
      </c>
      <c r="F129">
        <f>VLOOKUP(A129,'Conc. HH'!$B$1:$Y$319,23,FALSE)</f>
        <v>0</v>
      </c>
      <c r="G129">
        <f>VLOOKUP(A129,'Targeted HH'!$B$1:$Y$319,23,FALSE)</f>
        <v>0</v>
      </c>
      <c r="H129">
        <f>VLOOKUP(A129,'EFIG HH'!$B$1:$Y$319,23,FALSE)</f>
        <v>0</v>
      </c>
      <c r="I129">
        <f t="shared" si="23"/>
        <v>56309.942420639585</v>
      </c>
      <c r="J129">
        <f t="shared" si="24"/>
        <v>0</v>
      </c>
      <c r="K129" s="43">
        <f t="shared" si="25"/>
        <v>56309.942420639585</v>
      </c>
      <c r="L129">
        <f t="shared" si="26"/>
        <v>0</v>
      </c>
      <c r="M129">
        <f t="shared" si="27"/>
        <v>0</v>
      </c>
      <c r="N129" s="43">
        <f t="shared" si="28"/>
        <v>56309.942420639585</v>
      </c>
      <c r="O129">
        <f t="shared" si="29"/>
        <v>0</v>
      </c>
      <c r="P129">
        <f t="shared" si="30"/>
        <v>0</v>
      </c>
      <c r="Q129" s="43">
        <f t="shared" si="31"/>
        <v>56309.942420639585</v>
      </c>
      <c r="R129">
        <f t="shared" si="32"/>
        <v>0</v>
      </c>
      <c r="S129">
        <f t="shared" si="33"/>
        <v>0</v>
      </c>
      <c r="T129" s="43">
        <f t="shared" si="34"/>
        <v>56309.942420639585</v>
      </c>
      <c r="U129">
        <f t="shared" si="35"/>
        <v>0</v>
      </c>
      <c r="V129">
        <f t="shared" si="36"/>
        <v>0</v>
      </c>
      <c r="W129" s="43">
        <f t="shared" si="37"/>
        <v>56309.942420639585</v>
      </c>
      <c r="X129" s="43">
        <f t="shared" si="38"/>
        <v>0</v>
      </c>
      <c r="Y129" s="27">
        <f t="shared" si="39"/>
        <v>431.29037132000883</v>
      </c>
      <c r="Z129" s="27">
        <f t="shared" si="40"/>
        <v>55878.652049319579</v>
      </c>
      <c r="AA129">
        <f t="shared" si="41"/>
        <v>0</v>
      </c>
      <c r="AB129" s="27">
        <f t="shared" si="42"/>
        <v>55878.652049319579</v>
      </c>
      <c r="AD129" s="27">
        <f t="shared" si="43"/>
        <v>0</v>
      </c>
      <c r="AE129" s="27">
        <f t="shared" si="44"/>
        <v>55878.652049319579</v>
      </c>
      <c r="AF129" s="50"/>
      <c r="AG129" t="str">
        <f t="shared" si="45"/>
        <v>5304380</v>
      </c>
    </row>
    <row r="130" spans="1:33" x14ac:dyDescent="0.25">
      <c r="A130" s="7" t="s">
        <v>447</v>
      </c>
      <c r="B130" s="2" t="s">
        <v>905</v>
      </c>
      <c r="C130" s="4" t="s">
        <v>904</v>
      </c>
      <c r="D130">
        <f>_xlfn.IFNA(VLOOKUP(A130,'Prior Year data'!$A$1:$T$318,12,FALSE),0)</f>
        <v>165567.71658341814</v>
      </c>
      <c r="E130">
        <f>VLOOKUP(A130,'Basic HH'!$B$1:$Y$319,23,FALSE)</f>
        <v>62719.553895563447</v>
      </c>
      <c r="F130">
        <f>VLOOKUP(A130,'Conc. HH'!$B$1:$Y$319,23,FALSE)</f>
        <v>16525.568780435282</v>
      </c>
      <c r="G130">
        <f>VLOOKUP(A130,'Targeted HH'!$B$1:$Y$319,23,FALSE)</f>
        <v>42862.701933786979</v>
      </c>
      <c r="H130">
        <f>VLOOKUP(A130,'EFIG HH'!$B$1:$Y$319,23,FALSE)</f>
        <v>58915.557339031031</v>
      </c>
      <c r="I130">
        <f t="shared" si="23"/>
        <v>181023.38194881676</v>
      </c>
      <c r="J130">
        <f t="shared" si="24"/>
        <v>181023.38194881676</v>
      </c>
      <c r="K130" s="43">
        <f t="shared" si="25"/>
        <v>164584.45059986119</v>
      </c>
      <c r="L130">
        <f t="shared" si="26"/>
        <v>983.26598355695023</v>
      </c>
      <c r="M130">
        <f t="shared" si="27"/>
        <v>0</v>
      </c>
      <c r="N130" s="43">
        <f t="shared" si="28"/>
        <v>165567.71658341814</v>
      </c>
      <c r="O130">
        <f t="shared" si="29"/>
        <v>0</v>
      </c>
      <c r="P130">
        <f t="shared" si="30"/>
        <v>0</v>
      </c>
      <c r="Q130" s="43">
        <f t="shared" si="31"/>
        <v>165567.71658341814</v>
      </c>
      <c r="R130">
        <f t="shared" si="32"/>
        <v>0</v>
      </c>
      <c r="S130">
        <f t="shared" si="33"/>
        <v>0</v>
      </c>
      <c r="T130" s="43">
        <f t="shared" si="34"/>
        <v>165567.71658341814</v>
      </c>
      <c r="U130">
        <f t="shared" si="35"/>
        <v>0</v>
      </c>
      <c r="V130">
        <f t="shared" si="36"/>
        <v>0</v>
      </c>
      <c r="W130" s="43">
        <f t="shared" si="37"/>
        <v>165567.71658341814</v>
      </c>
      <c r="X130" s="43">
        <f t="shared" si="38"/>
        <v>15455.665365398629</v>
      </c>
      <c r="Y130" s="27">
        <f t="shared" si="39"/>
        <v>1268.1199606003313</v>
      </c>
      <c r="Z130" s="27">
        <f t="shared" si="40"/>
        <v>164299.5966228178</v>
      </c>
      <c r="AA130">
        <f t="shared" si="41"/>
        <v>0</v>
      </c>
      <c r="AB130" s="27">
        <f t="shared" si="42"/>
        <v>164299.5966228178</v>
      </c>
      <c r="AD130" s="27">
        <f t="shared" si="43"/>
        <v>0</v>
      </c>
      <c r="AE130" s="27">
        <f t="shared" si="44"/>
        <v>164299.5966228178</v>
      </c>
      <c r="AF130" s="50"/>
      <c r="AG130" t="str">
        <f t="shared" si="45"/>
        <v>5304410</v>
      </c>
    </row>
    <row r="131" spans="1:33" hidden="1" x14ac:dyDescent="0.25">
      <c r="A131" s="7" t="s">
        <v>449</v>
      </c>
      <c r="B131" s="2" t="s">
        <v>907</v>
      </c>
      <c r="C131" s="4" t="s">
        <v>906</v>
      </c>
      <c r="D131">
        <f>_xlfn.IFNA(VLOOKUP(A131,'Prior Year data'!$A$1:$T$318,12,FALSE),0)</f>
        <v>2727441.0263482034</v>
      </c>
      <c r="E131">
        <f>VLOOKUP(A131,'Basic HH'!$B$1:$Y$319,23,FALSE)</f>
        <v>1179722.6647792829</v>
      </c>
      <c r="F131">
        <f>VLOOKUP(A131,'Conc. HH'!$B$1:$Y$319,23,FALSE)</f>
        <v>317416.59071367292</v>
      </c>
      <c r="G131">
        <f>VLOOKUP(A131,'Targeted HH'!$B$1:$Y$319,23,FALSE)</f>
        <v>708853.97952274617</v>
      </c>
      <c r="H131">
        <f>VLOOKUP(A131,'EFIG HH'!$B$1:$Y$319,23,FALSE)</f>
        <v>961123.71877866751</v>
      </c>
      <c r="I131">
        <f t="shared" si="23"/>
        <v>3167116.9537943695</v>
      </c>
      <c r="J131">
        <f t="shared" si="24"/>
        <v>3167116.9537943695</v>
      </c>
      <c r="K131" s="43">
        <f t="shared" si="25"/>
        <v>2879507.5984887672</v>
      </c>
      <c r="L131">
        <f t="shared" si="26"/>
        <v>0</v>
      </c>
      <c r="M131">
        <f t="shared" si="27"/>
        <v>152066.57214056375</v>
      </c>
      <c r="N131" s="43">
        <f t="shared" si="28"/>
        <v>2857773.2247419273</v>
      </c>
      <c r="O131">
        <f t="shared" si="29"/>
        <v>0</v>
      </c>
      <c r="P131">
        <f t="shared" si="30"/>
        <v>130332.19839372393</v>
      </c>
      <c r="Q131" s="43">
        <f t="shared" si="31"/>
        <v>2857773.2247419273</v>
      </c>
      <c r="R131">
        <f t="shared" si="32"/>
        <v>0</v>
      </c>
      <c r="S131">
        <f t="shared" si="33"/>
        <v>130332.19839372393</v>
      </c>
      <c r="T131" s="43">
        <f t="shared" si="34"/>
        <v>2857773.2247419273</v>
      </c>
      <c r="U131">
        <f t="shared" si="35"/>
        <v>0</v>
      </c>
      <c r="V131">
        <f t="shared" si="36"/>
        <v>130332.19839372393</v>
      </c>
      <c r="W131" s="43">
        <f t="shared" si="37"/>
        <v>2857773.2247419273</v>
      </c>
      <c r="X131" s="43">
        <f t="shared" si="38"/>
        <v>309343.72905244213</v>
      </c>
      <c r="Y131" s="27">
        <f t="shared" si="39"/>
        <v>21888.320645761465</v>
      </c>
      <c r="Z131" s="27">
        <f t="shared" si="40"/>
        <v>2835884.9040961657</v>
      </c>
      <c r="AA131">
        <f t="shared" si="41"/>
        <v>0</v>
      </c>
      <c r="AB131" s="27">
        <f t="shared" si="42"/>
        <v>2835884.9040961657</v>
      </c>
      <c r="AD131" s="27">
        <f t="shared" si="43"/>
        <v>0</v>
      </c>
      <c r="AE131" s="27">
        <f t="shared" si="44"/>
        <v>2835884.9040961657</v>
      </c>
      <c r="AF131" s="50"/>
      <c r="AG131" t="str">
        <f t="shared" si="45"/>
        <v>5304470</v>
      </c>
    </row>
    <row r="132" spans="1:33" hidden="1" x14ac:dyDescent="0.25">
      <c r="A132" s="7" t="s">
        <v>451</v>
      </c>
      <c r="B132" s="2" t="s">
        <v>909</v>
      </c>
      <c r="C132" s="4" t="s">
        <v>908</v>
      </c>
      <c r="D132">
        <f>_xlfn.IFNA(VLOOKUP(A132,'Prior Year data'!$A$1:$T$318,12,FALSE),0)</f>
        <v>128110.34570463591</v>
      </c>
      <c r="E132">
        <f>VLOOKUP(A132,'Basic HH'!$B$1:$Y$319,23,FALSE)</f>
        <v>55598.122640555332</v>
      </c>
      <c r="F132">
        <f>VLOOKUP(A132,'Conc. HH'!$B$1:$Y$319,23,FALSE)</f>
        <v>14959.250225092092</v>
      </c>
      <c r="G132">
        <f>VLOOKUP(A132,'Targeted HH'!$B$1:$Y$319,23,FALSE)</f>
        <v>36606.671574111839</v>
      </c>
      <c r="H132">
        <f>VLOOKUP(A132,'EFIG HH'!$B$1:$Y$319,23,FALSE)</f>
        <v>49634.397678218447</v>
      </c>
      <c r="I132">
        <f t="shared" ref="I132:I195" si="46">SUM(E132:H132)</f>
        <v>156798.44211797771</v>
      </c>
      <c r="J132">
        <f t="shared" ref="J132:J195" si="47">IF(I132&lt;D132,0,I132)</f>
        <v>156798.44211797771</v>
      </c>
      <c r="K132" s="43">
        <f t="shared" ref="K132:K195" si="48">IF(J132=0,I132,I132-$K$1*J132/$J$3)</f>
        <v>142559.40405642265</v>
      </c>
      <c r="L132">
        <f t="shared" ref="L132:L195" si="49">IF($J132=0,0,IF(K132&lt;$D132,$D132-K132,0))</f>
        <v>0</v>
      </c>
      <c r="M132">
        <f t="shared" ref="M132:M195" si="50">IF($J132=0,0,IF(L132&gt;0,0,K132-$D132))</f>
        <v>14449.058351786734</v>
      </c>
      <c r="N132" s="43">
        <f t="shared" ref="N132:N195" si="51">IF(L132&gt;0,L132+K132,K132-$L$3*M132/$M$3)</f>
        <v>140494.24778909163</v>
      </c>
      <c r="O132">
        <f t="shared" ref="O132:O195" si="52">IF($J132=0,0,IF(N132&lt;$D132,$D132-N132,0))</f>
        <v>0</v>
      </c>
      <c r="P132">
        <f t="shared" ref="P132:P195" si="53">IF($J132=0,0,IF(O132&gt;0,0,N132-$D132))</f>
        <v>12383.902084455724</v>
      </c>
      <c r="Q132" s="43">
        <f t="shared" ref="Q132:Q195" si="54">IF(O132&gt;0,O132+N132,N132-$O$3*P132/$P$3)</f>
        <v>140494.24778909163</v>
      </c>
      <c r="R132">
        <f t="shared" ref="R132:R195" si="55">IF($J132=0,0,IF(Q132&lt;$D132,$D132-Q132,0))</f>
        <v>0</v>
      </c>
      <c r="S132">
        <f t="shared" ref="S132:S195" si="56">IF($J132=0,0,IF(R132&gt;0,0,Q132-$D132))</f>
        <v>12383.902084455724</v>
      </c>
      <c r="T132" s="43">
        <f t="shared" ref="T132:T195" si="57">IF(R132&gt;0,R132+Q132,Q132-$R$3*S132/$S$3)</f>
        <v>140494.24778909163</v>
      </c>
      <c r="U132">
        <f t="shared" ref="U132:U195" si="58">IF($J132=0,0,IF(T132&lt;$D132,$D132-T132,0))</f>
        <v>0</v>
      </c>
      <c r="V132">
        <f t="shared" ref="V132:V195" si="59">IF($J132=0,0,IF(U132&gt;0,0,T132-$D132))</f>
        <v>12383.902084455724</v>
      </c>
      <c r="W132" s="43">
        <f t="shared" ref="W132:W195" si="60">IF(U132&gt;0,U132+T132,T132-$U$3*V132/$V$3)</f>
        <v>140494.24778909163</v>
      </c>
      <c r="X132" s="43">
        <f t="shared" ref="X132:X195" si="61">I132-W132</f>
        <v>16304.194328886078</v>
      </c>
      <c r="Y132" s="27">
        <f t="shared" ref="Y132:Y195" si="62">W132/$W$3*$Y$1</f>
        <v>1076.0766872152383</v>
      </c>
      <c r="Z132" s="27">
        <f t="shared" ref="Z132:Z195" si="63">W132-Y132</f>
        <v>139418.17110187639</v>
      </c>
      <c r="AA132">
        <f t="shared" ref="AA132:AA195" si="64">Z132/$Z$3*$AA$1</f>
        <v>0</v>
      </c>
      <c r="AB132" s="27">
        <f t="shared" ref="AB132:AB195" si="65">Z132-AA132</f>
        <v>139418.17110187639</v>
      </c>
      <c r="AD132" s="27">
        <f t="shared" ref="AD132:AD195" si="66">IF(AC132&gt;0,AC132*AB132,0)</f>
        <v>0</v>
      </c>
      <c r="AE132" s="27">
        <f t="shared" ref="AE132:AE195" si="67">AB132-AD132</f>
        <v>139418.17110187639</v>
      </c>
      <c r="AF132" s="50"/>
      <c r="AG132" t="str">
        <f t="shared" ref="AG132:AG195" si="68">A132</f>
        <v>5304500</v>
      </c>
    </row>
    <row r="133" spans="1:33" x14ac:dyDescent="0.25">
      <c r="A133" s="7" t="s">
        <v>453</v>
      </c>
      <c r="B133" s="2" t="s">
        <v>911</v>
      </c>
      <c r="C133" s="4" t="s">
        <v>910</v>
      </c>
      <c r="D133">
        <f>_xlfn.IFNA(VLOOKUP(A133,'Prior Year data'!$A$1:$T$318,12,FALSE),0)</f>
        <v>104968.6961191595</v>
      </c>
      <c r="E133">
        <f>VLOOKUP(A133,'Basic HH'!$B$1:$Y$319,23,FALSE)</f>
        <v>42567.312646675156</v>
      </c>
      <c r="F133">
        <f>VLOOKUP(A133,'Conc. HH'!$B$1:$Y$319,23,FALSE)</f>
        <v>11453.175953586135</v>
      </c>
      <c r="G133">
        <f>VLOOKUP(A133,'Targeted HH'!$B$1:$Y$319,23,FALSE)</f>
        <v>22224.028520278021</v>
      </c>
      <c r="H133">
        <f>VLOOKUP(A133,'EFIG HH'!$B$1:$Y$319,23,FALSE)</f>
        <v>30133.203106278615</v>
      </c>
      <c r="I133">
        <f t="shared" si="46"/>
        <v>106377.72022681792</v>
      </c>
      <c r="J133">
        <f t="shared" si="47"/>
        <v>106377.72022681792</v>
      </c>
      <c r="K133" s="43">
        <f t="shared" si="48"/>
        <v>96717.443078965793</v>
      </c>
      <c r="L133">
        <f t="shared" si="49"/>
        <v>8251.2530401937111</v>
      </c>
      <c r="M133">
        <f t="shared" si="50"/>
        <v>0</v>
      </c>
      <c r="N133" s="43">
        <f t="shared" si="51"/>
        <v>104968.6961191595</v>
      </c>
      <c r="O133">
        <f t="shared" si="52"/>
        <v>0</v>
      </c>
      <c r="P133">
        <f t="shared" si="53"/>
        <v>0</v>
      </c>
      <c r="Q133" s="43">
        <f t="shared" si="54"/>
        <v>104968.6961191595</v>
      </c>
      <c r="R133">
        <f t="shared" si="55"/>
        <v>0</v>
      </c>
      <c r="S133">
        <f t="shared" si="56"/>
        <v>0</v>
      </c>
      <c r="T133" s="43">
        <f t="shared" si="57"/>
        <v>104968.6961191595</v>
      </c>
      <c r="U133">
        <f t="shared" si="58"/>
        <v>0</v>
      </c>
      <c r="V133">
        <f t="shared" si="59"/>
        <v>0</v>
      </c>
      <c r="W133" s="43">
        <f t="shared" si="60"/>
        <v>104968.6961191595</v>
      </c>
      <c r="X133" s="43">
        <f t="shared" si="61"/>
        <v>1409.0241076584207</v>
      </c>
      <c r="Y133" s="27">
        <f t="shared" si="62"/>
        <v>803.97858673028372</v>
      </c>
      <c r="Z133" s="27">
        <f t="shared" si="63"/>
        <v>104164.71753242922</v>
      </c>
      <c r="AA133">
        <f t="shared" si="64"/>
        <v>0</v>
      </c>
      <c r="AB133" s="27">
        <f t="shared" si="65"/>
        <v>104164.71753242922</v>
      </c>
      <c r="AD133" s="27">
        <f t="shared" si="66"/>
        <v>0</v>
      </c>
      <c r="AE133" s="27">
        <f t="shared" si="67"/>
        <v>104164.71753242922</v>
      </c>
      <c r="AF133" s="50"/>
      <c r="AG133" t="str">
        <f t="shared" si="68"/>
        <v>5304530</v>
      </c>
    </row>
    <row r="134" spans="1:33" hidden="1" x14ac:dyDescent="0.25">
      <c r="A134" s="7" t="s">
        <v>76</v>
      </c>
      <c r="B134" s="2" t="s">
        <v>912</v>
      </c>
      <c r="C134" s="4" t="s">
        <v>29</v>
      </c>
      <c r="D134">
        <f>_xlfn.IFNA(VLOOKUP(A134,'Prior Year data'!$A$1:$T$318,12,FALSE),0)</f>
        <v>1966.027374775636</v>
      </c>
      <c r="E134">
        <f>VLOOKUP(A134,'Basic HH'!$B$1:$Y$319,23,FALSE)</f>
        <v>0</v>
      </c>
      <c r="F134">
        <f>VLOOKUP(A134,'Conc. HH'!$B$1:$Y$319,23,FALSE)</f>
        <v>1873.904775427638</v>
      </c>
      <c r="G134">
        <f>VLOOKUP(A134,'Targeted HH'!$B$1:$Y$319,23,FALSE)</f>
        <v>0</v>
      </c>
      <c r="H134">
        <f>VLOOKUP(A134,'EFIG HH'!$B$1:$Y$319,23,FALSE)</f>
        <v>0</v>
      </c>
      <c r="I134">
        <f t="shared" si="46"/>
        <v>1873.904775427638</v>
      </c>
      <c r="J134">
        <f t="shared" si="47"/>
        <v>0</v>
      </c>
      <c r="K134" s="43">
        <f t="shared" si="48"/>
        <v>1873.904775427638</v>
      </c>
      <c r="L134">
        <f t="shared" si="49"/>
        <v>0</v>
      </c>
      <c r="M134">
        <f t="shared" si="50"/>
        <v>0</v>
      </c>
      <c r="N134" s="43">
        <f t="shared" si="51"/>
        <v>1873.904775427638</v>
      </c>
      <c r="O134">
        <f t="shared" si="52"/>
        <v>0</v>
      </c>
      <c r="P134">
        <f t="shared" si="53"/>
        <v>0</v>
      </c>
      <c r="Q134" s="43">
        <f t="shared" si="54"/>
        <v>1873.904775427638</v>
      </c>
      <c r="R134">
        <f t="shared" si="55"/>
        <v>0</v>
      </c>
      <c r="S134">
        <f t="shared" si="56"/>
        <v>0</v>
      </c>
      <c r="T134" s="43">
        <f t="shared" si="57"/>
        <v>1873.904775427638</v>
      </c>
      <c r="U134">
        <f t="shared" si="58"/>
        <v>0</v>
      </c>
      <c r="V134">
        <f t="shared" si="59"/>
        <v>0</v>
      </c>
      <c r="W134" s="43">
        <f t="shared" si="60"/>
        <v>1873.904775427638</v>
      </c>
      <c r="X134" s="43">
        <f t="shared" si="61"/>
        <v>0</v>
      </c>
      <c r="Y134" s="27">
        <f t="shared" si="62"/>
        <v>14.352653397782392</v>
      </c>
      <c r="Z134" s="27">
        <f t="shared" si="63"/>
        <v>1859.5521220298556</v>
      </c>
      <c r="AA134">
        <f t="shared" si="64"/>
        <v>0</v>
      </c>
      <c r="AB134" s="27">
        <f t="shared" si="65"/>
        <v>1859.5521220298556</v>
      </c>
      <c r="AD134" s="27">
        <f t="shared" si="66"/>
        <v>0</v>
      </c>
      <c r="AE134" s="27">
        <f t="shared" si="67"/>
        <v>1859.5521220298556</v>
      </c>
      <c r="AF134" s="50"/>
      <c r="AG134" t="str">
        <f t="shared" si="68"/>
        <v>5304550</v>
      </c>
    </row>
    <row r="135" spans="1:33" x14ac:dyDescent="0.25">
      <c r="A135" s="7" t="s">
        <v>455</v>
      </c>
      <c r="B135" s="2" t="s">
        <v>914</v>
      </c>
      <c r="C135" s="4" t="s">
        <v>913</v>
      </c>
      <c r="D135">
        <f>_xlfn.IFNA(VLOOKUP(A135,'Prior Year data'!$A$1:$T$318,12,FALSE),0)</f>
        <v>188891.50415629335</v>
      </c>
      <c r="E135">
        <f>VLOOKUP(A135,'Basic HH'!$B$1:$Y$319,23,FALSE)</f>
        <v>78184.859963280906</v>
      </c>
      <c r="F135">
        <f>VLOOKUP(A135,'Conc. HH'!$B$1:$Y$319,23,FALSE)</f>
        <v>21036.445629035756</v>
      </c>
      <c r="G135">
        <f>VLOOKUP(A135,'Targeted HH'!$B$1:$Y$319,23,FALSE)</f>
        <v>45534.575345438476</v>
      </c>
      <c r="H135">
        <f>VLOOKUP(A135,'EFIG HH'!$B$1:$Y$319,23,FALSE)</f>
        <v>61739.59892061368</v>
      </c>
      <c r="I135">
        <f t="shared" si="46"/>
        <v>206495.47985836881</v>
      </c>
      <c r="J135">
        <f t="shared" si="47"/>
        <v>206495.47985836881</v>
      </c>
      <c r="K135" s="43">
        <f t="shared" si="48"/>
        <v>187743.39943253101</v>
      </c>
      <c r="L135">
        <f t="shared" si="49"/>
        <v>1148.1047237623425</v>
      </c>
      <c r="M135">
        <f t="shared" si="50"/>
        <v>0</v>
      </c>
      <c r="N135" s="43">
        <f t="shared" si="51"/>
        <v>188891.50415629335</v>
      </c>
      <c r="O135">
        <f t="shared" si="52"/>
        <v>0</v>
      </c>
      <c r="P135">
        <f t="shared" si="53"/>
        <v>0</v>
      </c>
      <c r="Q135" s="43">
        <f t="shared" si="54"/>
        <v>188891.50415629335</v>
      </c>
      <c r="R135">
        <f t="shared" si="55"/>
        <v>0</v>
      </c>
      <c r="S135">
        <f t="shared" si="56"/>
        <v>0</v>
      </c>
      <c r="T135" s="43">
        <f t="shared" si="57"/>
        <v>188891.50415629335</v>
      </c>
      <c r="U135">
        <f t="shared" si="58"/>
        <v>0</v>
      </c>
      <c r="V135">
        <f t="shared" si="59"/>
        <v>0</v>
      </c>
      <c r="W135" s="43">
        <f t="shared" si="60"/>
        <v>188891.50415629335</v>
      </c>
      <c r="X135" s="43">
        <f t="shared" si="61"/>
        <v>17603.975702075462</v>
      </c>
      <c r="Y135" s="27">
        <f t="shared" si="62"/>
        <v>1446.7620364126349</v>
      </c>
      <c r="Z135" s="27">
        <f t="shared" si="63"/>
        <v>187444.74211988071</v>
      </c>
      <c r="AA135">
        <f t="shared" si="64"/>
        <v>0</v>
      </c>
      <c r="AB135" s="27">
        <f t="shared" si="65"/>
        <v>187444.74211988071</v>
      </c>
      <c r="AD135" s="27">
        <f t="shared" si="66"/>
        <v>0</v>
      </c>
      <c r="AE135" s="27">
        <f t="shared" si="67"/>
        <v>187444.74211988071</v>
      </c>
      <c r="AF135" s="50"/>
      <c r="AG135" t="str">
        <f t="shared" si="68"/>
        <v>5304590</v>
      </c>
    </row>
    <row r="136" spans="1:33" x14ac:dyDescent="0.25">
      <c r="A136" s="7" t="s">
        <v>161</v>
      </c>
      <c r="B136" s="2" t="s">
        <v>916</v>
      </c>
      <c r="C136" s="4" t="s">
        <v>915</v>
      </c>
      <c r="D136">
        <f>_xlfn.IFNA(VLOOKUP(A136,'Prior Year data'!$A$1:$T$318,12,FALSE),0)</f>
        <v>617160.20598065015</v>
      </c>
      <c r="E136">
        <f>VLOOKUP(A136,'Basic HH'!$B$1:$Y$319,23,FALSE)</f>
        <v>302314.79185801954</v>
      </c>
      <c r="F136">
        <f>VLOOKUP(A136,'Conc. HH'!$B$1:$Y$319,23,FALSE)</f>
        <v>0</v>
      </c>
      <c r="G136">
        <f>VLOOKUP(A136,'Targeted HH'!$B$1:$Y$319,23,FALSE)</f>
        <v>145835.75812823855</v>
      </c>
      <c r="H136">
        <f>VLOOKUP(A136,'EFIG HH'!$B$1:$Y$319,23,FALSE)</f>
        <v>197736.36070645947</v>
      </c>
      <c r="I136">
        <f t="shared" si="46"/>
        <v>645886.91069271753</v>
      </c>
      <c r="J136">
        <f t="shared" si="47"/>
        <v>645886.91069271753</v>
      </c>
      <c r="K136" s="43">
        <f t="shared" si="48"/>
        <v>587233.21375168546</v>
      </c>
      <c r="L136">
        <f t="shared" si="49"/>
        <v>29926.992228964693</v>
      </c>
      <c r="M136">
        <f t="shared" si="50"/>
        <v>0</v>
      </c>
      <c r="N136" s="43">
        <f t="shared" si="51"/>
        <v>617160.20598065015</v>
      </c>
      <c r="O136">
        <f t="shared" si="52"/>
        <v>0</v>
      </c>
      <c r="P136">
        <f t="shared" si="53"/>
        <v>0</v>
      </c>
      <c r="Q136" s="43">
        <f t="shared" si="54"/>
        <v>617160.20598065015</v>
      </c>
      <c r="R136">
        <f t="shared" si="55"/>
        <v>0</v>
      </c>
      <c r="S136">
        <f t="shared" si="56"/>
        <v>0</v>
      </c>
      <c r="T136" s="43">
        <f t="shared" si="57"/>
        <v>617160.20598065015</v>
      </c>
      <c r="U136">
        <f t="shared" si="58"/>
        <v>0</v>
      </c>
      <c r="V136">
        <f t="shared" si="59"/>
        <v>0</v>
      </c>
      <c r="W136" s="43">
        <f t="shared" si="60"/>
        <v>617160.20598065015</v>
      </c>
      <c r="X136" s="43">
        <f t="shared" si="61"/>
        <v>28726.704712067381</v>
      </c>
      <c r="Y136" s="27">
        <f t="shared" si="62"/>
        <v>4726.9672629564802</v>
      </c>
      <c r="Z136" s="27">
        <f t="shared" si="63"/>
        <v>612433.23871769372</v>
      </c>
      <c r="AA136">
        <f t="shared" si="64"/>
        <v>0</v>
      </c>
      <c r="AB136" s="27">
        <f t="shared" si="65"/>
        <v>612433.23871769372</v>
      </c>
      <c r="AD136" s="27">
        <f t="shared" si="66"/>
        <v>0</v>
      </c>
      <c r="AE136" s="27">
        <f t="shared" si="67"/>
        <v>612433.23871769372</v>
      </c>
      <c r="AF136" s="50"/>
      <c r="AG136" t="str">
        <f t="shared" si="68"/>
        <v>5304620</v>
      </c>
    </row>
    <row r="137" spans="1:33" x14ac:dyDescent="0.25">
      <c r="A137" s="7" t="s">
        <v>457</v>
      </c>
      <c r="B137" s="2" t="s">
        <v>918</v>
      </c>
      <c r="C137" s="4" t="s">
        <v>917</v>
      </c>
      <c r="D137">
        <f>_xlfn.IFNA(VLOOKUP(A137,'Prior Year data'!$A$1:$T$318,12,FALSE),0)</f>
        <v>396472.96466087899</v>
      </c>
      <c r="E137">
        <f>VLOOKUP(A137,'Basic HH'!$B$1:$Y$319,23,FALSE)</f>
        <v>147894.2567166989</v>
      </c>
      <c r="F137">
        <f>VLOOKUP(A137,'Conc. HH'!$B$1:$Y$319,23,FALSE)</f>
        <v>38967.699223001749</v>
      </c>
      <c r="G137">
        <f>VLOOKUP(A137,'Targeted HH'!$B$1:$Y$319,23,FALSE)</f>
        <v>96245.878736191982</v>
      </c>
      <c r="H137">
        <f>VLOOKUP(A137,'EFIG HH'!$B$1:$Y$319,23,FALSE)</f>
        <v>132291.69724500761</v>
      </c>
      <c r="I137">
        <f t="shared" si="46"/>
        <v>415399.53192090022</v>
      </c>
      <c r="J137">
        <f t="shared" si="47"/>
        <v>415399.53192090022</v>
      </c>
      <c r="K137" s="43">
        <f t="shared" si="48"/>
        <v>377676.64599245845</v>
      </c>
      <c r="L137">
        <f t="shared" si="49"/>
        <v>18796.318668420543</v>
      </c>
      <c r="M137">
        <f t="shared" si="50"/>
        <v>0</v>
      </c>
      <c r="N137" s="43">
        <f t="shared" si="51"/>
        <v>396472.96466087899</v>
      </c>
      <c r="O137">
        <f t="shared" si="52"/>
        <v>0</v>
      </c>
      <c r="P137">
        <f t="shared" si="53"/>
        <v>0</v>
      </c>
      <c r="Q137" s="43">
        <f t="shared" si="54"/>
        <v>396472.96466087899</v>
      </c>
      <c r="R137">
        <f t="shared" si="55"/>
        <v>0</v>
      </c>
      <c r="S137">
        <f t="shared" si="56"/>
        <v>0</v>
      </c>
      <c r="T137" s="43">
        <f t="shared" si="57"/>
        <v>396472.96466087899</v>
      </c>
      <c r="U137">
        <f t="shared" si="58"/>
        <v>0</v>
      </c>
      <c r="V137">
        <f t="shared" si="59"/>
        <v>0</v>
      </c>
      <c r="W137" s="43">
        <f t="shared" si="60"/>
        <v>396472.96466087899</v>
      </c>
      <c r="X137" s="43">
        <f t="shared" si="61"/>
        <v>18926.567260021227</v>
      </c>
      <c r="Y137" s="27">
        <f t="shared" si="62"/>
        <v>3036.6746048076138</v>
      </c>
      <c r="Z137" s="27">
        <f t="shared" si="63"/>
        <v>393436.29005607136</v>
      </c>
      <c r="AA137">
        <f t="shared" si="64"/>
        <v>0</v>
      </c>
      <c r="AB137" s="27">
        <f t="shared" si="65"/>
        <v>393436.29005607136</v>
      </c>
      <c r="AD137" s="27">
        <f t="shared" si="66"/>
        <v>0</v>
      </c>
      <c r="AE137" s="27">
        <f t="shared" si="67"/>
        <v>393436.29005607136</v>
      </c>
      <c r="AF137" s="50"/>
      <c r="AG137" t="str">
        <f t="shared" si="68"/>
        <v>5304650</v>
      </c>
    </row>
    <row r="138" spans="1:33" hidden="1" x14ac:dyDescent="0.25">
      <c r="A138" s="7" t="s">
        <v>459</v>
      </c>
      <c r="B138" s="2" t="s">
        <v>920</v>
      </c>
      <c r="C138" s="4" t="s">
        <v>919</v>
      </c>
      <c r="D138">
        <f>_xlfn.IFNA(VLOOKUP(A138,'Prior Year data'!$A$1:$T$318,12,FALSE),0)</f>
        <v>59317.212665924628</v>
      </c>
      <c r="E138">
        <f>VLOOKUP(A138,'Basic HH'!$B$1:$Y$319,23,FALSE)</f>
        <v>16687.547782919519</v>
      </c>
      <c r="F138">
        <f>VLOOKUP(A138,'Conc. HH'!$B$1:$Y$319,23,FALSE)</f>
        <v>4370.5611177380197</v>
      </c>
      <c r="G138">
        <f>VLOOKUP(A138,'Targeted HH'!$B$1:$Y$319,23,FALSE)</f>
        <v>12909.3573260377</v>
      </c>
      <c r="H138">
        <f>VLOOKUP(A138,'EFIG HH'!$B$1:$Y$319,23,FALSE)</f>
        <v>17801.147381509105</v>
      </c>
      <c r="I138">
        <f t="shared" si="46"/>
        <v>51768.613608204338</v>
      </c>
      <c r="J138">
        <f t="shared" si="47"/>
        <v>0</v>
      </c>
      <c r="K138" s="43">
        <f t="shared" si="48"/>
        <v>51768.613608204338</v>
      </c>
      <c r="L138">
        <f t="shared" si="49"/>
        <v>0</v>
      </c>
      <c r="M138">
        <f t="shared" si="50"/>
        <v>0</v>
      </c>
      <c r="N138" s="43">
        <f t="shared" si="51"/>
        <v>51768.613608204338</v>
      </c>
      <c r="O138">
        <f t="shared" si="52"/>
        <v>0</v>
      </c>
      <c r="P138">
        <f t="shared" si="53"/>
        <v>0</v>
      </c>
      <c r="Q138" s="43">
        <f t="shared" si="54"/>
        <v>51768.613608204338</v>
      </c>
      <c r="R138">
        <f t="shared" si="55"/>
        <v>0</v>
      </c>
      <c r="S138">
        <f t="shared" si="56"/>
        <v>0</v>
      </c>
      <c r="T138" s="43">
        <f t="shared" si="57"/>
        <v>51768.613608204338</v>
      </c>
      <c r="U138">
        <f t="shared" si="58"/>
        <v>0</v>
      </c>
      <c r="V138">
        <f t="shared" si="59"/>
        <v>0</v>
      </c>
      <c r="W138" s="43">
        <f t="shared" si="60"/>
        <v>51768.613608204338</v>
      </c>
      <c r="X138" s="43">
        <f t="shared" si="61"/>
        <v>0</v>
      </c>
      <c r="Y138" s="27">
        <f t="shared" si="62"/>
        <v>396.5073240355643</v>
      </c>
      <c r="Z138" s="27">
        <f t="shared" si="63"/>
        <v>51372.106284168774</v>
      </c>
      <c r="AA138">
        <f t="shared" si="64"/>
        <v>0</v>
      </c>
      <c r="AB138" s="27">
        <f t="shared" si="65"/>
        <v>51372.106284168774</v>
      </c>
      <c r="AD138" s="27">
        <f t="shared" si="66"/>
        <v>0</v>
      </c>
      <c r="AE138" s="27">
        <f t="shared" si="67"/>
        <v>51372.106284168774</v>
      </c>
      <c r="AF138" s="50"/>
      <c r="AG138" t="str">
        <f t="shared" si="68"/>
        <v>5304710</v>
      </c>
    </row>
    <row r="139" spans="1:33" x14ac:dyDescent="0.25">
      <c r="A139" s="7" t="s">
        <v>284</v>
      </c>
      <c r="B139" s="2" t="s">
        <v>922</v>
      </c>
      <c r="C139" s="4" t="s">
        <v>921</v>
      </c>
      <c r="D139">
        <f>_xlfn.IFNA(VLOOKUP(A139,'Prior Year data'!$A$1:$T$318,12,FALSE),0)</f>
        <v>226069.14458397444</v>
      </c>
      <c r="E139">
        <f>VLOOKUP(A139,'Basic HH'!$B$1:$Y$319,23,FALSE)</f>
        <v>92917.857623056945</v>
      </c>
      <c r="F139">
        <f>VLOOKUP(A139,'Conc. HH'!$B$1:$Y$319,23,FALSE)</f>
        <v>24482.324119163404</v>
      </c>
      <c r="G139">
        <f>VLOOKUP(A139,'Targeted HH'!$B$1:$Y$319,23,FALSE)</f>
        <v>51426.28595082165</v>
      </c>
      <c r="H139">
        <f>VLOOKUP(A139,'EFIG HH'!$B$1:$Y$319,23,FALSE)</f>
        <v>70686.358115020295</v>
      </c>
      <c r="I139">
        <f t="shared" si="46"/>
        <v>239512.82580806231</v>
      </c>
      <c r="J139">
        <f t="shared" si="47"/>
        <v>239512.82580806231</v>
      </c>
      <c r="K139" s="43">
        <f t="shared" si="48"/>
        <v>217762.40407654061</v>
      </c>
      <c r="L139">
        <f t="shared" si="49"/>
        <v>8306.7405074338312</v>
      </c>
      <c r="M139">
        <f t="shared" si="50"/>
        <v>0</v>
      </c>
      <c r="N139" s="43">
        <f t="shared" si="51"/>
        <v>226069.14458397444</v>
      </c>
      <c r="O139">
        <f t="shared" si="52"/>
        <v>0</v>
      </c>
      <c r="P139">
        <f t="shared" si="53"/>
        <v>0</v>
      </c>
      <c r="Q139" s="43">
        <f t="shared" si="54"/>
        <v>226069.14458397444</v>
      </c>
      <c r="R139">
        <f t="shared" si="55"/>
        <v>0</v>
      </c>
      <c r="S139">
        <f t="shared" si="56"/>
        <v>0</v>
      </c>
      <c r="T139" s="43">
        <f t="shared" si="57"/>
        <v>226069.14458397444</v>
      </c>
      <c r="U139">
        <f t="shared" si="58"/>
        <v>0</v>
      </c>
      <c r="V139">
        <f t="shared" si="59"/>
        <v>0</v>
      </c>
      <c r="W139" s="43">
        <f t="shared" si="60"/>
        <v>226069.14458397444</v>
      </c>
      <c r="X139" s="43">
        <f t="shared" si="61"/>
        <v>13443.681224087864</v>
      </c>
      <c r="Y139" s="27">
        <f t="shared" si="62"/>
        <v>1731.5138520880705</v>
      </c>
      <c r="Z139" s="27">
        <f t="shared" si="63"/>
        <v>224337.63073188637</v>
      </c>
      <c r="AA139">
        <f t="shared" si="64"/>
        <v>0</v>
      </c>
      <c r="AB139" s="27">
        <f t="shared" si="65"/>
        <v>224337.63073188637</v>
      </c>
      <c r="AD139" s="27">
        <f t="shared" si="66"/>
        <v>0</v>
      </c>
      <c r="AE139" s="27">
        <f t="shared" si="67"/>
        <v>224337.63073188637</v>
      </c>
      <c r="AF139" s="50"/>
      <c r="AG139" t="str">
        <f t="shared" si="68"/>
        <v>5304740</v>
      </c>
    </row>
    <row r="140" spans="1:33" hidden="1" x14ac:dyDescent="0.25">
      <c r="A140" s="7" t="s">
        <v>461</v>
      </c>
      <c r="B140" s="2" t="s">
        <v>924</v>
      </c>
      <c r="C140" s="4" t="s">
        <v>923</v>
      </c>
      <c r="D140">
        <f>_xlfn.IFNA(VLOOKUP(A140,'Prior Year data'!$A$1:$T$318,12,FALSE),0)</f>
        <v>103279.36837908608</v>
      </c>
      <c r="E140">
        <f>VLOOKUP(A140,'Basic HH'!$B$1:$Y$319,23,FALSE)</f>
        <v>35163.541980459959</v>
      </c>
      <c r="F140">
        <f>VLOOKUP(A140,'Conc. HH'!$B$1:$Y$319,23,FALSE)</f>
        <v>8930.8400204539357</v>
      </c>
      <c r="G140">
        <f>VLOOKUP(A140,'Targeted HH'!$B$1:$Y$319,23,FALSE)</f>
        <v>19146.525998981546</v>
      </c>
      <c r="H140">
        <f>VLOOKUP(A140,'EFIG HH'!$B$1:$Y$319,23,FALSE)</f>
        <v>25229.227569560473</v>
      </c>
      <c r="I140">
        <f t="shared" si="46"/>
        <v>88470.135569455917</v>
      </c>
      <c r="J140">
        <f t="shared" si="47"/>
        <v>0</v>
      </c>
      <c r="K140" s="43">
        <f t="shared" si="48"/>
        <v>88470.135569455917</v>
      </c>
      <c r="L140">
        <f t="shared" si="49"/>
        <v>0</v>
      </c>
      <c r="M140">
        <f t="shared" si="50"/>
        <v>0</v>
      </c>
      <c r="N140" s="43">
        <f t="shared" si="51"/>
        <v>88470.135569455917</v>
      </c>
      <c r="O140">
        <f t="shared" si="52"/>
        <v>0</v>
      </c>
      <c r="P140">
        <f t="shared" si="53"/>
        <v>0</v>
      </c>
      <c r="Q140" s="43">
        <f t="shared" si="54"/>
        <v>88470.135569455917</v>
      </c>
      <c r="R140">
        <f t="shared" si="55"/>
        <v>0</v>
      </c>
      <c r="S140">
        <f t="shared" si="56"/>
        <v>0</v>
      </c>
      <c r="T140" s="43">
        <f t="shared" si="57"/>
        <v>88470.135569455917</v>
      </c>
      <c r="U140">
        <f t="shared" si="58"/>
        <v>0</v>
      </c>
      <c r="V140">
        <f t="shared" si="59"/>
        <v>0</v>
      </c>
      <c r="W140" s="43">
        <f t="shared" si="60"/>
        <v>88470.135569455917</v>
      </c>
      <c r="X140" s="43">
        <f t="shared" si="61"/>
        <v>0</v>
      </c>
      <c r="Y140" s="27">
        <f t="shared" si="62"/>
        <v>677.61244249641641</v>
      </c>
      <c r="Z140" s="27">
        <f t="shared" si="63"/>
        <v>87792.523126959495</v>
      </c>
      <c r="AA140">
        <f t="shared" si="64"/>
        <v>0</v>
      </c>
      <c r="AB140" s="27">
        <f t="shared" si="65"/>
        <v>87792.523126959495</v>
      </c>
      <c r="AD140" s="27">
        <f t="shared" si="66"/>
        <v>0</v>
      </c>
      <c r="AE140" s="27">
        <f t="shared" si="67"/>
        <v>87792.523126959495</v>
      </c>
      <c r="AF140" s="50"/>
      <c r="AG140" t="str">
        <f t="shared" si="68"/>
        <v>5304800</v>
      </c>
    </row>
    <row r="141" spans="1:33" hidden="1" x14ac:dyDescent="0.25">
      <c r="A141" s="7" t="s">
        <v>463</v>
      </c>
      <c r="B141" s="2" t="s">
        <v>926</v>
      </c>
      <c r="C141" s="4" t="s">
        <v>925</v>
      </c>
      <c r="D141">
        <f>_xlfn.IFNA(VLOOKUP(A141,'Prior Year data'!$A$1:$T$318,12,FALSE),0)</f>
        <v>315126.81737811229</v>
      </c>
      <c r="E141">
        <f>VLOOKUP(A141,'Basic HH'!$B$1:$Y$319,23,FALSE)</f>
        <v>113050.06010805261</v>
      </c>
      <c r="F141">
        <f>VLOOKUP(A141,'Conc. HH'!$B$1:$Y$319,23,FALSE)</f>
        <v>29786.827678315462</v>
      </c>
      <c r="G141">
        <f>VLOOKUP(A141,'Targeted HH'!$B$1:$Y$319,23,FALSE)</f>
        <v>68186.939185857918</v>
      </c>
      <c r="H141">
        <f>VLOOKUP(A141,'EFIG HH'!$B$1:$Y$319,23,FALSE)</f>
        <v>93724.178461339106</v>
      </c>
      <c r="I141">
        <f t="shared" si="46"/>
        <v>304748.00543356512</v>
      </c>
      <c r="J141">
        <f t="shared" si="47"/>
        <v>0</v>
      </c>
      <c r="K141" s="43">
        <f t="shared" si="48"/>
        <v>304748.00543356512</v>
      </c>
      <c r="L141">
        <f t="shared" si="49"/>
        <v>0</v>
      </c>
      <c r="M141">
        <f t="shared" si="50"/>
        <v>0</v>
      </c>
      <c r="N141" s="43">
        <f t="shared" si="51"/>
        <v>304748.00543356512</v>
      </c>
      <c r="O141">
        <f t="shared" si="52"/>
        <v>0</v>
      </c>
      <c r="P141">
        <f t="shared" si="53"/>
        <v>0</v>
      </c>
      <c r="Q141" s="43">
        <f t="shared" si="54"/>
        <v>304748.00543356512</v>
      </c>
      <c r="R141">
        <f t="shared" si="55"/>
        <v>0</v>
      </c>
      <c r="S141">
        <f t="shared" si="56"/>
        <v>0</v>
      </c>
      <c r="T141" s="43">
        <f t="shared" si="57"/>
        <v>304748.00543356512</v>
      </c>
      <c r="U141">
        <f t="shared" si="58"/>
        <v>0</v>
      </c>
      <c r="V141">
        <f t="shared" si="59"/>
        <v>0</v>
      </c>
      <c r="W141" s="43">
        <f t="shared" si="60"/>
        <v>304748.00543356512</v>
      </c>
      <c r="X141" s="43">
        <f t="shared" si="61"/>
        <v>0</v>
      </c>
      <c r="Y141" s="27">
        <f t="shared" si="62"/>
        <v>2334.1327441013123</v>
      </c>
      <c r="Z141" s="27">
        <f t="shared" si="63"/>
        <v>302413.87268946384</v>
      </c>
      <c r="AA141">
        <f t="shared" si="64"/>
        <v>0</v>
      </c>
      <c r="AB141" s="27">
        <f t="shared" si="65"/>
        <v>302413.87268946384</v>
      </c>
      <c r="AD141" s="27">
        <f t="shared" si="66"/>
        <v>0</v>
      </c>
      <c r="AE141" s="27">
        <f t="shared" si="67"/>
        <v>302413.87268946384</v>
      </c>
      <c r="AF141" s="50"/>
      <c r="AG141" t="str">
        <f t="shared" si="68"/>
        <v>5304830</v>
      </c>
    </row>
    <row r="142" spans="1:33" hidden="1" x14ac:dyDescent="0.25">
      <c r="A142" s="7" t="s">
        <v>163</v>
      </c>
      <c r="B142" s="2" t="s">
        <v>928</v>
      </c>
      <c r="C142" s="4" t="s">
        <v>927</v>
      </c>
      <c r="D142">
        <f>_xlfn.IFNA(VLOOKUP(A142,'Prior Year data'!$A$1:$T$318,12,FALSE),0)</f>
        <v>2648780.633473231</v>
      </c>
      <c r="E142">
        <f>VLOOKUP(A142,'Basic HH'!$B$1:$Y$319,23,FALSE)</f>
        <v>1255301.3627437877</v>
      </c>
      <c r="F142">
        <f>VLOOKUP(A142,'Conc. HH'!$B$1:$Y$319,23,FALSE)</f>
        <v>0</v>
      </c>
      <c r="G142">
        <f>VLOOKUP(A142,'Targeted HH'!$B$1:$Y$319,23,FALSE)</f>
        <v>763542.38882083597</v>
      </c>
      <c r="H142">
        <f>VLOOKUP(A142,'EFIG HH'!$B$1:$Y$319,23,FALSE)</f>
        <v>1035274.8540435898</v>
      </c>
      <c r="I142">
        <f t="shared" si="46"/>
        <v>3054118.6056082137</v>
      </c>
      <c r="J142">
        <f t="shared" si="47"/>
        <v>3054118.6056082137</v>
      </c>
      <c r="K142" s="43">
        <f t="shared" si="48"/>
        <v>2776770.7539182208</v>
      </c>
      <c r="L142">
        <f t="shared" si="49"/>
        <v>0</v>
      </c>
      <c r="M142">
        <f t="shared" si="50"/>
        <v>127990.12044498976</v>
      </c>
      <c r="N142" s="43">
        <f t="shared" si="51"/>
        <v>2758477.5480249291</v>
      </c>
      <c r="O142">
        <f t="shared" si="52"/>
        <v>0</v>
      </c>
      <c r="P142">
        <f t="shared" si="53"/>
        <v>109696.91455169814</v>
      </c>
      <c r="Q142" s="43">
        <f t="shared" si="54"/>
        <v>2758477.5480249291</v>
      </c>
      <c r="R142">
        <f t="shared" si="55"/>
        <v>0</v>
      </c>
      <c r="S142">
        <f t="shared" si="56"/>
        <v>109696.91455169814</v>
      </c>
      <c r="T142" s="43">
        <f t="shared" si="57"/>
        <v>2758477.5480249291</v>
      </c>
      <c r="U142">
        <f t="shared" si="58"/>
        <v>0</v>
      </c>
      <c r="V142">
        <f t="shared" si="59"/>
        <v>109696.91455169814</v>
      </c>
      <c r="W142" s="43">
        <f t="shared" si="60"/>
        <v>2758477.5480249291</v>
      </c>
      <c r="X142" s="43">
        <f t="shared" si="61"/>
        <v>295641.05758328456</v>
      </c>
      <c r="Y142" s="27">
        <f t="shared" si="62"/>
        <v>21127.79297621001</v>
      </c>
      <c r="Z142" s="27">
        <f t="shared" si="63"/>
        <v>2737349.7550487192</v>
      </c>
      <c r="AA142">
        <f t="shared" si="64"/>
        <v>0</v>
      </c>
      <c r="AB142" s="27">
        <f t="shared" si="65"/>
        <v>2737349.7550487192</v>
      </c>
      <c r="AD142" s="27">
        <f t="shared" si="66"/>
        <v>0</v>
      </c>
      <c r="AE142" s="27">
        <f t="shared" si="67"/>
        <v>2737349.7550487192</v>
      </c>
      <c r="AF142" s="50"/>
      <c r="AG142" t="str">
        <f t="shared" si="68"/>
        <v>5304860</v>
      </c>
    </row>
    <row r="143" spans="1:33" hidden="1" x14ac:dyDescent="0.25">
      <c r="A143" s="7" t="s">
        <v>465</v>
      </c>
      <c r="B143" s="2" t="s">
        <v>930</v>
      </c>
      <c r="C143" s="4" t="s">
        <v>929</v>
      </c>
      <c r="D143">
        <f>_xlfn.IFNA(VLOOKUP(A143,'Prior Year data'!$A$1:$T$318,12,FALSE),0)</f>
        <v>120253.23110253293</v>
      </c>
      <c r="E143">
        <f>VLOOKUP(A143,'Basic HH'!$B$1:$Y$319,23,FALSE)</f>
        <v>54847.346513609977</v>
      </c>
      <c r="F143">
        <f>VLOOKUP(A143,'Conc. HH'!$B$1:$Y$319,23,FALSE)</f>
        <v>0</v>
      </c>
      <c r="G143">
        <f>VLOOKUP(A143,'Targeted HH'!$B$1:$Y$319,23,FALSE)</f>
        <v>26236.952937353883</v>
      </c>
      <c r="H143">
        <f>VLOOKUP(A143,'EFIG HH'!$B$1:$Y$319,23,FALSE)</f>
        <v>36063.165303250906</v>
      </c>
      <c r="I143">
        <f t="shared" si="46"/>
        <v>117147.46475421476</v>
      </c>
      <c r="J143">
        <f t="shared" si="47"/>
        <v>0</v>
      </c>
      <c r="K143" s="43">
        <f t="shared" si="48"/>
        <v>117147.46475421476</v>
      </c>
      <c r="L143">
        <f t="shared" si="49"/>
        <v>0</v>
      </c>
      <c r="M143">
        <f t="shared" si="50"/>
        <v>0</v>
      </c>
      <c r="N143" s="43">
        <f t="shared" si="51"/>
        <v>117147.46475421476</v>
      </c>
      <c r="O143">
        <f t="shared" si="52"/>
        <v>0</v>
      </c>
      <c r="P143">
        <f t="shared" si="53"/>
        <v>0</v>
      </c>
      <c r="Q143" s="43">
        <f t="shared" si="54"/>
        <v>117147.46475421476</v>
      </c>
      <c r="R143">
        <f t="shared" si="55"/>
        <v>0</v>
      </c>
      <c r="S143">
        <f t="shared" si="56"/>
        <v>0</v>
      </c>
      <c r="T143" s="43">
        <f t="shared" si="57"/>
        <v>117147.46475421476</v>
      </c>
      <c r="U143">
        <f t="shared" si="58"/>
        <v>0</v>
      </c>
      <c r="V143">
        <f t="shared" si="59"/>
        <v>0</v>
      </c>
      <c r="W143" s="43">
        <f t="shared" si="60"/>
        <v>117147.46475421476</v>
      </c>
      <c r="X143" s="43">
        <f t="shared" si="61"/>
        <v>0</v>
      </c>
      <c r="Y143" s="27">
        <f t="shared" si="62"/>
        <v>897.25848404568569</v>
      </c>
      <c r="Z143" s="27">
        <f t="shared" si="63"/>
        <v>116250.20627016907</v>
      </c>
      <c r="AA143">
        <f t="shared" si="64"/>
        <v>0</v>
      </c>
      <c r="AB143" s="27">
        <f t="shared" si="65"/>
        <v>116250.20627016907</v>
      </c>
      <c r="AD143" s="27">
        <f t="shared" si="66"/>
        <v>0</v>
      </c>
      <c r="AE143" s="27">
        <f t="shared" si="67"/>
        <v>116250.20627016907</v>
      </c>
      <c r="AF143" s="50"/>
      <c r="AG143" t="str">
        <f t="shared" si="68"/>
        <v>5304890</v>
      </c>
    </row>
    <row r="144" spans="1:33" hidden="1" x14ac:dyDescent="0.25">
      <c r="A144" s="7" t="s">
        <v>165</v>
      </c>
      <c r="B144" s="2" t="s">
        <v>932</v>
      </c>
      <c r="C144" s="4" t="s">
        <v>931</v>
      </c>
      <c r="D144">
        <f>_xlfn.IFNA(VLOOKUP(A144,'Prior Year data'!$A$1:$T$318,12,FALSE),0)</f>
        <v>1831123.1993009571</v>
      </c>
      <c r="E144">
        <f>VLOOKUP(A144,'Basic HH'!$B$1:$Y$319,23,FALSE)</f>
        <v>776636.2756352569</v>
      </c>
      <c r="F144">
        <f>VLOOKUP(A144,'Conc. HH'!$B$1:$Y$319,23,FALSE)</f>
        <v>0</v>
      </c>
      <c r="G144">
        <f>VLOOKUP(A144,'Targeted HH'!$B$1:$Y$319,23,FALSE)</f>
        <v>420665.8120955741</v>
      </c>
      <c r="H144">
        <f>VLOOKUP(A144,'EFIG HH'!$B$1:$Y$319,23,FALSE)</f>
        <v>578212.75036212301</v>
      </c>
      <c r="I144">
        <f t="shared" si="46"/>
        <v>1775514.8380929539</v>
      </c>
      <c r="J144">
        <f t="shared" si="47"/>
        <v>0</v>
      </c>
      <c r="K144" s="43">
        <f t="shared" si="48"/>
        <v>1775514.8380929539</v>
      </c>
      <c r="L144">
        <f t="shared" si="49"/>
        <v>0</v>
      </c>
      <c r="M144">
        <f t="shared" si="50"/>
        <v>0</v>
      </c>
      <c r="N144" s="43">
        <f t="shared" si="51"/>
        <v>1775514.8380929539</v>
      </c>
      <c r="O144">
        <f t="shared" si="52"/>
        <v>0</v>
      </c>
      <c r="P144">
        <f t="shared" si="53"/>
        <v>0</v>
      </c>
      <c r="Q144" s="43">
        <f t="shared" si="54"/>
        <v>1775514.8380929539</v>
      </c>
      <c r="R144">
        <f t="shared" si="55"/>
        <v>0</v>
      </c>
      <c r="S144">
        <f t="shared" si="56"/>
        <v>0</v>
      </c>
      <c r="T144" s="43">
        <f t="shared" si="57"/>
        <v>1775514.8380929539</v>
      </c>
      <c r="U144">
        <f t="shared" si="58"/>
        <v>0</v>
      </c>
      <c r="V144">
        <f t="shared" si="59"/>
        <v>0</v>
      </c>
      <c r="W144" s="43">
        <f t="shared" si="60"/>
        <v>1775514.8380929539</v>
      </c>
      <c r="X144" s="43">
        <f t="shared" si="61"/>
        <v>0</v>
      </c>
      <c r="Y144" s="27">
        <f t="shared" si="62"/>
        <v>13599.062987580259</v>
      </c>
      <c r="Z144" s="27">
        <f t="shared" si="63"/>
        <v>1761915.7751053737</v>
      </c>
      <c r="AA144">
        <f t="shared" si="64"/>
        <v>0</v>
      </c>
      <c r="AB144" s="27">
        <f t="shared" si="65"/>
        <v>1761915.7751053737</v>
      </c>
      <c r="AD144" s="27">
        <f t="shared" si="66"/>
        <v>0</v>
      </c>
      <c r="AE144" s="27">
        <f t="shared" si="67"/>
        <v>1761915.7751053737</v>
      </c>
      <c r="AF144" s="50"/>
      <c r="AG144" t="str">
        <f t="shared" si="68"/>
        <v>5304920</v>
      </c>
    </row>
    <row r="145" spans="1:33" hidden="1" x14ac:dyDescent="0.25">
      <c r="A145" s="7" t="s">
        <v>167</v>
      </c>
      <c r="B145" s="2" t="s">
        <v>934</v>
      </c>
      <c r="C145" s="4" t="s">
        <v>933</v>
      </c>
      <c r="D145">
        <f>_xlfn.IFNA(VLOOKUP(A145,'Prior Year data'!$A$1:$T$318,12,FALSE),0)</f>
        <v>340515.29373052559</v>
      </c>
      <c r="E145">
        <f>VLOOKUP(A145,'Basic HH'!$B$1:$Y$319,23,FALSE)</f>
        <v>153572.57023810799</v>
      </c>
      <c r="F145">
        <f>VLOOKUP(A145,'Conc. HH'!$B$1:$Y$319,23,FALSE)</f>
        <v>0</v>
      </c>
      <c r="G145">
        <f>VLOOKUP(A145,'Targeted HH'!$B$1:$Y$319,23,FALSE)</f>
        <v>73463.468224590892</v>
      </c>
      <c r="H145">
        <f>VLOOKUP(A145,'EFIG HH'!$B$1:$Y$319,23,FALSE)</f>
        <v>100976.86284910253</v>
      </c>
      <c r="I145">
        <f t="shared" si="46"/>
        <v>328012.9013118014</v>
      </c>
      <c r="J145">
        <f t="shared" si="47"/>
        <v>0</v>
      </c>
      <c r="K145" s="43">
        <f t="shared" si="48"/>
        <v>328012.9013118014</v>
      </c>
      <c r="L145">
        <f t="shared" si="49"/>
        <v>0</v>
      </c>
      <c r="M145">
        <f t="shared" si="50"/>
        <v>0</v>
      </c>
      <c r="N145" s="43">
        <f t="shared" si="51"/>
        <v>328012.9013118014</v>
      </c>
      <c r="O145">
        <f t="shared" si="52"/>
        <v>0</v>
      </c>
      <c r="P145">
        <f t="shared" si="53"/>
        <v>0</v>
      </c>
      <c r="Q145" s="43">
        <f t="shared" si="54"/>
        <v>328012.9013118014</v>
      </c>
      <c r="R145">
        <f t="shared" si="55"/>
        <v>0</v>
      </c>
      <c r="S145">
        <f t="shared" si="56"/>
        <v>0</v>
      </c>
      <c r="T145" s="43">
        <f t="shared" si="57"/>
        <v>328012.9013118014</v>
      </c>
      <c r="U145">
        <f t="shared" si="58"/>
        <v>0</v>
      </c>
      <c r="V145">
        <f t="shared" si="59"/>
        <v>0</v>
      </c>
      <c r="W145" s="43">
        <f t="shared" si="60"/>
        <v>328012.9013118014</v>
      </c>
      <c r="X145" s="43">
        <f t="shared" si="61"/>
        <v>0</v>
      </c>
      <c r="Y145" s="27">
        <f t="shared" si="62"/>
        <v>2512.3237553279209</v>
      </c>
      <c r="Z145" s="27">
        <f t="shared" si="63"/>
        <v>325500.57755647349</v>
      </c>
      <c r="AA145">
        <f t="shared" si="64"/>
        <v>0</v>
      </c>
      <c r="AB145" s="27">
        <f t="shared" si="65"/>
        <v>325500.57755647349</v>
      </c>
      <c r="AD145" s="27">
        <f t="shared" si="66"/>
        <v>0</v>
      </c>
      <c r="AE145" s="27">
        <f t="shared" si="67"/>
        <v>325500.57755647349</v>
      </c>
      <c r="AF145" s="50"/>
      <c r="AG145" t="str">
        <f t="shared" si="68"/>
        <v>5304950</v>
      </c>
    </row>
    <row r="146" spans="1:33" x14ac:dyDescent="0.25">
      <c r="A146" s="7" t="s">
        <v>169</v>
      </c>
      <c r="B146" s="2" t="s">
        <v>936</v>
      </c>
      <c r="C146" s="4" t="s">
        <v>935</v>
      </c>
      <c r="D146">
        <f>_xlfn.IFNA(VLOOKUP(A146,'Prior Year data'!$A$1:$T$318,12,FALSE),0)</f>
        <v>125383.35251821793</v>
      </c>
      <c r="E146">
        <f>VLOOKUP(A146,'Basic HH'!$B$1:$Y$319,23,FALSE)</f>
        <v>132045.5412713188</v>
      </c>
      <c r="F146">
        <f>VLOOKUP(A146,'Conc. HH'!$B$1:$Y$319,23,FALSE)</f>
        <v>0</v>
      </c>
      <c r="G146">
        <f>VLOOKUP(A146,'Targeted HH'!$B$1:$Y$319,23,FALSE)</f>
        <v>0</v>
      </c>
      <c r="H146">
        <f>VLOOKUP(A146,'EFIG HH'!$B$1:$Y$319,23,FALSE)</f>
        <v>0</v>
      </c>
      <c r="I146">
        <f t="shared" si="46"/>
        <v>132045.5412713188</v>
      </c>
      <c r="J146">
        <f t="shared" si="47"/>
        <v>132045.5412713188</v>
      </c>
      <c r="K146" s="43">
        <f t="shared" si="48"/>
        <v>120054.34121458448</v>
      </c>
      <c r="L146">
        <f t="shared" si="49"/>
        <v>5329.0113036334515</v>
      </c>
      <c r="M146">
        <f t="shared" si="50"/>
        <v>0</v>
      </c>
      <c r="N146" s="43">
        <f t="shared" si="51"/>
        <v>125383.35251821793</v>
      </c>
      <c r="O146">
        <f t="shared" si="52"/>
        <v>0</v>
      </c>
      <c r="P146">
        <f t="shared" si="53"/>
        <v>0</v>
      </c>
      <c r="Q146" s="43">
        <f t="shared" si="54"/>
        <v>125383.35251821793</v>
      </c>
      <c r="R146">
        <f t="shared" si="55"/>
        <v>0</v>
      </c>
      <c r="S146">
        <f t="shared" si="56"/>
        <v>0</v>
      </c>
      <c r="T146" s="43">
        <f t="shared" si="57"/>
        <v>125383.35251821793</v>
      </c>
      <c r="U146">
        <f t="shared" si="58"/>
        <v>0</v>
      </c>
      <c r="V146">
        <f t="shared" si="59"/>
        <v>0</v>
      </c>
      <c r="W146" s="43">
        <f t="shared" si="60"/>
        <v>125383.35251821793</v>
      </c>
      <c r="X146" s="43">
        <f t="shared" si="61"/>
        <v>6662.1887531008688</v>
      </c>
      <c r="Y146" s="27">
        <f t="shared" si="62"/>
        <v>960.33897994377583</v>
      </c>
      <c r="Z146" s="27">
        <f t="shared" si="63"/>
        <v>124423.01353827416</v>
      </c>
      <c r="AA146">
        <f t="shared" si="64"/>
        <v>0</v>
      </c>
      <c r="AB146" s="27">
        <f t="shared" si="65"/>
        <v>124423.01353827416</v>
      </c>
      <c r="AD146" s="27">
        <f t="shared" si="66"/>
        <v>0</v>
      </c>
      <c r="AE146" s="27">
        <f t="shared" si="67"/>
        <v>124423.01353827416</v>
      </c>
      <c r="AF146" s="50"/>
      <c r="AG146" t="str">
        <f t="shared" si="68"/>
        <v>5304980</v>
      </c>
    </row>
    <row r="147" spans="1:33" hidden="1" x14ac:dyDescent="0.25">
      <c r="A147" s="7" t="s">
        <v>171</v>
      </c>
      <c r="B147" s="2" t="s">
        <v>938</v>
      </c>
      <c r="C147" s="4" t="s">
        <v>937</v>
      </c>
      <c r="D147">
        <f>_xlfn.IFNA(VLOOKUP(A147,'Prior Year data'!$A$1:$T$318,12,FALSE),0)</f>
        <v>363485.52177952265</v>
      </c>
      <c r="E147">
        <f>VLOOKUP(A147,'Basic HH'!$B$1:$Y$319,23,FALSE)</f>
        <v>187643.66391187409</v>
      </c>
      <c r="F147">
        <f>VLOOKUP(A147,'Conc. HH'!$B$1:$Y$319,23,FALSE)</f>
        <v>0</v>
      </c>
      <c r="G147">
        <f>VLOOKUP(A147,'Targeted HH'!$B$1:$Y$319,23,FALSE)</f>
        <v>90518.746424424011</v>
      </c>
      <c r="H147">
        <f>VLOOKUP(A147,'EFIG HH'!$B$1:$Y$319,23,FALSE)</f>
        <v>122732.91354194035</v>
      </c>
      <c r="I147">
        <f t="shared" si="46"/>
        <v>400895.32387823844</v>
      </c>
      <c r="J147">
        <f t="shared" si="47"/>
        <v>400895.32387823844</v>
      </c>
      <c r="K147" s="43">
        <f t="shared" si="48"/>
        <v>364489.58094932197</v>
      </c>
      <c r="L147">
        <f t="shared" si="49"/>
        <v>0</v>
      </c>
      <c r="M147">
        <f t="shared" si="50"/>
        <v>1004.0591697993223</v>
      </c>
      <c r="N147" s="43">
        <f t="shared" si="51"/>
        <v>364346.07408286753</v>
      </c>
      <c r="O147">
        <f t="shared" si="52"/>
        <v>0</v>
      </c>
      <c r="P147">
        <f t="shared" si="53"/>
        <v>860.55230334488442</v>
      </c>
      <c r="Q147" s="43">
        <f t="shared" si="54"/>
        <v>364346.07408286753</v>
      </c>
      <c r="R147">
        <f t="shared" si="55"/>
        <v>0</v>
      </c>
      <c r="S147">
        <f t="shared" si="56"/>
        <v>860.55230334488442</v>
      </c>
      <c r="T147" s="43">
        <f t="shared" si="57"/>
        <v>364346.07408286753</v>
      </c>
      <c r="U147">
        <f t="shared" si="58"/>
        <v>0</v>
      </c>
      <c r="V147">
        <f t="shared" si="59"/>
        <v>860.55230334488442</v>
      </c>
      <c r="W147" s="43">
        <f t="shared" si="60"/>
        <v>364346.07408286753</v>
      </c>
      <c r="X147" s="43">
        <f t="shared" si="61"/>
        <v>36549.24979537091</v>
      </c>
      <c r="Y147" s="27">
        <f t="shared" si="62"/>
        <v>2790.6076054268951</v>
      </c>
      <c r="Z147" s="27">
        <f t="shared" si="63"/>
        <v>361555.46647744061</v>
      </c>
      <c r="AA147">
        <f t="shared" si="64"/>
        <v>0</v>
      </c>
      <c r="AB147" s="27">
        <f t="shared" si="65"/>
        <v>361555.46647744061</v>
      </c>
      <c r="AD147" s="27">
        <f t="shared" si="66"/>
        <v>0</v>
      </c>
      <c r="AE147" s="27">
        <f t="shared" si="67"/>
        <v>361555.46647744061</v>
      </c>
      <c r="AF147" s="50"/>
      <c r="AG147" t="str">
        <f t="shared" si="68"/>
        <v>5305010</v>
      </c>
    </row>
    <row r="148" spans="1:33" hidden="1" x14ac:dyDescent="0.25">
      <c r="A148" s="7" t="s">
        <v>467</v>
      </c>
      <c r="B148" s="2" t="s">
        <v>940</v>
      </c>
      <c r="C148" s="4" t="s">
        <v>939</v>
      </c>
      <c r="D148">
        <f>_xlfn.IFNA(VLOOKUP(A148,'Prior Year data'!$A$1:$T$318,12,FALSE),0)</f>
        <v>168957.03498535196</v>
      </c>
      <c r="E148">
        <f>VLOOKUP(A148,'Basic HH'!$B$1:$Y$319,23,FALSE)</f>
        <v>112064.9659473693</v>
      </c>
      <c r="F148">
        <f>VLOOKUP(A148,'Conc. HH'!$B$1:$Y$319,23,FALSE)</f>
        <v>30152.238734951246</v>
      </c>
      <c r="G148">
        <f>VLOOKUP(A148,'Targeted HH'!$B$1:$Y$319,23,FALSE)</f>
        <v>54059.806892364337</v>
      </c>
      <c r="H148">
        <f>VLOOKUP(A148,'EFIG HH'!$B$1:$Y$319,23,FALSE)</f>
        <v>73298.823365325516</v>
      </c>
      <c r="I148">
        <f t="shared" si="46"/>
        <v>269575.83494001045</v>
      </c>
      <c r="J148">
        <f t="shared" si="47"/>
        <v>269575.83494001045</v>
      </c>
      <c r="K148" s="43">
        <f t="shared" si="48"/>
        <v>245095.35846118076</v>
      </c>
      <c r="L148">
        <f t="shared" si="49"/>
        <v>0</v>
      </c>
      <c r="M148">
        <f t="shared" si="50"/>
        <v>76138.323475828802</v>
      </c>
      <c r="N148" s="43">
        <f t="shared" si="51"/>
        <v>234213.158937726</v>
      </c>
      <c r="O148">
        <f t="shared" si="52"/>
        <v>0</v>
      </c>
      <c r="P148">
        <f t="shared" si="53"/>
        <v>65256.123952374037</v>
      </c>
      <c r="Q148" s="43">
        <f t="shared" si="54"/>
        <v>234213.158937726</v>
      </c>
      <c r="R148">
        <f t="shared" si="55"/>
        <v>0</v>
      </c>
      <c r="S148">
        <f t="shared" si="56"/>
        <v>65256.123952374037</v>
      </c>
      <c r="T148" s="43">
        <f t="shared" si="57"/>
        <v>234213.158937726</v>
      </c>
      <c r="U148">
        <f t="shared" si="58"/>
        <v>0</v>
      </c>
      <c r="V148">
        <f t="shared" si="59"/>
        <v>65256.123952374037</v>
      </c>
      <c r="W148" s="43">
        <f t="shared" si="60"/>
        <v>234213.158937726</v>
      </c>
      <c r="X148" s="43">
        <f t="shared" si="61"/>
        <v>35362.676002284454</v>
      </c>
      <c r="Y148" s="27">
        <f t="shared" si="62"/>
        <v>1793.8906691060463</v>
      </c>
      <c r="Z148" s="27">
        <f t="shared" si="63"/>
        <v>232419.26826861996</v>
      </c>
      <c r="AA148">
        <f t="shared" si="64"/>
        <v>0</v>
      </c>
      <c r="AB148" s="27">
        <f t="shared" si="65"/>
        <v>232419.26826861996</v>
      </c>
      <c r="AD148" s="27">
        <f t="shared" si="66"/>
        <v>0</v>
      </c>
      <c r="AE148" s="27">
        <f t="shared" si="67"/>
        <v>232419.26826861996</v>
      </c>
      <c r="AF148" s="50"/>
      <c r="AG148" t="str">
        <f t="shared" si="68"/>
        <v>5305020</v>
      </c>
    </row>
    <row r="149" spans="1:33" hidden="1" x14ac:dyDescent="0.25">
      <c r="A149" s="7" t="s">
        <v>469</v>
      </c>
      <c r="B149" s="2" t="s">
        <v>942</v>
      </c>
      <c r="C149" s="4" t="s">
        <v>941</v>
      </c>
      <c r="D149">
        <f>_xlfn.IFNA(VLOOKUP(A149,'Prior Year data'!$A$1:$T$318,12,FALSE),0)</f>
        <v>33714.082660137508</v>
      </c>
      <c r="E149">
        <f>VLOOKUP(A149,'Basic HH'!$B$1:$Y$319,23,FALSE)</f>
        <v>13937.678643458541</v>
      </c>
      <c r="F149">
        <f>VLOOKUP(A149,'Conc. HH'!$B$1:$Y$319,23,FALSE)</f>
        <v>3672.3486178745097</v>
      </c>
      <c r="G149">
        <f>VLOOKUP(A149,'Targeted HH'!$B$1:$Y$319,23,FALSE)</f>
        <v>8920.0886468471053</v>
      </c>
      <c r="H149">
        <f>VLOOKUP(A149,'EFIG HH'!$B$1:$Y$319,23,FALSE)</f>
        <v>12260.822823404522</v>
      </c>
      <c r="I149">
        <f t="shared" si="46"/>
        <v>38790.938731584683</v>
      </c>
      <c r="J149">
        <f t="shared" si="47"/>
        <v>38790.938731584683</v>
      </c>
      <c r="K149" s="43">
        <f t="shared" si="48"/>
        <v>35268.291149238867</v>
      </c>
      <c r="L149">
        <f t="shared" si="49"/>
        <v>0</v>
      </c>
      <c r="M149">
        <f t="shared" si="50"/>
        <v>1554.2084891013583</v>
      </c>
      <c r="N149" s="43">
        <f t="shared" si="51"/>
        <v>35046.153254584307</v>
      </c>
      <c r="O149">
        <f t="shared" si="52"/>
        <v>0</v>
      </c>
      <c r="P149">
        <f t="shared" si="53"/>
        <v>1332.0705944467991</v>
      </c>
      <c r="Q149" s="43">
        <f t="shared" si="54"/>
        <v>35046.153254584307</v>
      </c>
      <c r="R149">
        <f t="shared" si="55"/>
        <v>0</v>
      </c>
      <c r="S149">
        <f t="shared" si="56"/>
        <v>1332.0705944467991</v>
      </c>
      <c r="T149" s="43">
        <f t="shared" si="57"/>
        <v>35046.153254584307</v>
      </c>
      <c r="U149">
        <f t="shared" si="58"/>
        <v>0</v>
      </c>
      <c r="V149">
        <f t="shared" si="59"/>
        <v>1332.0705944467991</v>
      </c>
      <c r="W149" s="43">
        <f t="shared" si="60"/>
        <v>35046.153254584307</v>
      </c>
      <c r="X149" s="43">
        <f t="shared" si="61"/>
        <v>3744.785477000376</v>
      </c>
      <c r="Y149" s="27">
        <f t="shared" si="62"/>
        <v>268.42628141220393</v>
      </c>
      <c r="Z149" s="27">
        <f t="shared" si="63"/>
        <v>34777.726973172103</v>
      </c>
      <c r="AA149">
        <f t="shared" si="64"/>
        <v>0</v>
      </c>
      <c r="AB149" s="27">
        <f t="shared" si="65"/>
        <v>34777.726973172103</v>
      </c>
      <c r="AD149" s="27">
        <f t="shared" si="66"/>
        <v>0</v>
      </c>
      <c r="AE149" s="27">
        <f t="shared" si="67"/>
        <v>34777.726973172103</v>
      </c>
      <c r="AF149" s="50"/>
      <c r="AG149" t="str">
        <f t="shared" si="68"/>
        <v>5305040</v>
      </c>
    </row>
    <row r="150" spans="1:33" hidden="1" x14ac:dyDescent="0.25">
      <c r="A150" s="7" t="s">
        <v>173</v>
      </c>
      <c r="B150" s="2" t="s">
        <v>944</v>
      </c>
      <c r="C150" s="4" t="s">
        <v>943</v>
      </c>
      <c r="D150">
        <f>_xlfn.IFNA(VLOOKUP(A150,'Prior Year data'!$A$1:$T$318,12,FALSE),0)</f>
        <v>692607.03116852825</v>
      </c>
      <c r="E150">
        <f>VLOOKUP(A150,'Basic HH'!$B$1:$Y$319,23,FALSE)</f>
        <v>402217.66847776732</v>
      </c>
      <c r="F150">
        <f>VLOOKUP(A150,'Conc. HH'!$B$1:$Y$319,23,FALSE)</f>
        <v>0</v>
      </c>
      <c r="G150">
        <f>VLOOKUP(A150,'Targeted HH'!$B$1:$Y$319,23,FALSE)</f>
        <v>194028.60923383481</v>
      </c>
      <c r="H150">
        <f>VLOOKUP(A150,'EFIG HH'!$B$1:$Y$319,23,FALSE)</f>
        <v>263080.27300888143</v>
      </c>
      <c r="I150">
        <f t="shared" si="46"/>
        <v>859326.55072048353</v>
      </c>
      <c r="J150">
        <f t="shared" si="47"/>
        <v>859326.55072048353</v>
      </c>
      <c r="K150" s="43">
        <f t="shared" si="48"/>
        <v>781290.16657192656</v>
      </c>
      <c r="L150">
        <f t="shared" si="49"/>
        <v>0</v>
      </c>
      <c r="M150">
        <f t="shared" si="50"/>
        <v>88683.135403398308</v>
      </c>
      <c r="N150" s="43">
        <f t="shared" si="51"/>
        <v>768614.97844368115</v>
      </c>
      <c r="O150">
        <f t="shared" si="52"/>
        <v>0</v>
      </c>
      <c r="P150">
        <f t="shared" si="53"/>
        <v>76007.947275152896</v>
      </c>
      <c r="Q150" s="43">
        <f t="shared" si="54"/>
        <v>768614.97844368115</v>
      </c>
      <c r="R150">
        <f t="shared" si="55"/>
        <v>0</v>
      </c>
      <c r="S150">
        <f t="shared" si="56"/>
        <v>76007.947275152896</v>
      </c>
      <c r="T150" s="43">
        <f t="shared" si="57"/>
        <v>768614.97844368115</v>
      </c>
      <c r="U150">
        <f t="shared" si="58"/>
        <v>0</v>
      </c>
      <c r="V150">
        <f t="shared" si="59"/>
        <v>76007.947275152896</v>
      </c>
      <c r="W150" s="43">
        <f t="shared" si="60"/>
        <v>768614.97844368115</v>
      </c>
      <c r="X150" s="43">
        <f t="shared" si="61"/>
        <v>90711.572276802384</v>
      </c>
      <c r="Y150" s="27">
        <f t="shared" si="62"/>
        <v>5886.9930460733467</v>
      </c>
      <c r="Z150" s="27">
        <f t="shared" si="63"/>
        <v>762727.98539760779</v>
      </c>
      <c r="AA150">
        <f t="shared" si="64"/>
        <v>0</v>
      </c>
      <c r="AB150" s="27">
        <f t="shared" si="65"/>
        <v>762727.98539760779</v>
      </c>
      <c r="AD150" s="27">
        <f t="shared" si="66"/>
        <v>0</v>
      </c>
      <c r="AE150" s="27">
        <f t="shared" si="67"/>
        <v>762727.98539760779</v>
      </c>
      <c r="AF150" s="50"/>
      <c r="AG150" t="str">
        <f t="shared" si="68"/>
        <v>5305130</v>
      </c>
    </row>
    <row r="151" spans="1:33" x14ac:dyDescent="0.25">
      <c r="A151" s="7" t="s">
        <v>471</v>
      </c>
      <c r="B151" s="2" t="s">
        <v>946</v>
      </c>
      <c r="C151" s="4" t="s">
        <v>945</v>
      </c>
      <c r="D151">
        <f>_xlfn.IFNA(VLOOKUP(A151,'Prior Year data'!$A$1:$T$318,12,FALSE),0)</f>
        <v>375506.60928039916</v>
      </c>
      <c r="E151">
        <f>VLOOKUP(A151,'Basic HH'!$B$1:$Y$319,23,FALSE)</f>
        <v>155766.46409865239</v>
      </c>
      <c r="F151">
        <f>VLOOKUP(A151,'Conc. HH'!$B$1:$Y$319,23,FALSE)</f>
        <v>41041.896127541957</v>
      </c>
      <c r="G151">
        <f>VLOOKUP(A151,'Targeted HH'!$B$1:$Y$319,23,FALSE)</f>
        <v>75867.507748334785</v>
      </c>
      <c r="H151">
        <f>VLOOKUP(A151,'EFIG HH'!$B$1:$Y$319,23,FALSE)</f>
        <v>104281.25855950882</v>
      </c>
      <c r="I151">
        <f t="shared" si="46"/>
        <v>376957.12653403799</v>
      </c>
      <c r="J151">
        <f t="shared" si="47"/>
        <v>376957.12653403799</v>
      </c>
      <c r="K151" s="43">
        <f t="shared" si="48"/>
        <v>342725.2374936227</v>
      </c>
      <c r="L151">
        <f t="shared" si="49"/>
        <v>32781.371786776464</v>
      </c>
      <c r="M151">
        <f t="shared" si="50"/>
        <v>0</v>
      </c>
      <c r="N151" s="43">
        <f t="shared" si="51"/>
        <v>375506.60928039916</v>
      </c>
      <c r="O151">
        <f t="shared" si="52"/>
        <v>0</v>
      </c>
      <c r="P151">
        <f t="shared" si="53"/>
        <v>0</v>
      </c>
      <c r="Q151" s="43">
        <f t="shared" si="54"/>
        <v>375506.60928039916</v>
      </c>
      <c r="R151">
        <f t="shared" si="55"/>
        <v>0</v>
      </c>
      <c r="S151">
        <f t="shared" si="56"/>
        <v>0</v>
      </c>
      <c r="T151" s="43">
        <f t="shared" si="57"/>
        <v>375506.60928039916</v>
      </c>
      <c r="U151">
        <f t="shared" si="58"/>
        <v>0</v>
      </c>
      <c r="V151">
        <f t="shared" si="59"/>
        <v>0</v>
      </c>
      <c r="W151" s="43">
        <f t="shared" si="60"/>
        <v>375506.60928039916</v>
      </c>
      <c r="X151" s="43">
        <f t="shared" si="61"/>
        <v>1450.5172536388272</v>
      </c>
      <c r="Y151" s="27">
        <f t="shared" si="62"/>
        <v>2876.0886264074657</v>
      </c>
      <c r="Z151" s="27">
        <f t="shared" si="63"/>
        <v>372630.52065399167</v>
      </c>
      <c r="AA151">
        <f t="shared" si="64"/>
        <v>0</v>
      </c>
      <c r="AB151" s="27">
        <f t="shared" si="65"/>
        <v>372630.52065399167</v>
      </c>
      <c r="AD151" s="27">
        <f t="shared" si="66"/>
        <v>0</v>
      </c>
      <c r="AE151" s="27">
        <f t="shared" si="67"/>
        <v>372630.52065399167</v>
      </c>
      <c r="AF151" s="50"/>
      <c r="AG151" t="str">
        <f t="shared" si="68"/>
        <v>5305160</v>
      </c>
    </row>
    <row r="152" spans="1:33" hidden="1" x14ac:dyDescent="0.25">
      <c r="A152" s="7" t="s">
        <v>473</v>
      </c>
      <c r="B152" s="2" t="s">
        <v>948</v>
      </c>
      <c r="C152" s="4" t="s">
        <v>947</v>
      </c>
      <c r="D152">
        <f>_xlfn.IFNA(VLOOKUP(A152,'Prior Year data'!$A$1:$T$318,12,FALSE),0)</f>
        <v>117197.5257764822</v>
      </c>
      <c r="E152">
        <f>VLOOKUP(A152,'Basic HH'!$B$1:$Y$319,23,FALSE)</f>
        <v>38525.573276616677</v>
      </c>
      <c r="F152">
        <f>VLOOKUP(A152,'Conc. HH'!$B$1:$Y$319,23,FALSE)</f>
        <v>10090.060852061843</v>
      </c>
      <c r="G152">
        <f>VLOOKUP(A152,'Targeted HH'!$B$1:$Y$319,23,FALSE)</f>
        <v>21764.765657997483</v>
      </c>
      <c r="H152">
        <f>VLOOKUP(A152,'EFIG HH'!$B$1:$Y$319,23,FALSE)</f>
        <v>30012.168027960117</v>
      </c>
      <c r="I152">
        <f t="shared" si="46"/>
        <v>100392.56781463612</v>
      </c>
      <c r="J152">
        <f t="shared" si="47"/>
        <v>0</v>
      </c>
      <c r="K152" s="43">
        <f t="shared" si="48"/>
        <v>100392.56781463612</v>
      </c>
      <c r="L152">
        <f t="shared" si="49"/>
        <v>0</v>
      </c>
      <c r="M152">
        <f t="shared" si="50"/>
        <v>0</v>
      </c>
      <c r="N152" s="43">
        <f t="shared" si="51"/>
        <v>100392.56781463612</v>
      </c>
      <c r="O152">
        <f t="shared" si="52"/>
        <v>0</v>
      </c>
      <c r="P152">
        <f t="shared" si="53"/>
        <v>0</v>
      </c>
      <c r="Q152" s="43">
        <f t="shared" si="54"/>
        <v>100392.56781463612</v>
      </c>
      <c r="R152">
        <f t="shared" si="55"/>
        <v>0</v>
      </c>
      <c r="S152">
        <f t="shared" si="56"/>
        <v>0</v>
      </c>
      <c r="T152" s="43">
        <f t="shared" si="57"/>
        <v>100392.56781463612</v>
      </c>
      <c r="U152">
        <f t="shared" si="58"/>
        <v>0</v>
      </c>
      <c r="V152">
        <f t="shared" si="59"/>
        <v>0</v>
      </c>
      <c r="W152" s="43">
        <f t="shared" si="60"/>
        <v>100392.56781463612</v>
      </c>
      <c r="X152" s="43">
        <f t="shared" si="61"/>
        <v>0</v>
      </c>
      <c r="Y152" s="27">
        <f t="shared" si="62"/>
        <v>768.92900239715391</v>
      </c>
      <c r="Z152" s="27">
        <f t="shared" si="63"/>
        <v>99623.638812238962</v>
      </c>
      <c r="AA152">
        <f t="shared" si="64"/>
        <v>0</v>
      </c>
      <c r="AB152" s="27">
        <f t="shared" si="65"/>
        <v>99623.638812238962</v>
      </c>
      <c r="AD152" s="27">
        <f t="shared" si="66"/>
        <v>0</v>
      </c>
      <c r="AE152" s="27">
        <f t="shared" si="67"/>
        <v>99623.638812238962</v>
      </c>
      <c r="AF152" s="50"/>
      <c r="AG152" t="str">
        <f t="shared" si="68"/>
        <v>5305190</v>
      </c>
    </row>
    <row r="153" spans="1:33" hidden="1" x14ac:dyDescent="0.25">
      <c r="A153" s="7" t="s">
        <v>475</v>
      </c>
      <c r="B153" s="2" t="s">
        <v>950</v>
      </c>
      <c r="C153" s="4" t="s">
        <v>949</v>
      </c>
      <c r="D153">
        <f>_xlfn.IFNA(VLOOKUP(A153,'Prior Year data'!$A$1:$T$318,12,FALSE),0)</f>
        <v>3052617.8677840186</v>
      </c>
      <c r="E153">
        <f>VLOOKUP(A153,'Basic HH'!$B$1:$Y$319,23,FALSE)</f>
        <v>1419489.5686666777</v>
      </c>
      <c r="F153">
        <f>VLOOKUP(A153,'Conc. HH'!$B$1:$Y$319,23,FALSE)</f>
        <v>381928.35730938247</v>
      </c>
      <c r="G153">
        <f>VLOOKUP(A153,'Targeted HH'!$B$1:$Y$319,23,FALSE)</f>
        <v>882348.24350289162</v>
      </c>
      <c r="H153">
        <f>VLOOKUP(A153,'EFIG HH'!$B$1:$Y$319,23,FALSE)</f>
        <v>1196361.8030673864</v>
      </c>
      <c r="I153">
        <f t="shared" si="46"/>
        <v>3880127.9725463381</v>
      </c>
      <c r="J153">
        <f t="shared" si="47"/>
        <v>3880127.9725463381</v>
      </c>
      <c r="K153" s="43">
        <f t="shared" si="48"/>
        <v>3527769.30661507</v>
      </c>
      <c r="L153">
        <f t="shared" si="49"/>
        <v>0</v>
      </c>
      <c r="M153">
        <f t="shared" si="50"/>
        <v>475151.43883105135</v>
      </c>
      <c r="N153" s="43">
        <f t="shared" si="51"/>
        <v>3459857.4781801081</v>
      </c>
      <c r="O153">
        <f t="shared" si="52"/>
        <v>0</v>
      </c>
      <c r="P153">
        <f t="shared" si="53"/>
        <v>407239.6103960895</v>
      </c>
      <c r="Q153" s="43">
        <f t="shared" si="54"/>
        <v>3459857.4781801081</v>
      </c>
      <c r="R153">
        <f t="shared" si="55"/>
        <v>0</v>
      </c>
      <c r="S153">
        <f t="shared" si="56"/>
        <v>407239.6103960895</v>
      </c>
      <c r="T153" s="43">
        <f t="shared" si="57"/>
        <v>3459857.4781801081</v>
      </c>
      <c r="U153">
        <f t="shared" si="58"/>
        <v>0</v>
      </c>
      <c r="V153">
        <f t="shared" si="59"/>
        <v>407239.6103960895</v>
      </c>
      <c r="W153" s="43">
        <f t="shared" si="60"/>
        <v>3459857.4781801081</v>
      </c>
      <c r="X153" s="43">
        <f t="shared" si="61"/>
        <v>420270.49436622998</v>
      </c>
      <c r="Y153" s="27">
        <f t="shared" si="62"/>
        <v>26499.817835573969</v>
      </c>
      <c r="Z153" s="27">
        <f t="shared" si="63"/>
        <v>3433357.6603445341</v>
      </c>
      <c r="AA153">
        <f t="shared" si="64"/>
        <v>0</v>
      </c>
      <c r="AB153" s="27">
        <f t="shared" si="65"/>
        <v>3433357.6603445341</v>
      </c>
      <c r="AD153" s="27">
        <f t="shared" si="66"/>
        <v>0</v>
      </c>
      <c r="AE153" s="27">
        <f t="shared" si="67"/>
        <v>3433357.6603445341</v>
      </c>
      <c r="AF153" s="50"/>
      <c r="AG153" t="str">
        <f t="shared" si="68"/>
        <v>5305220</v>
      </c>
    </row>
    <row r="154" spans="1:33" x14ac:dyDescent="0.25">
      <c r="A154" s="7" t="s">
        <v>477</v>
      </c>
      <c r="B154" s="2" t="s">
        <v>952</v>
      </c>
      <c r="C154" s="4" t="s">
        <v>951</v>
      </c>
      <c r="D154">
        <f>_xlfn.IFNA(VLOOKUP(A154,'Prior Year data'!$A$1:$T$318,12,FALSE),0)</f>
        <v>224746.86323400875</v>
      </c>
      <c r="E154">
        <f>VLOOKUP(A154,'Basic HH'!$B$1:$Y$319,23,FALSE)</f>
        <v>90680.946235835188</v>
      </c>
      <c r="F154">
        <f>VLOOKUP(A154,'Conc. HH'!$B$1:$Y$319,23,FALSE)</f>
        <v>23892.934834813172</v>
      </c>
      <c r="G154">
        <f>VLOOKUP(A154,'Targeted HH'!$B$1:$Y$319,23,FALSE)</f>
        <v>47339.106797942179</v>
      </c>
      <c r="H154">
        <f>VLOOKUP(A154,'EFIG HH'!$B$1:$Y$319,23,FALSE)</f>
        <v>65068.456609222972</v>
      </c>
      <c r="I154">
        <f t="shared" si="46"/>
        <v>226981.44447781352</v>
      </c>
      <c r="J154">
        <f t="shared" si="47"/>
        <v>226981.44447781352</v>
      </c>
      <c r="K154" s="43">
        <f t="shared" si="48"/>
        <v>206369.01119384935</v>
      </c>
      <c r="L154">
        <f t="shared" si="49"/>
        <v>18377.8520401594</v>
      </c>
      <c r="M154">
        <f t="shared" si="50"/>
        <v>0</v>
      </c>
      <c r="N154" s="43">
        <f t="shared" si="51"/>
        <v>224746.86323400875</v>
      </c>
      <c r="O154">
        <f t="shared" si="52"/>
        <v>0</v>
      </c>
      <c r="P154">
        <f t="shared" si="53"/>
        <v>0</v>
      </c>
      <c r="Q154" s="43">
        <f t="shared" si="54"/>
        <v>224746.86323400875</v>
      </c>
      <c r="R154">
        <f t="shared" si="55"/>
        <v>0</v>
      </c>
      <c r="S154">
        <f t="shared" si="56"/>
        <v>0</v>
      </c>
      <c r="T154" s="43">
        <f t="shared" si="57"/>
        <v>224746.86323400875</v>
      </c>
      <c r="U154">
        <f t="shared" si="58"/>
        <v>0</v>
      </c>
      <c r="V154">
        <f t="shared" si="59"/>
        <v>0</v>
      </c>
      <c r="W154" s="43">
        <f t="shared" si="60"/>
        <v>224746.86323400875</v>
      </c>
      <c r="X154" s="43">
        <f t="shared" si="61"/>
        <v>2234.5812438047724</v>
      </c>
      <c r="Y154" s="27">
        <f t="shared" si="62"/>
        <v>1721.3862051770482</v>
      </c>
      <c r="Z154" s="27">
        <f t="shared" si="63"/>
        <v>223025.47702883169</v>
      </c>
      <c r="AA154">
        <f t="shared" si="64"/>
        <v>0</v>
      </c>
      <c r="AB154" s="27">
        <f t="shared" si="65"/>
        <v>223025.47702883169</v>
      </c>
      <c r="AD154" s="27">
        <f t="shared" si="66"/>
        <v>0</v>
      </c>
      <c r="AE154" s="27">
        <f t="shared" si="67"/>
        <v>223025.47702883169</v>
      </c>
      <c r="AF154" s="50"/>
      <c r="AG154" t="str">
        <f t="shared" si="68"/>
        <v>5305250</v>
      </c>
    </row>
    <row r="155" spans="1:33" hidden="1" x14ac:dyDescent="0.25">
      <c r="A155" s="7" t="s">
        <v>479</v>
      </c>
      <c r="B155" s="2" t="s">
        <v>954</v>
      </c>
      <c r="C155" s="4" t="s">
        <v>953</v>
      </c>
      <c r="D155">
        <f>_xlfn.IFNA(VLOOKUP(A155,'Prior Year data'!$A$1:$T$318,12,FALSE),0)</f>
        <v>579094.94150122162</v>
      </c>
      <c r="E155">
        <f>VLOOKUP(A155,'Basic HH'!$B$1:$Y$319,23,FALSE)</f>
        <v>194525.25563493677</v>
      </c>
      <c r="F155">
        <f>VLOOKUP(A155,'Conc. HH'!$B$1:$Y$319,23,FALSE)</f>
        <v>51254.198919841154</v>
      </c>
      <c r="G155">
        <f>VLOOKUP(A155,'Targeted HH'!$B$1:$Y$319,23,FALSE)</f>
        <v>133945.01457489276</v>
      </c>
      <c r="H155">
        <f>VLOOKUP(A155,'EFIG HH'!$B$1:$Y$319,23,FALSE)</f>
        <v>184109.83980092793</v>
      </c>
      <c r="I155">
        <f t="shared" si="46"/>
        <v>563834.30893059855</v>
      </c>
      <c r="J155">
        <f t="shared" si="47"/>
        <v>0</v>
      </c>
      <c r="K155" s="43">
        <f t="shared" si="48"/>
        <v>563834.30893059855</v>
      </c>
      <c r="L155">
        <f t="shared" si="49"/>
        <v>0</v>
      </c>
      <c r="M155">
        <f t="shared" si="50"/>
        <v>0</v>
      </c>
      <c r="N155" s="43">
        <f t="shared" si="51"/>
        <v>563834.30893059855</v>
      </c>
      <c r="O155">
        <f t="shared" si="52"/>
        <v>0</v>
      </c>
      <c r="P155">
        <f t="shared" si="53"/>
        <v>0</v>
      </c>
      <c r="Q155" s="43">
        <f t="shared" si="54"/>
        <v>563834.30893059855</v>
      </c>
      <c r="R155">
        <f t="shared" si="55"/>
        <v>0</v>
      </c>
      <c r="S155">
        <f t="shared" si="56"/>
        <v>0</v>
      </c>
      <c r="T155" s="43">
        <f t="shared" si="57"/>
        <v>563834.30893059855</v>
      </c>
      <c r="U155">
        <f t="shared" si="58"/>
        <v>0</v>
      </c>
      <c r="V155">
        <f t="shared" si="59"/>
        <v>0</v>
      </c>
      <c r="W155" s="43">
        <f t="shared" si="60"/>
        <v>563834.30893059855</v>
      </c>
      <c r="X155" s="43">
        <f t="shared" si="61"/>
        <v>0</v>
      </c>
      <c r="Y155" s="27">
        <f t="shared" si="62"/>
        <v>4318.5323587279263</v>
      </c>
      <c r="Z155" s="27">
        <f t="shared" si="63"/>
        <v>559515.77657187067</v>
      </c>
      <c r="AA155">
        <f t="shared" si="64"/>
        <v>0</v>
      </c>
      <c r="AB155" s="27">
        <f t="shared" si="65"/>
        <v>559515.77657187067</v>
      </c>
      <c r="AD155" s="27">
        <f t="shared" si="66"/>
        <v>0</v>
      </c>
      <c r="AE155" s="27">
        <f t="shared" si="67"/>
        <v>559515.77657187067</v>
      </c>
      <c r="AF155" s="50"/>
      <c r="AG155" t="str">
        <f t="shared" si="68"/>
        <v>5305280</v>
      </c>
    </row>
    <row r="156" spans="1:33" hidden="1" x14ac:dyDescent="0.25">
      <c r="A156" s="7" t="s">
        <v>481</v>
      </c>
      <c r="B156" s="2" t="s">
        <v>956</v>
      </c>
      <c r="C156" s="4" t="s">
        <v>955</v>
      </c>
      <c r="D156">
        <f>_xlfn.IFNA(VLOOKUP(A156,'Prior Year data'!$A$1:$T$318,12,FALSE),0)</f>
        <v>720848.3811013503</v>
      </c>
      <c r="E156">
        <f>VLOOKUP(A156,'Basic HH'!$B$1:$Y$319,23,FALSE)</f>
        <v>247497.62226190107</v>
      </c>
      <c r="F156">
        <f>VLOOKUP(A156,'Conc. HH'!$B$1:$Y$319,23,FALSE)</f>
        <v>64820.996989003354</v>
      </c>
      <c r="G156">
        <f>VLOOKUP(A156,'Targeted HH'!$B$1:$Y$319,23,FALSE)</f>
        <v>128279.02185841523</v>
      </c>
      <c r="H156">
        <f>VLOOKUP(A156,'EFIG HH'!$B$1:$Y$319,23,FALSE)</f>
        <v>176888.26146687521</v>
      </c>
      <c r="I156">
        <f t="shared" si="46"/>
        <v>617485.90257619484</v>
      </c>
      <c r="J156">
        <f t="shared" si="47"/>
        <v>0</v>
      </c>
      <c r="K156" s="43">
        <f t="shared" si="48"/>
        <v>617485.90257619484</v>
      </c>
      <c r="L156">
        <f t="shared" si="49"/>
        <v>0</v>
      </c>
      <c r="M156">
        <f t="shared" si="50"/>
        <v>0</v>
      </c>
      <c r="N156" s="43">
        <f t="shared" si="51"/>
        <v>617485.90257619484</v>
      </c>
      <c r="O156">
        <f t="shared" si="52"/>
        <v>0</v>
      </c>
      <c r="P156">
        <f t="shared" si="53"/>
        <v>0</v>
      </c>
      <c r="Q156" s="43">
        <f t="shared" si="54"/>
        <v>617485.90257619484</v>
      </c>
      <c r="R156">
        <f t="shared" si="55"/>
        <v>0</v>
      </c>
      <c r="S156">
        <f t="shared" si="56"/>
        <v>0</v>
      </c>
      <c r="T156" s="43">
        <f t="shared" si="57"/>
        <v>617485.90257619484</v>
      </c>
      <c r="U156">
        <f t="shared" si="58"/>
        <v>0</v>
      </c>
      <c r="V156">
        <f t="shared" si="59"/>
        <v>0</v>
      </c>
      <c r="W156" s="43">
        <f t="shared" si="60"/>
        <v>617485.90257619484</v>
      </c>
      <c r="X156" s="43">
        <f t="shared" si="61"/>
        <v>0</v>
      </c>
      <c r="Y156" s="27">
        <f t="shared" si="62"/>
        <v>4729.4618456108328</v>
      </c>
      <c r="Z156" s="27">
        <f t="shared" si="63"/>
        <v>612756.44073058397</v>
      </c>
      <c r="AA156">
        <f t="shared" si="64"/>
        <v>0</v>
      </c>
      <c r="AB156" s="27">
        <f t="shared" si="65"/>
        <v>612756.44073058397</v>
      </c>
      <c r="AD156" s="27">
        <f t="shared" si="66"/>
        <v>0</v>
      </c>
      <c r="AE156" s="27">
        <f t="shared" si="67"/>
        <v>612756.44073058397</v>
      </c>
      <c r="AF156" s="50"/>
      <c r="AG156" t="str">
        <f t="shared" si="68"/>
        <v>5305310</v>
      </c>
    </row>
    <row r="157" spans="1:33" hidden="1" x14ac:dyDescent="0.25">
      <c r="A157" s="7" t="s">
        <v>175</v>
      </c>
      <c r="B157" s="2" t="s">
        <v>958</v>
      </c>
      <c r="C157" s="4" t="s">
        <v>957</v>
      </c>
      <c r="D157">
        <f>_xlfn.IFNA(VLOOKUP(A157,'Prior Year data'!$A$1:$T$318,12,FALSE),0)</f>
        <v>0</v>
      </c>
      <c r="E157">
        <f>VLOOKUP(A157,'Basic HH'!$B$1:$Y$319,23,FALSE)</f>
        <v>0</v>
      </c>
      <c r="F157">
        <f>VLOOKUP(A157,'Conc. HH'!$B$1:$Y$319,23,FALSE)</f>
        <v>0</v>
      </c>
      <c r="G157">
        <f>VLOOKUP(A157,'Targeted HH'!$B$1:$Y$319,23,FALSE)</f>
        <v>0</v>
      </c>
      <c r="H157">
        <f>VLOOKUP(A157,'EFIG HH'!$B$1:$Y$319,23,FALSE)</f>
        <v>0</v>
      </c>
      <c r="I157">
        <f t="shared" si="46"/>
        <v>0</v>
      </c>
      <c r="J157">
        <f t="shared" si="47"/>
        <v>0</v>
      </c>
      <c r="K157" s="43">
        <f t="shared" si="48"/>
        <v>0</v>
      </c>
      <c r="L157">
        <f t="shared" si="49"/>
        <v>0</v>
      </c>
      <c r="M157">
        <f t="shared" si="50"/>
        <v>0</v>
      </c>
      <c r="N157" s="43">
        <f t="shared" si="51"/>
        <v>0</v>
      </c>
      <c r="O157">
        <f t="shared" si="52"/>
        <v>0</v>
      </c>
      <c r="P157">
        <f t="shared" si="53"/>
        <v>0</v>
      </c>
      <c r="Q157" s="43">
        <f t="shared" si="54"/>
        <v>0</v>
      </c>
      <c r="R157">
        <f t="shared" si="55"/>
        <v>0</v>
      </c>
      <c r="S157">
        <f t="shared" si="56"/>
        <v>0</v>
      </c>
      <c r="T157" s="43">
        <f t="shared" si="57"/>
        <v>0</v>
      </c>
      <c r="U157">
        <f t="shared" si="58"/>
        <v>0</v>
      </c>
      <c r="V157">
        <f t="shared" si="59"/>
        <v>0</v>
      </c>
      <c r="W157" s="43">
        <f t="shared" si="60"/>
        <v>0</v>
      </c>
      <c r="X157" s="43">
        <f t="shared" si="61"/>
        <v>0</v>
      </c>
      <c r="Y157" s="27">
        <f t="shared" si="62"/>
        <v>0</v>
      </c>
      <c r="Z157" s="27">
        <f t="shared" si="63"/>
        <v>0</v>
      </c>
      <c r="AA157">
        <f t="shared" si="64"/>
        <v>0</v>
      </c>
      <c r="AB157" s="27">
        <f t="shared" si="65"/>
        <v>0</v>
      </c>
      <c r="AD157" s="27">
        <f t="shared" si="66"/>
        <v>0</v>
      </c>
      <c r="AE157" s="27">
        <f t="shared" si="67"/>
        <v>0</v>
      </c>
      <c r="AF157" s="50"/>
      <c r="AG157" t="str">
        <f t="shared" si="68"/>
        <v>5305340</v>
      </c>
    </row>
    <row r="158" spans="1:33" hidden="1" x14ac:dyDescent="0.25">
      <c r="A158" s="7" t="s">
        <v>483</v>
      </c>
      <c r="B158" s="9" t="s">
        <v>960</v>
      </c>
      <c r="C158" s="4" t="s">
        <v>959</v>
      </c>
      <c r="D158">
        <f>_xlfn.IFNA(VLOOKUP(A158,'Prior Year data'!$A$1:$T$318,12,FALSE),0)</f>
        <v>1939210.1381857819</v>
      </c>
      <c r="E158">
        <f>VLOOKUP(A158,'Basic HH'!$B$1:$Y$319,23,FALSE)</f>
        <v>787929.64429661981</v>
      </c>
      <c r="F158">
        <f>VLOOKUP(A158,'Conc. HH'!$B$1:$Y$319,23,FALSE)</f>
        <v>132193.6411546595</v>
      </c>
      <c r="G158">
        <f>VLOOKUP(A158,'Targeted HH'!$B$1:$Y$319,23,FALSE)</f>
        <v>425354.29454069608</v>
      </c>
      <c r="H158">
        <f>VLOOKUP(A158,'EFIG HH'!$B$1:$Y$319,23,FALSE)</f>
        <v>576731.05206050689</v>
      </c>
      <c r="I158">
        <f t="shared" si="46"/>
        <v>1922208.6320524821</v>
      </c>
      <c r="J158">
        <f t="shared" si="47"/>
        <v>0</v>
      </c>
      <c r="K158" s="43">
        <f t="shared" si="48"/>
        <v>1922208.6320524821</v>
      </c>
      <c r="L158">
        <f t="shared" si="49"/>
        <v>0</v>
      </c>
      <c r="M158">
        <f t="shared" si="50"/>
        <v>0</v>
      </c>
      <c r="N158" s="43">
        <f t="shared" si="51"/>
        <v>1922208.6320524821</v>
      </c>
      <c r="O158">
        <f t="shared" si="52"/>
        <v>0</v>
      </c>
      <c r="P158">
        <f t="shared" si="53"/>
        <v>0</v>
      </c>
      <c r="Q158" s="43">
        <f t="shared" si="54"/>
        <v>1922208.6320524821</v>
      </c>
      <c r="R158">
        <f t="shared" si="55"/>
        <v>0</v>
      </c>
      <c r="S158">
        <f t="shared" si="56"/>
        <v>0</v>
      </c>
      <c r="T158" s="43">
        <f t="shared" si="57"/>
        <v>1922208.6320524821</v>
      </c>
      <c r="U158">
        <f t="shared" si="58"/>
        <v>0</v>
      </c>
      <c r="V158">
        <f t="shared" si="59"/>
        <v>0</v>
      </c>
      <c r="W158" s="43">
        <f t="shared" si="60"/>
        <v>1922208.6320524821</v>
      </c>
      <c r="X158" s="43">
        <f t="shared" si="61"/>
        <v>0</v>
      </c>
      <c r="Y158" s="27">
        <f t="shared" si="62"/>
        <v>14722.623377582648</v>
      </c>
      <c r="Z158" s="27">
        <f t="shared" si="63"/>
        <v>1907486.0086748993</v>
      </c>
      <c r="AA158">
        <f t="shared" si="64"/>
        <v>0</v>
      </c>
      <c r="AB158" s="27">
        <f t="shared" si="65"/>
        <v>1907486.0086748993</v>
      </c>
      <c r="AD158" s="27">
        <f t="shared" si="66"/>
        <v>0</v>
      </c>
      <c r="AE158" s="27">
        <f t="shared" si="67"/>
        <v>1907486.0086748993</v>
      </c>
      <c r="AF158" s="50"/>
      <c r="AG158" t="str">
        <f t="shared" si="68"/>
        <v>5305400</v>
      </c>
    </row>
    <row r="159" spans="1:33" hidden="1" x14ac:dyDescent="0.25">
      <c r="A159" s="7" t="s">
        <v>286</v>
      </c>
      <c r="B159" s="2" t="s">
        <v>962</v>
      </c>
      <c r="C159" s="4" t="s">
        <v>961</v>
      </c>
      <c r="D159">
        <f>_xlfn.IFNA(VLOOKUP(A159,'Prior Year data'!$A$1:$T$318,12,FALSE),0)</f>
        <v>4248215.2973200297</v>
      </c>
      <c r="E159">
        <f>VLOOKUP(A159,'Basic HH'!$B$1:$Y$319,23,FALSE)</f>
        <v>2137052.8389963442</v>
      </c>
      <c r="F159">
        <f>VLOOKUP(A159,'Conc. HH'!$B$1:$Y$319,23,FALSE)</f>
        <v>0</v>
      </c>
      <c r="G159">
        <f>VLOOKUP(A159,'Targeted HH'!$B$1:$Y$319,23,FALSE)</f>
        <v>1443061.5894097404</v>
      </c>
      <c r="H159">
        <f>VLOOKUP(A159,'EFIG HH'!$B$1:$Y$319,23,FALSE)</f>
        <v>1956624.0175077394</v>
      </c>
      <c r="I159">
        <f t="shared" si="46"/>
        <v>5536738.4459138243</v>
      </c>
      <c r="J159">
        <f t="shared" si="47"/>
        <v>5536738.4459138243</v>
      </c>
      <c r="K159" s="43">
        <f t="shared" si="48"/>
        <v>5033941.1706135804</v>
      </c>
      <c r="L159">
        <f t="shared" si="49"/>
        <v>0</v>
      </c>
      <c r="M159">
        <f t="shared" si="50"/>
        <v>785725.87329355069</v>
      </c>
      <c r="N159" s="43">
        <f t="shared" si="51"/>
        <v>4921639.9623181857</v>
      </c>
      <c r="O159">
        <f t="shared" si="52"/>
        <v>0</v>
      </c>
      <c r="P159">
        <f t="shared" si="53"/>
        <v>673424.66499815602</v>
      </c>
      <c r="Q159" s="43">
        <f t="shared" si="54"/>
        <v>4921639.9623181857</v>
      </c>
      <c r="R159">
        <f t="shared" si="55"/>
        <v>0</v>
      </c>
      <c r="S159">
        <f t="shared" si="56"/>
        <v>673424.66499815602</v>
      </c>
      <c r="T159" s="43">
        <f t="shared" si="57"/>
        <v>4921639.9623181857</v>
      </c>
      <c r="U159">
        <f t="shared" si="58"/>
        <v>0</v>
      </c>
      <c r="V159">
        <f t="shared" si="59"/>
        <v>673424.66499815602</v>
      </c>
      <c r="W159" s="43">
        <f t="shared" si="60"/>
        <v>4921639.9623181857</v>
      </c>
      <c r="X159" s="43">
        <f t="shared" si="61"/>
        <v>615098.48359563854</v>
      </c>
      <c r="Y159" s="27">
        <f t="shared" si="62"/>
        <v>37695.934955770368</v>
      </c>
      <c r="Z159" s="27">
        <f t="shared" si="63"/>
        <v>4883944.0273624156</v>
      </c>
      <c r="AA159">
        <f t="shared" si="64"/>
        <v>0</v>
      </c>
      <c r="AB159" s="27">
        <f t="shared" si="65"/>
        <v>4883944.0273624156</v>
      </c>
      <c r="AD159" s="27">
        <f t="shared" si="66"/>
        <v>0</v>
      </c>
      <c r="AE159" s="27">
        <f t="shared" si="67"/>
        <v>4883944.0273624156</v>
      </c>
      <c r="AF159" s="50"/>
      <c r="AG159" t="str">
        <f t="shared" si="68"/>
        <v>5305430</v>
      </c>
    </row>
    <row r="160" spans="1:33" hidden="1" x14ac:dyDescent="0.25">
      <c r="A160" s="7" t="s">
        <v>485</v>
      </c>
      <c r="B160" s="2" t="s">
        <v>964</v>
      </c>
      <c r="C160" s="4" t="s">
        <v>963</v>
      </c>
      <c r="D160">
        <f>_xlfn.IFNA(VLOOKUP(A160,'Prior Year data'!$A$1:$T$318,12,FALSE),0)</f>
        <v>349383.32539505127</v>
      </c>
      <c r="E160">
        <f>VLOOKUP(A160,'Basic HH'!$B$1:$Y$319,23,FALSE)</f>
        <v>160154.25181974118</v>
      </c>
      <c r="F160">
        <f>VLOOKUP(A160,'Conc. HH'!$B$1:$Y$319,23,FALSE)</f>
        <v>0</v>
      </c>
      <c r="G160">
        <f>VLOOKUP(A160,'Targeted HH'!$B$1:$Y$319,23,FALSE)</f>
        <v>76611.902577073372</v>
      </c>
      <c r="H160">
        <f>VLOOKUP(A160,'EFIG HH'!$B$1:$Y$319,23,FALSE)</f>
        <v>105304.44268549263</v>
      </c>
      <c r="I160">
        <f t="shared" si="46"/>
        <v>342070.59708230721</v>
      </c>
      <c r="J160">
        <f t="shared" si="47"/>
        <v>0</v>
      </c>
      <c r="K160" s="43">
        <f t="shared" si="48"/>
        <v>342070.59708230721</v>
      </c>
      <c r="L160">
        <f t="shared" si="49"/>
        <v>0</v>
      </c>
      <c r="M160">
        <f t="shared" si="50"/>
        <v>0</v>
      </c>
      <c r="N160" s="43">
        <f t="shared" si="51"/>
        <v>342070.59708230721</v>
      </c>
      <c r="O160">
        <f t="shared" si="52"/>
        <v>0</v>
      </c>
      <c r="P160">
        <f t="shared" si="53"/>
        <v>0</v>
      </c>
      <c r="Q160" s="43">
        <f t="shared" si="54"/>
        <v>342070.59708230721</v>
      </c>
      <c r="R160">
        <f t="shared" si="55"/>
        <v>0</v>
      </c>
      <c r="S160">
        <f t="shared" si="56"/>
        <v>0</v>
      </c>
      <c r="T160" s="43">
        <f t="shared" si="57"/>
        <v>342070.59708230721</v>
      </c>
      <c r="U160">
        <f t="shared" si="58"/>
        <v>0</v>
      </c>
      <c r="V160">
        <f t="shared" si="59"/>
        <v>0</v>
      </c>
      <c r="W160" s="43">
        <f t="shared" si="60"/>
        <v>342070.59708230721</v>
      </c>
      <c r="X160" s="43">
        <f t="shared" si="61"/>
        <v>0</v>
      </c>
      <c r="Y160" s="27">
        <f t="shared" si="62"/>
        <v>2619.994773413403</v>
      </c>
      <c r="Z160" s="27">
        <f t="shared" si="63"/>
        <v>339450.60230889381</v>
      </c>
      <c r="AA160">
        <f t="shared" si="64"/>
        <v>0</v>
      </c>
      <c r="AB160" s="27">
        <f t="shared" si="65"/>
        <v>339450.60230889381</v>
      </c>
      <c r="AD160" s="27">
        <f t="shared" si="66"/>
        <v>0</v>
      </c>
      <c r="AE160" s="27">
        <f t="shared" si="67"/>
        <v>339450.60230889381</v>
      </c>
      <c r="AF160" s="50"/>
      <c r="AG160" t="str">
        <f t="shared" si="68"/>
        <v>5305460</v>
      </c>
    </row>
    <row r="161" spans="1:33" hidden="1" x14ac:dyDescent="0.25">
      <c r="A161" s="7" t="s">
        <v>487</v>
      </c>
      <c r="B161" s="2" t="s">
        <v>966</v>
      </c>
      <c r="C161" s="4" t="s">
        <v>965</v>
      </c>
      <c r="D161">
        <f>_xlfn.IFNA(VLOOKUP(A161,'Prior Year data'!$A$1:$T$318,12,FALSE),0)</f>
        <v>150169.76563392178</v>
      </c>
      <c r="E161">
        <f>VLOOKUP(A161,'Basic HH'!$B$1:$Y$319,23,FALSE)</f>
        <v>76447.418630763554</v>
      </c>
      <c r="F161">
        <f>VLOOKUP(A161,'Conc. HH'!$B$1:$Y$319,23,FALSE)</f>
        <v>14148.724854589611</v>
      </c>
      <c r="G161">
        <f>VLOOKUP(A161,'Targeted HH'!$B$1:$Y$319,23,FALSE)</f>
        <v>36878.007802543107</v>
      </c>
      <c r="H161">
        <f>VLOOKUP(A161,'EFIG HH'!$B$1:$Y$319,23,FALSE)</f>
        <v>50002.298109679417</v>
      </c>
      <c r="I161">
        <f t="shared" si="46"/>
        <v>177476.44939757569</v>
      </c>
      <c r="J161">
        <f t="shared" si="47"/>
        <v>177476.44939757569</v>
      </c>
      <c r="K161" s="43">
        <f t="shared" si="48"/>
        <v>161359.61887383679</v>
      </c>
      <c r="L161">
        <f t="shared" si="49"/>
        <v>0</v>
      </c>
      <c r="M161">
        <f t="shared" si="50"/>
        <v>11189.853239915014</v>
      </c>
      <c r="N161" s="43">
        <f t="shared" si="51"/>
        <v>159760.2900465664</v>
      </c>
      <c r="O161">
        <f t="shared" si="52"/>
        <v>0</v>
      </c>
      <c r="P161">
        <f t="shared" si="53"/>
        <v>9590.5244126446196</v>
      </c>
      <c r="Q161" s="43">
        <f t="shared" si="54"/>
        <v>159760.2900465664</v>
      </c>
      <c r="R161">
        <f t="shared" si="55"/>
        <v>0</v>
      </c>
      <c r="S161">
        <f t="shared" si="56"/>
        <v>9590.5244126446196</v>
      </c>
      <c r="T161" s="43">
        <f t="shared" si="57"/>
        <v>159760.2900465664</v>
      </c>
      <c r="U161">
        <f t="shared" si="58"/>
        <v>0</v>
      </c>
      <c r="V161">
        <f t="shared" si="59"/>
        <v>9590.5244126446196</v>
      </c>
      <c r="W161" s="43">
        <f t="shared" si="60"/>
        <v>159760.2900465664</v>
      </c>
      <c r="X161" s="43">
        <f t="shared" si="61"/>
        <v>17716.159351009293</v>
      </c>
      <c r="Y161" s="27">
        <f t="shared" si="62"/>
        <v>1223.6395892871756</v>
      </c>
      <c r="Z161" s="27">
        <f t="shared" si="63"/>
        <v>158536.65045727923</v>
      </c>
      <c r="AA161">
        <f t="shared" si="64"/>
        <v>0</v>
      </c>
      <c r="AB161" s="27">
        <f t="shared" si="65"/>
        <v>158536.65045727923</v>
      </c>
      <c r="AD161" s="27">
        <f t="shared" si="66"/>
        <v>0</v>
      </c>
      <c r="AE161" s="27">
        <f t="shared" si="67"/>
        <v>158536.65045727923</v>
      </c>
      <c r="AF161" s="50"/>
      <c r="AG161" t="str">
        <f t="shared" si="68"/>
        <v>5305490</v>
      </c>
    </row>
    <row r="162" spans="1:33" hidden="1" x14ac:dyDescent="0.25">
      <c r="A162" s="7" t="s">
        <v>489</v>
      </c>
      <c r="B162" s="2" t="s">
        <v>968</v>
      </c>
      <c r="C162" s="4" t="s">
        <v>967</v>
      </c>
      <c r="D162">
        <f>_xlfn.IFNA(VLOOKUP(A162,'Prior Year data'!$A$1:$T$318,12,FALSE),0)</f>
        <v>76457.510034737425</v>
      </c>
      <c r="E162">
        <f>VLOOKUP(A162,'Basic HH'!$B$1:$Y$319,23,FALSE)</f>
        <v>34748.826650347051</v>
      </c>
      <c r="F162">
        <f>VLOOKUP(A162,'Conc. HH'!$B$1:$Y$319,23,FALSE)</f>
        <v>0</v>
      </c>
      <c r="G162">
        <f>VLOOKUP(A162,'Targeted HH'!$B$1:$Y$319,23,FALSE)</f>
        <v>16762.730819337765</v>
      </c>
      <c r="H162">
        <f>VLOOKUP(A162,'EFIG HH'!$B$1:$Y$319,23,FALSE)</f>
        <v>22728.317322581555</v>
      </c>
      <c r="I162">
        <f t="shared" si="46"/>
        <v>74239.874792266375</v>
      </c>
      <c r="J162">
        <f t="shared" si="47"/>
        <v>0</v>
      </c>
      <c r="K162" s="43">
        <f t="shared" si="48"/>
        <v>74239.874792266375</v>
      </c>
      <c r="L162">
        <f t="shared" si="49"/>
        <v>0</v>
      </c>
      <c r="M162">
        <f t="shared" si="50"/>
        <v>0</v>
      </c>
      <c r="N162" s="43">
        <f t="shared" si="51"/>
        <v>74239.874792266375</v>
      </c>
      <c r="O162">
        <f t="shared" si="52"/>
        <v>0</v>
      </c>
      <c r="P162">
        <f t="shared" si="53"/>
        <v>0</v>
      </c>
      <c r="Q162" s="43">
        <f t="shared" si="54"/>
        <v>74239.874792266375</v>
      </c>
      <c r="R162">
        <f t="shared" si="55"/>
        <v>0</v>
      </c>
      <c r="S162">
        <f t="shared" si="56"/>
        <v>0</v>
      </c>
      <c r="T162" s="43">
        <f t="shared" si="57"/>
        <v>74239.874792266375</v>
      </c>
      <c r="U162">
        <f t="shared" si="58"/>
        <v>0</v>
      </c>
      <c r="V162">
        <f t="shared" si="59"/>
        <v>0</v>
      </c>
      <c r="W162" s="43">
        <f t="shared" si="60"/>
        <v>74239.874792266375</v>
      </c>
      <c r="X162" s="43">
        <f t="shared" si="61"/>
        <v>0</v>
      </c>
      <c r="Y162" s="27">
        <f t="shared" si="62"/>
        <v>568.61971064938348</v>
      </c>
      <c r="Z162" s="27">
        <f t="shared" si="63"/>
        <v>73671.255081616997</v>
      </c>
      <c r="AA162">
        <f t="shared" si="64"/>
        <v>0</v>
      </c>
      <c r="AB162" s="27">
        <f t="shared" si="65"/>
        <v>73671.255081616997</v>
      </c>
      <c r="AD162" s="27">
        <f t="shared" si="66"/>
        <v>0</v>
      </c>
      <c r="AE162" s="27">
        <f t="shared" si="67"/>
        <v>73671.255081616997</v>
      </c>
      <c r="AF162" s="50"/>
      <c r="AG162" t="str">
        <f t="shared" si="68"/>
        <v>5305520</v>
      </c>
    </row>
    <row r="163" spans="1:33" x14ac:dyDescent="0.25">
      <c r="A163" s="7" t="s">
        <v>491</v>
      </c>
      <c r="B163" s="2" t="s">
        <v>970</v>
      </c>
      <c r="C163" s="4" t="s">
        <v>969</v>
      </c>
      <c r="D163">
        <f>_xlfn.IFNA(VLOOKUP(A163,'Prior Year data'!$A$1:$T$318,12,FALSE),0)</f>
        <v>170499.08427740284</v>
      </c>
      <c r="E163">
        <f>VLOOKUP(A163,'Basic HH'!$B$1:$Y$319,23,FALSE)</f>
        <v>60810.446638107351</v>
      </c>
      <c r="F163">
        <f>VLOOKUP(A163,'Conc. HH'!$B$1:$Y$319,23,FALSE)</f>
        <v>16361.67993369448</v>
      </c>
      <c r="G163">
        <f>VLOOKUP(A163,'Targeted HH'!$B$1:$Y$319,23,FALSE)</f>
        <v>44195.756988311477</v>
      </c>
      <c r="H163">
        <f>VLOOKUP(A163,'EFIG HH'!$B$1:$Y$319,23,FALSE)</f>
        <v>59924.316626455708</v>
      </c>
      <c r="I163">
        <f t="shared" si="46"/>
        <v>181292.20018656901</v>
      </c>
      <c r="J163">
        <f t="shared" si="47"/>
        <v>181292.20018656901</v>
      </c>
      <c r="K163" s="43">
        <f t="shared" si="48"/>
        <v>164828.85715936401</v>
      </c>
      <c r="L163">
        <f t="shared" si="49"/>
        <v>5670.2271180388343</v>
      </c>
      <c r="M163">
        <f t="shared" si="50"/>
        <v>0</v>
      </c>
      <c r="N163" s="43">
        <f t="shared" si="51"/>
        <v>170499.08427740284</v>
      </c>
      <c r="O163">
        <f t="shared" si="52"/>
        <v>0</v>
      </c>
      <c r="P163">
        <f t="shared" si="53"/>
        <v>0</v>
      </c>
      <c r="Q163" s="43">
        <f t="shared" si="54"/>
        <v>170499.08427740284</v>
      </c>
      <c r="R163">
        <f t="shared" si="55"/>
        <v>0</v>
      </c>
      <c r="S163">
        <f t="shared" si="56"/>
        <v>0</v>
      </c>
      <c r="T163" s="43">
        <f t="shared" si="57"/>
        <v>170499.08427740284</v>
      </c>
      <c r="U163">
        <f t="shared" si="58"/>
        <v>0</v>
      </c>
      <c r="V163">
        <f t="shared" si="59"/>
        <v>0</v>
      </c>
      <c r="W163" s="43">
        <f t="shared" si="60"/>
        <v>170499.08427740284</v>
      </c>
      <c r="X163" s="43">
        <f t="shared" si="61"/>
        <v>10793.115909166168</v>
      </c>
      <c r="Y163" s="27">
        <f t="shared" si="62"/>
        <v>1305.8904024162082</v>
      </c>
      <c r="Z163" s="27">
        <f t="shared" si="63"/>
        <v>169193.19387498664</v>
      </c>
      <c r="AA163">
        <f t="shared" si="64"/>
        <v>0</v>
      </c>
      <c r="AB163" s="27">
        <f t="shared" si="65"/>
        <v>169193.19387498664</v>
      </c>
      <c r="AD163" s="27">
        <f t="shared" si="66"/>
        <v>0</v>
      </c>
      <c r="AE163" s="27">
        <f t="shared" si="67"/>
        <v>169193.19387498664</v>
      </c>
      <c r="AF163" s="50"/>
      <c r="AG163" t="str">
        <f t="shared" si="68"/>
        <v>5305550</v>
      </c>
    </row>
    <row r="164" spans="1:33" x14ac:dyDescent="0.25">
      <c r="A164" s="7" t="s">
        <v>493</v>
      </c>
      <c r="B164" s="2" t="s">
        <v>972</v>
      </c>
      <c r="C164" s="4" t="s">
        <v>971</v>
      </c>
      <c r="D164">
        <f>_xlfn.IFNA(VLOOKUP(A164,'Prior Year data'!$A$1:$T$318,12,FALSE),0)</f>
        <v>612795.34356031683</v>
      </c>
      <c r="E164">
        <f>VLOOKUP(A164,'Basic HH'!$B$1:$Y$319,23,FALSE)</f>
        <v>241504.34521991215</v>
      </c>
      <c r="F164">
        <f>VLOOKUP(A164,'Conc. HH'!$B$1:$Y$319,23,FALSE)</f>
        <v>64979.24316524381</v>
      </c>
      <c r="G164">
        <f>VLOOKUP(A164,'Targeted HH'!$B$1:$Y$319,23,FALSE)</f>
        <v>133852.29139962926</v>
      </c>
      <c r="H164">
        <f>VLOOKUP(A164,'EFIG HH'!$B$1:$Y$319,23,FALSE)</f>
        <v>181488.17075651244</v>
      </c>
      <c r="I164">
        <f t="shared" si="46"/>
        <v>621824.05054129765</v>
      </c>
      <c r="J164">
        <f t="shared" si="47"/>
        <v>621824.05054129765</v>
      </c>
      <c r="K164" s="43">
        <f t="shared" si="48"/>
        <v>565355.52825466776</v>
      </c>
      <c r="L164">
        <f t="shared" si="49"/>
        <v>47439.81530564907</v>
      </c>
      <c r="M164">
        <f t="shared" si="50"/>
        <v>0</v>
      </c>
      <c r="N164" s="43">
        <f t="shared" si="51"/>
        <v>612795.34356031683</v>
      </c>
      <c r="O164">
        <f t="shared" si="52"/>
        <v>0</v>
      </c>
      <c r="P164">
        <f t="shared" si="53"/>
        <v>0</v>
      </c>
      <c r="Q164" s="43">
        <f t="shared" si="54"/>
        <v>612795.34356031683</v>
      </c>
      <c r="R164">
        <f t="shared" si="55"/>
        <v>0</v>
      </c>
      <c r="S164">
        <f t="shared" si="56"/>
        <v>0</v>
      </c>
      <c r="T164" s="43">
        <f t="shared" si="57"/>
        <v>612795.34356031683</v>
      </c>
      <c r="U164">
        <f t="shared" si="58"/>
        <v>0</v>
      </c>
      <c r="V164">
        <f t="shared" si="59"/>
        <v>0</v>
      </c>
      <c r="W164" s="43">
        <f t="shared" si="60"/>
        <v>612795.34356031683</v>
      </c>
      <c r="X164" s="43">
        <f t="shared" si="61"/>
        <v>9028.7069809808163</v>
      </c>
      <c r="Y164" s="27">
        <f t="shared" si="62"/>
        <v>4693.5358110121024</v>
      </c>
      <c r="Z164" s="27">
        <f t="shared" si="63"/>
        <v>608101.80774930469</v>
      </c>
      <c r="AA164">
        <f t="shared" si="64"/>
        <v>0</v>
      </c>
      <c r="AB164" s="27">
        <f t="shared" si="65"/>
        <v>608101.80774930469</v>
      </c>
      <c r="AD164" s="27">
        <f t="shared" si="66"/>
        <v>0</v>
      </c>
      <c r="AE164" s="27">
        <f t="shared" si="67"/>
        <v>608101.80774930469</v>
      </c>
      <c r="AF164" s="50"/>
      <c r="AG164" t="str">
        <f t="shared" si="68"/>
        <v>5305610</v>
      </c>
    </row>
    <row r="165" spans="1:33" hidden="1" x14ac:dyDescent="0.25">
      <c r="A165" s="7" t="s">
        <v>495</v>
      </c>
      <c r="B165" s="2" t="s">
        <v>974</v>
      </c>
      <c r="C165" s="4" t="s">
        <v>973</v>
      </c>
      <c r="D165">
        <f>_xlfn.IFNA(VLOOKUP(A165,'Prior Year data'!$A$1:$T$318,12,FALSE),0)</f>
        <v>428848.84699808084</v>
      </c>
      <c r="E165">
        <f>VLOOKUP(A165,'Basic HH'!$B$1:$Y$319,23,FALSE)</f>
        <v>155911.9256559964</v>
      </c>
      <c r="F165">
        <f>VLOOKUP(A165,'Conc. HH'!$B$1:$Y$319,23,FALSE)</f>
        <v>40538.350659732583</v>
      </c>
      <c r="G165">
        <f>VLOOKUP(A165,'Targeted HH'!$B$1:$Y$319,23,FALSE)</f>
        <v>72591.647621933953</v>
      </c>
      <c r="H165">
        <f>VLOOKUP(A165,'EFIG HH'!$B$1:$Y$319,23,FALSE)</f>
        <v>98314.269542001392</v>
      </c>
      <c r="I165">
        <f t="shared" si="46"/>
        <v>367356.19347966439</v>
      </c>
      <c r="J165">
        <f t="shared" si="47"/>
        <v>0</v>
      </c>
      <c r="K165" s="43">
        <f t="shared" si="48"/>
        <v>367356.19347966439</v>
      </c>
      <c r="L165">
        <f t="shared" si="49"/>
        <v>0</v>
      </c>
      <c r="M165">
        <f t="shared" si="50"/>
        <v>0</v>
      </c>
      <c r="N165" s="43">
        <f t="shared" si="51"/>
        <v>367356.19347966439</v>
      </c>
      <c r="O165">
        <f t="shared" si="52"/>
        <v>0</v>
      </c>
      <c r="P165">
        <f t="shared" si="53"/>
        <v>0</v>
      </c>
      <c r="Q165" s="43">
        <f t="shared" si="54"/>
        <v>367356.19347966439</v>
      </c>
      <c r="R165">
        <f t="shared" si="55"/>
        <v>0</v>
      </c>
      <c r="S165">
        <f t="shared" si="56"/>
        <v>0</v>
      </c>
      <c r="T165" s="43">
        <f t="shared" si="57"/>
        <v>367356.19347966439</v>
      </c>
      <c r="U165">
        <f t="shared" si="58"/>
        <v>0</v>
      </c>
      <c r="V165">
        <f t="shared" si="59"/>
        <v>0</v>
      </c>
      <c r="W165" s="43">
        <f t="shared" si="60"/>
        <v>367356.19347966439</v>
      </c>
      <c r="X165" s="43">
        <f t="shared" si="61"/>
        <v>0</v>
      </c>
      <c r="Y165" s="27">
        <f t="shared" si="62"/>
        <v>2813.6627792834793</v>
      </c>
      <c r="Z165" s="27">
        <f t="shared" si="63"/>
        <v>364542.53070038091</v>
      </c>
      <c r="AA165">
        <f t="shared" si="64"/>
        <v>0</v>
      </c>
      <c r="AB165" s="27">
        <f t="shared" si="65"/>
        <v>364542.53070038091</v>
      </c>
      <c r="AD165" s="27">
        <f t="shared" si="66"/>
        <v>0</v>
      </c>
      <c r="AE165" s="27">
        <f t="shared" si="67"/>
        <v>364542.53070038091</v>
      </c>
      <c r="AF165" s="50"/>
      <c r="AG165" t="str">
        <f t="shared" si="68"/>
        <v>5305640</v>
      </c>
    </row>
    <row r="166" spans="1:33" x14ac:dyDescent="0.25">
      <c r="A166" s="7" t="s">
        <v>177</v>
      </c>
      <c r="B166" s="2" t="s">
        <v>976</v>
      </c>
      <c r="C166" s="4" t="s">
        <v>975</v>
      </c>
      <c r="D166">
        <f>_xlfn.IFNA(VLOOKUP(A166,'Prior Year data'!$A$1:$T$318,12,FALSE),0)</f>
        <v>443767.57668132451</v>
      </c>
      <c r="E166">
        <f>VLOOKUP(A166,'Basic HH'!$B$1:$Y$319,23,FALSE)</f>
        <v>216311.44589841049</v>
      </c>
      <c r="F166">
        <f>VLOOKUP(A166,'Conc. HH'!$B$1:$Y$319,23,FALSE)</f>
        <v>0</v>
      </c>
      <c r="G166">
        <f>VLOOKUP(A166,'Targeted HH'!$B$1:$Y$319,23,FALSE)</f>
        <v>104347.99935037763</v>
      </c>
      <c r="H166">
        <f>VLOOKUP(A166,'EFIG HH'!$B$1:$Y$319,23,FALSE)</f>
        <v>141483.77533307014</v>
      </c>
      <c r="I166">
        <f t="shared" si="46"/>
        <v>462143.22058185824</v>
      </c>
      <c r="J166">
        <f t="shared" si="47"/>
        <v>462143.22058185824</v>
      </c>
      <c r="K166" s="43">
        <f t="shared" si="48"/>
        <v>420175.4891499129</v>
      </c>
      <c r="L166">
        <f t="shared" si="49"/>
        <v>23592.087531411613</v>
      </c>
      <c r="M166">
        <f t="shared" si="50"/>
        <v>0</v>
      </c>
      <c r="N166" s="43">
        <f t="shared" si="51"/>
        <v>443767.57668132451</v>
      </c>
      <c r="O166">
        <f t="shared" si="52"/>
        <v>0</v>
      </c>
      <c r="P166">
        <f t="shared" si="53"/>
        <v>0</v>
      </c>
      <c r="Q166" s="43">
        <f t="shared" si="54"/>
        <v>443767.57668132451</v>
      </c>
      <c r="R166">
        <f t="shared" si="55"/>
        <v>0</v>
      </c>
      <c r="S166">
        <f t="shared" si="56"/>
        <v>0</v>
      </c>
      <c r="T166" s="43">
        <f t="shared" si="57"/>
        <v>443767.57668132451</v>
      </c>
      <c r="U166">
        <f t="shared" si="58"/>
        <v>0</v>
      </c>
      <c r="V166">
        <f t="shared" si="59"/>
        <v>0</v>
      </c>
      <c r="W166" s="43">
        <f t="shared" si="60"/>
        <v>443767.57668132451</v>
      </c>
      <c r="X166" s="43">
        <f t="shared" si="61"/>
        <v>18375.643900533731</v>
      </c>
      <c r="Y166" s="27">
        <f t="shared" si="62"/>
        <v>3398.9145557448969</v>
      </c>
      <c r="Z166" s="27">
        <f t="shared" si="63"/>
        <v>440368.66212557961</v>
      </c>
      <c r="AA166">
        <f t="shared" si="64"/>
        <v>0</v>
      </c>
      <c r="AB166" s="27">
        <f t="shared" si="65"/>
        <v>440368.66212557961</v>
      </c>
      <c r="AD166" s="27">
        <f t="shared" si="66"/>
        <v>0</v>
      </c>
      <c r="AE166" s="27">
        <f t="shared" si="67"/>
        <v>440368.66212557961</v>
      </c>
      <c r="AF166" s="50"/>
      <c r="AG166" t="str">
        <f t="shared" si="68"/>
        <v>5305670</v>
      </c>
    </row>
    <row r="167" spans="1:33" hidden="1" x14ac:dyDescent="0.25">
      <c r="A167" s="7" t="s">
        <v>497</v>
      </c>
      <c r="B167" s="2" t="s">
        <v>978</v>
      </c>
      <c r="C167" s="4" t="s">
        <v>977</v>
      </c>
      <c r="D167">
        <f>_xlfn.IFNA(VLOOKUP(A167,'Prior Year data'!$A$1:$T$318,12,FALSE),0)</f>
        <v>334907.74500064616</v>
      </c>
      <c r="E167">
        <f>VLOOKUP(A167,'Basic HH'!$B$1:$Y$319,23,FALSE)</f>
        <v>123890.47683074261</v>
      </c>
      <c r="F167">
        <f>VLOOKUP(A167,'Conc. HH'!$B$1:$Y$319,23,FALSE)</f>
        <v>32643.098825551195</v>
      </c>
      <c r="G167">
        <f>VLOOKUP(A167,'Targeted HH'!$B$1:$Y$319,23,FALSE)</f>
        <v>74554.731004663045</v>
      </c>
      <c r="H167">
        <f>VLOOKUP(A167,'EFIG HH'!$B$1:$Y$319,23,FALSE)</f>
        <v>102476.823234022</v>
      </c>
      <c r="I167">
        <f t="shared" si="46"/>
        <v>333565.12989497883</v>
      </c>
      <c r="J167">
        <f t="shared" si="47"/>
        <v>0</v>
      </c>
      <c r="K167" s="43">
        <f t="shared" si="48"/>
        <v>333565.12989497883</v>
      </c>
      <c r="L167">
        <f t="shared" si="49"/>
        <v>0</v>
      </c>
      <c r="M167">
        <f t="shared" si="50"/>
        <v>0</v>
      </c>
      <c r="N167" s="43">
        <f t="shared" si="51"/>
        <v>333565.12989497883</v>
      </c>
      <c r="O167">
        <f t="shared" si="52"/>
        <v>0</v>
      </c>
      <c r="P167">
        <f t="shared" si="53"/>
        <v>0</v>
      </c>
      <c r="Q167" s="43">
        <f t="shared" si="54"/>
        <v>333565.12989497883</v>
      </c>
      <c r="R167">
        <f t="shared" si="55"/>
        <v>0</v>
      </c>
      <c r="S167">
        <f t="shared" si="56"/>
        <v>0</v>
      </c>
      <c r="T167" s="43">
        <f t="shared" si="57"/>
        <v>333565.12989497883</v>
      </c>
      <c r="U167">
        <f t="shared" si="58"/>
        <v>0</v>
      </c>
      <c r="V167">
        <f t="shared" si="59"/>
        <v>0</v>
      </c>
      <c r="W167" s="43">
        <f t="shared" si="60"/>
        <v>333565.12989497883</v>
      </c>
      <c r="X167" s="43">
        <f t="shared" si="61"/>
        <v>0</v>
      </c>
      <c r="Y167" s="27">
        <f t="shared" si="62"/>
        <v>2554.849508762441</v>
      </c>
      <c r="Z167" s="27">
        <f t="shared" si="63"/>
        <v>331010.28038621641</v>
      </c>
      <c r="AA167">
        <f t="shared" si="64"/>
        <v>0</v>
      </c>
      <c r="AB167" s="27">
        <f t="shared" si="65"/>
        <v>331010.28038621641</v>
      </c>
      <c r="AD167" s="27">
        <f t="shared" si="66"/>
        <v>0</v>
      </c>
      <c r="AE167" s="27">
        <f t="shared" si="67"/>
        <v>331010.28038621641</v>
      </c>
      <c r="AF167" s="50"/>
      <c r="AG167" t="str">
        <f t="shared" si="68"/>
        <v>5305700</v>
      </c>
    </row>
    <row r="168" spans="1:33" hidden="1" x14ac:dyDescent="0.25">
      <c r="A168" s="7" t="s">
        <v>499</v>
      </c>
      <c r="B168" s="2" t="s">
        <v>980</v>
      </c>
      <c r="C168" s="4" t="s">
        <v>979</v>
      </c>
      <c r="D168">
        <f>_xlfn.IFNA(VLOOKUP(A168,'Prior Year data'!$A$1:$T$318,12,FALSE),0)</f>
        <v>778185.74808868789</v>
      </c>
      <c r="E168">
        <f>VLOOKUP(A168,'Basic HH'!$B$1:$Y$319,23,FALSE)</f>
        <v>302757.35275512718</v>
      </c>
      <c r="F168">
        <f>VLOOKUP(A168,'Conc. HH'!$B$1:$Y$319,23,FALSE)</f>
        <v>79771.572754940731</v>
      </c>
      <c r="G168">
        <f>VLOOKUP(A168,'Targeted HH'!$B$1:$Y$319,23,FALSE)</f>
        <v>163069.53658732405</v>
      </c>
      <c r="H168">
        <f>VLOOKUP(A168,'EFIG HH'!$B$1:$Y$319,23,FALSE)</f>
        <v>224142.02090901378</v>
      </c>
      <c r="I168">
        <f t="shared" si="46"/>
        <v>769740.48300640576</v>
      </c>
      <c r="J168">
        <f t="shared" si="47"/>
        <v>0</v>
      </c>
      <c r="K168" s="43">
        <f t="shared" si="48"/>
        <v>769740.48300640576</v>
      </c>
      <c r="L168">
        <f t="shared" si="49"/>
        <v>0</v>
      </c>
      <c r="M168">
        <f t="shared" si="50"/>
        <v>0</v>
      </c>
      <c r="N168" s="43">
        <f t="shared" si="51"/>
        <v>769740.48300640576</v>
      </c>
      <c r="O168">
        <f t="shared" si="52"/>
        <v>0</v>
      </c>
      <c r="P168">
        <f t="shared" si="53"/>
        <v>0</v>
      </c>
      <c r="Q168" s="43">
        <f t="shared" si="54"/>
        <v>769740.48300640576</v>
      </c>
      <c r="R168">
        <f t="shared" si="55"/>
        <v>0</v>
      </c>
      <c r="S168">
        <f t="shared" si="56"/>
        <v>0</v>
      </c>
      <c r="T168" s="43">
        <f t="shared" si="57"/>
        <v>769740.48300640576</v>
      </c>
      <c r="U168">
        <f t="shared" si="58"/>
        <v>0</v>
      </c>
      <c r="V168">
        <f t="shared" si="59"/>
        <v>0</v>
      </c>
      <c r="W168" s="43">
        <f t="shared" si="60"/>
        <v>769740.48300640576</v>
      </c>
      <c r="X168" s="43">
        <f t="shared" si="61"/>
        <v>0</v>
      </c>
      <c r="Y168" s="27">
        <f t="shared" si="62"/>
        <v>5895.6135358112642</v>
      </c>
      <c r="Z168" s="27">
        <f t="shared" si="63"/>
        <v>763844.86947059445</v>
      </c>
      <c r="AA168">
        <f t="shared" si="64"/>
        <v>0</v>
      </c>
      <c r="AB168" s="27">
        <f t="shared" si="65"/>
        <v>763844.86947059445</v>
      </c>
      <c r="AD168" s="27">
        <f t="shared" si="66"/>
        <v>0</v>
      </c>
      <c r="AE168" s="27">
        <f t="shared" si="67"/>
        <v>763844.86947059445</v>
      </c>
      <c r="AF168" s="50"/>
      <c r="AG168" t="str">
        <f t="shared" si="68"/>
        <v>5305730</v>
      </c>
    </row>
    <row r="169" spans="1:33" hidden="1" x14ac:dyDescent="0.25">
      <c r="A169" s="7" t="s">
        <v>179</v>
      </c>
      <c r="B169" s="2" t="s">
        <v>982</v>
      </c>
      <c r="C169" s="4" t="s">
        <v>981</v>
      </c>
      <c r="D169">
        <f>_xlfn.IFNA(VLOOKUP(A169,'Prior Year data'!$A$1:$T$318,12,FALSE),0)</f>
        <v>962167.55765167763</v>
      </c>
      <c r="E169">
        <f>VLOOKUP(A169,'Basic HH'!$B$1:$Y$319,23,FALSE)</f>
        <v>433491.61246307986</v>
      </c>
      <c r="F169">
        <f>VLOOKUP(A169,'Conc. HH'!$B$1:$Y$319,23,FALSE)</f>
        <v>0</v>
      </c>
      <c r="G169">
        <f>VLOOKUP(A169,'Targeted HH'!$B$1:$Y$319,23,FALSE)</f>
        <v>209115.06697123885</v>
      </c>
      <c r="H169">
        <f>VLOOKUP(A169,'EFIG HH'!$B$1:$Y$319,23,FALSE)</f>
        <v>283535.75859920477</v>
      </c>
      <c r="I169">
        <f t="shared" si="46"/>
        <v>926142.4380335235</v>
      </c>
      <c r="J169">
        <f t="shared" si="47"/>
        <v>0</v>
      </c>
      <c r="K169" s="43">
        <f t="shared" si="48"/>
        <v>926142.4380335235</v>
      </c>
      <c r="L169">
        <f t="shared" si="49"/>
        <v>0</v>
      </c>
      <c r="M169">
        <f t="shared" si="50"/>
        <v>0</v>
      </c>
      <c r="N169" s="43">
        <f t="shared" si="51"/>
        <v>926142.4380335235</v>
      </c>
      <c r="O169">
        <f t="shared" si="52"/>
        <v>0</v>
      </c>
      <c r="P169">
        <f t="shared" si="53"/>
        <v>0</v>
      </c>
      <c r="Q169" s="43">
        <f t="shared" si="54"/>
        <v>926142.4380335235</v>
      </c>
      <c r="R169">
        <f t="shared" si="55"/>
        <v>0</v>
      </c>
      <c r="S169">
        <f t="shared" si="56"/>
        <v>0</v>
      </c>
      <c r="T169" s="43">
        <f t="shared" si="57"/>
        <v>926142.4380335235</v>
      </c>
      <c r="U169">
        <f t="shared" si="58"/>
        <v>0</v>
      </c>
      <c r="V169">
        <f t="shared" si="59"/>
        <v>0</v>
      </c>
      <c r="W169" s="43">
        <f t="shared" si="60"/>
        <v>926142.4380335235</v>
      </c>
      <c r="X169" s="43">
        <f t="shared" si="61"/>
        <v>0</v>
      </c>
      <c r="Y169" s="27">
        <f t="shared" si="62"/>
        <v>7093.5308903510631</v>
      </c>
      <c r="Z169" s="27">
        <f t="shared" si="63"/>
        <v>919048.90714317246</v>
      </c>
      <c r="AA169">
        <f t="shared" si="64"/>
        <v>0</v>
      </c>
      <c r="AB169" s="27">
        <f t="shared" si="65"/>
        <v>919048.90714317246</v>
      </c>
      <c r="AD169" s="27">
        <f t="shared" si="66"/>
        <v>0</v>
      </c>
      <c r="AE169" s="27">
        <f t="shared" si="67"/>
        <v>919048.90714317246</v>
      </c>
      <c r="AF169" s="50"/>
      <c r="AG169" t="str">
        <f t="shared" si="68"/>
        <v>5305760</v>
      </c>
    </row>
    <row r="170" spans="1:33" hidden="1" x14ac:dyDescent="0.25">
      <c r="A170" s="7" t="s">
        <v>501</v>
      </c>
      <c r="B170" s="2" t="s">
        <v>984</v>
      </c>
      <c r="C170" s="4" t="s">
        <v>983</v>
      </c>
      <c r="D170">
        <f>_xlfn.IFNA(VLOOKUP(A170,'Prior Year data'!$A$1:$T$318,12,FALSE),0)</f>
        <v>697012.46868708974</v>
      </c>
      <c r="E170">
        <f>VLOOKUP(A170,'Basic HH'!$B$1:$Y$319,23,FALSE)</f>
        <v>323164.08784822782</v>
      </c>
      <c r="F170">
        <f>VLOOKUP(A170,'Conc. HH'!$B$1:$Y$319,23,FALSE)</f>
        <v>86950.641933347812</v>
      </c>
      <c r="G170">
        <f>VLOOKUP(A170,'Targeted HH'!$B$1:$Y$319,23,FALSE)</f>
        <v>155893.39661984131</v>
      </c>
      <c r="H170">
        <f>VLOOKUP(A170,'EFIG HH'!$B$1:$Y$319,23,FALSE)</f>
        <v>211373.35110000835</v>
      </c>
      <c r="I170">
        <f t="shared" si="46"/>
        <v>777381.47750142531</v>
      </c>
      <c r="J170">
        <f t="shared" si="47"/>
        <v>777381.47750142531</v>
      </c>
      <c r="K170" s="43">
        <f t="shared" si="48"/>
        <v>706786.61509735824</v>
      </c>
      <c r="L170">
        <f t="shared" si="49"/>
        <v>0</v>
      </c>
      <c r="M170">
        <f t="shared" si="50"/>
        <v>9774.1464102684986</v>
      </c>
      <c r="N170" s="43">
        <f t="shared" si="51"/>
        <v>705389.62857923808</v>
      </c>
      <c r="O170">
        <f t="shared" si="52"/>
        <v>0</v>
      </c>
      <c r="P170">
        <f t="shared" si="53"/>
        <v>8377.1598921483383</v>
      </c>
      <c r="Q170" s="43">
        <f t="shared" si="54"/>
        <v>705389.62857923808</v>
      </c>
      <c r="R170">
        <f t="shared" si="55"/>
        <v>0</v>
      </c>
      <c r="S170">
        <f t="shared" si="56"/>
        <v>8377.1598921483383</v>
      </c>
      <c r="T170" s="43">
        <f t="shared" si="57"/>
        <v>705389.62857923808</v>
      </c>
      <c r="U170">
        <f t="shared" si="58"/>
        <v>0</v>
      </c>
      <c r="V170">
        <f t="shared" si="59"/>
        <v>8377.1598921483383</v>
      </c>
      <c r="W170" s="43">
        <f t="shared" si="60"/>
        <v>705389.62857923808</v>
      </c>
      <c r="X170" s="43">
        <f t="shared" si="61"/>
        <v>71991.84892218723</v>
      </c>
      <c r="Y170" s="27">
        <f t="shared" si="62"/>
        <v>5402.736031278776</v>
      </c>
      <c r="Z170" s="27">
        <f t="shared" si="63"/>
        <v>699986.89254795935</v>
      </c>
      <c r="AA170">
        <f t="shared" si="64"/>
        <v>0</v>
      </c>
      <c r="AB170" s="27">
        <f t="shared" si="65"/>
        <v>699986.89254795935</v>
      </c>
      <c r="AD170" s="27">
        <f t="shared" si="66"/>
        <v>0</v>
      </c>
      <c r="AE170" s="27">
        <f t="shared" si="67"/>
        <v>699986.89254795935</v>
      </c>
      <c r="AF170" s="50"/>
      <c r="AG170" t="str">
        <f t="shared" si="68"/>
        <v>5305790</v>
      </c>
    </row>
    <row r="171" spans="1:33" hidden="1" x14ac:dyDescent="0.25">
      <c r="A171" s="7" t="s">
        <v>503</v>
      </c>
      <c r="B171" s="2" t="s">
        <v>986</v>
      </c>
      <c r="C171" s="4" t="s">
        <v>985</v>
      </c>
      <c r="D171">
        <f>_xlfn.IFNA(VLOOKUP(A171,'Prior Year data'!$A$1:$T$318,12,FALSE),0)</f>
        <v>1170.4490371409206</v>
      </c>
      <c r="E171">
        <f>VLOOKUP(A171,'Basic HH'!$B$1:$Y$319,23,FALSE)</f>
        <v>8687.2066625867628</v>
      </c>
      <c r="F171">
        <f>VLOOKUP(A171,'Conc. HH'!$B$1:$Y$319,23,FALSE)</f>
        <v>2337.3828476706399</v>
      </c>
      <c r="G171">
        <f>VLOOKUP(A171,'Targeted HH'!$B$1:$Y$319,23,FALSE)</f>
        <v>4836.3202357547634</v>
      </c>
      <c r="H171">
        <f>VLOOKUP(A171,'EFIG HH'!$B$1:$Y$319,23,FALSE)</f>
        <v>6557.4888827212726</v>
      </c>
      <c r="I171">
        <f t="shared" si="46"/>
        <v>22418.398628733441</v>
      </c>
      <c r="J171">
        <f t="shared" si="47"/>
        <v>22418.398628733441</v>
      </c>
      <c r="K171" s="43">
        <f t="shared" si="48"/>
        <v>20382.559324198352</v>
      </c>
      <c r="L171">
        <f t="shared" si="49"/>
        <v>0</v>
      </c>
      <c r="M171">
        <f t="shared" si="50"/>
        <v>19212.110287057432</v>
      </c>
      <c r="N171" s="43">
        <f t="shared" si="51"/>
        <v>17636.635748973466</v>
      </c>
      <c r="O171">
        <f t="shared" si="52"/>
        <v>0</v>
      </c>
      <c r="P171">
        <f t="shared" si="53"/>
        <v>16466.186711832546</v>
      </c>
      <c r="Q171" s="43">
        <f t="shared" si="54"/>
        <v>17636.635748973466</v>
      </c>
      <c r="R171">
        <f t="shared" si="55"/>
        <v>0</v>
      </c>
      <c r="S171">
        <f t="shared" si="56"/>
        <v>16466.186711832546</v>
      </c>
      <c r="T171" s="43">
        <f t="shared" si="57"/>
        <v>17636.635748973466</v>
      </c>
      <c r="U171">
        <f t="shared" si="58"/>
        <v>0</v>
      </c>
      <c r="V171">
        <f t="shared" si="59"/>
        <v>16466.186711832546</v>
      </c>
      <c r="W171" s="43">
        <f t="shared" si="60"/>
        <v>17636.635748973466</v>
      </c>
      <c r="X171" s="43">
        <f t="shared" si="61"/>
        <v>4781.7628797599755</v>
      </c>
      <c r="Y171" s="27">
        <f t="shared" si="62"/>
        <v>135.08291527256921</v>
      </c>
      <c r="Z171" s="27">
        <f t="shared" si="63"/>
        <v>17501.552833700895</v>
      </c>
      <c r="AA171">
        <f t="shared" si="64"/>
        <v>0</v>
      </c>
      <c r="AB171" s="27">
        <f t="shared" si="65"/>
        <v>17501.552833700895</v>
      </c>
      <c r="AD171" s="27">
        <f t="shared" si="66"/>
        <v>0</v>
      </c>
      <c r="AE171" s="27">
        <f t="shared" si="67"/>
        <v>17501.552833700895</v>
      </c>
      <c r="AF171" s="50"/>
      <c r="AG171" t="str">
        <f t="shared" si="68"/>
        <v>5305820</v>
      </c>
    </row>
    <row r="172" spans="1:33" x14ac:dyDescent="0.25">
      <c r="A172" s="7" t="s">
        <v>181</v>
      </c>
      <c r="B172" s="2" t="s">
        <v>988</v>
      </c>
      <c r="C172" s="4" t="s">
        <v>987</v>
      </c>
      <c r="D172">
        <f>_xlfn.IFNA(VLOOKUP(A172,'Prior Year data'!$A$1:$T$318,12,FALSE),0)</f>
        <v>3172332.6334171779</v>
      </c>
      <c r="E172">
        <f>VLOOKUP(A172,'Basic HH'!$B$1:$Y$319,23,FALSE)</f>
        <v>1396902.8313439526</v>
      </c>
      <c r="F172">
        <f>VLOOKUP(A172,'Conc. HH'!$B$1:$Y$319,23,FALSE)</f>
        <v>0</v>
      </c>
      <c r="G172">
        <f>VLOOKUP(A172,'Targeted HH'!$B$1:$Y$319,23,FALSE)</f>
        <v>866004.58095403772</v>
      </c>
      <c r="H172">
        <f>VLOOKUP(A172,'EFIG HH'!$B$1:$Y$319,23,FALSE)</f>
        <v>1174201.6936778694</v>
      </c>
      <c r="I172">
        <f t="shared" si="46"/>
        <v>3437109.1059758598</v>
      </c>
      <c r="J172">
        <f t="shared" si="47"/>
        <v>3437109.1059758598</v>
      </c>
      <c r="K172" s="43">
        <f t="shared" si="48"/>
        <v>3124981.4679672904</v>
      </c>
      <c r="L172">
        <f t="shared" si="49"/>
        <v>47351.165449887514</v>
      </c>
      <c r="M172">
        <f t="shared" si="50"/>
        <v>0</v>
      </c>
      <c r="N172" s="43">
        <f t="shared" si="51"/>
        <v>3172332.6334171779</v>
      </c>
      <c r="O172">
        <f t="shared" si="52"/>
        <v>0</v>
      </c>
      <c r="P172">
        <f t="shared" si="53"/>
        <v>0</v>
      </c>
      <c r="Q172" s="43">
        <f t="shared" si="54"/>
        <v>3172332.6334171779</v>
      </c>
      <c r="R172">
        <f t="shared" si="55"/>
        <v>0</v>
      </c>
      <c r="S172">
        <f t="shared" si="56"/>
        <v>0</v>
      </c>
      <c r="T172" s="43">
        <f t="shared" si="57"/>
        <v>3172332.6334171779</v>
      </c>
      <c r="U172">
        <f t="shared" si="58"/>
        <v>0</v>
      </c>
      <c r="V172">
        <f t="shared" si="59"/>
        <v>0</v>
      </c>
      <c r="W172" s="43">
        <f t="shared" si="60"/>
        <v>3172332.6334171779</v>
      </c>
      <c r="X172" s="43">
        <f t="shared" si="61"/>
        <v>264776.47255868185</v>
      </c>
      <c r="Y172" s="27">
        <f t="shared" si="62"/>
        <v>24297.601109170795</v>
      </c>
      <c r="Z172" s="27">
        <f t="shared" si="63"/>
        <v>3148035.0323080071</v>
      </c>
      <c r="AA172">
        <f t="shared" si="64"/>
        <v>0</v>
      </c>
      <c r="AB172" s="27">
        <f t="shared" si="65"/>
        <v>3148035.0323080071</v>
      </c>
      <c r="AD172" s="27">
        <f t="shared" si="66"/>
        <v>0</v>
      </c>
      <c r="AE172" s="27">
        <f t="shared" si="67"/>
        <v>3148035.0323080071</v>
      </c>
      <c r="AF172" s="50"/>
      <c r="AG172" t="str">
        <f t="shared" si="68"/>
        <v>5305850</v>
      </c>
    </row>
    <row r="173" spans="1:33" x14ac:dyDescent="0.25">
      <c r="A173" s="7" t="s">
        <v>505</v>
      </c>
      <c r="B173" s="2" t="s">
        <v>990</v>
      </c>
      <c r="C173" s="4" t="s">
        <v>989</v>
      </c>
      <c r="D173">
        <f>_xlfn.IFNA(VLOOKUP(A173,'Prior Year data'!$A$1:$T$318,12,FALSE),0)</f>
        <v>157996.33895430632</v>
      </c>
      <c r="E173">
        <f>VLOOKUP(A173,'Basic HH'!$B$1:$Y$319,23,FALSE)</f>
        <v>54202.083613449875</v>
      </c>
      <c r="F173">
        <f>VLOOKUP(A173,'Conc. HH'!$B$1:$Y$319,23,FALSE)</f>
        <v>14281.355736178652</v>
      </c>
      <c r="G173">
        <f>VLOOKUP(A173,'Targeted HH'!$B$1:$Y$319,23,FALSE)</f>
        <v>41856.814198572982</v>
      </c>
      <c r="H173">
        <f>VLOOKUP(A173,'EFIG HH'!$B$1:$Y$319,23,FALSE)</f>
        <v>57532.946494008349</v>
      </c>
      <c r="I173">
        <f t="shared" si="46"/>
        <v>167873.20004220985</v>
      </c>
      <c r="J173">
        <f t="shared" si="47"/>
        <v>167873.20004220985</v>
      </c>
      <c r="K173" s="43">
        <f t="shared" si="48"/>
        <v>152628.45109810022</v>
      </c>
      <c r="L173">
        <f t="shared" si="49"/>
        <v>5367.8878562061</v>
      </c>
      <c r="M173">
        <f t="shared" si="50"/>
        <v>0</v>
      </c>
      <c r="N173" s="43">
        <f t="shared" si="51"/>
        <v>157996.33895430632</v>
      </c>
      <c r="O173">
        <f t="shared" si="52"/>
        <v>0</v>
      </c>
      <c r="P173">
        <f t="shared" si="53"/>
        <v>0</v>
      </c>
      <c r="Q173" s="43">
        <f t="shared" si="54"/>
        <v>157996.33895430632</v>
      </c>
      <c r="R173">
        <f t="shared" si="55"/>
        <v>0</v>
      </c>
      <c r="S173">
        <f t="shared" si="56"/>
        <v>0</v>
      </c>
      <c r="T173" s="43">
        <f t="shared" si="57"/>
        <v>157996.33895430632</v>
      </c>
      <c r="U173">
        <f t="shared" si="58"/>
        <v>0</v>
      </c>
      <c r="V173">
        <f t="shared" si="59"/>
        <v>0</v>
      </c>
      <c r="W173" s="43">
        <f t="shared" si="60"/>
        <v>157996.33895430632</v>
      </c>
      <c r="X173" s="43">
        <f t="shared" si="61"/>
        <v>9876.8610879035259</v>
      </c>
      <c r="Y173" s="27">
        <f t="shared" si="62"/>
        <v>1210.1290956004987</v>
      </c>
      <c r="Z173" s="27">
        <f t="shared" si="63"/>
        <v>156786.20985870581</v>
      </c>
      <c r="AA173">
        <f t="shared" si="64"/>
        <v>0</v>
      </c>
      <c r="AB173" s="27">
        <f t="shared" si="65"/>
        <v>156786.20985870581</v>
      </c>
      <c r="AD173" s="27">
        <f t="shared" si="66"/>
        <v>0</v>
      </c>
      <c r="AE173" s="27">
        <f t="shared" si="67"/>
        <v>156786.20985870581</v>
      </c>
      <c r="AF173" s="50"/>
      <c r="AG173" t="str">
        <f t="shared" si="68"/>
        <v>5305880</v>
      </c>
    </row>
    <row r="174" spans="1:33" hidden="1" x14ac:dyDescent="0.25">
      <c r="A174" s="7" t="s">
        <v>183</v>
      </c>
      <c r="B174" s="2" t="s">
        <v>992</v>
      </c>
      <c r="C174" s="4" t="s">
        <v>991</v>
      </c>
      <c r="D174">
        <f>_xlfn.IFNA(VLOOKUP(A174,'Prior Year data'!$A$1:$T$318,12,FALSE),0)</f>
        <v>772977.15888624312</v>
      </c>
      <c r="E174">
        <f>VLOOKUP(A174,'Basic HH'!$B$1:$Y$319,23,FALSE)</f>
        <v>908681.81690657628</v>
      </c>
      <c r="F174">
        <f>VLOOKUP(A174,'Conc. HH'!$B$1:$Y$319,23,FALSE)</f>
        <v>0</v>
      </c>
      <c r="G174">
        <f>VLOOKUP(A174,'Targeted HH'!$B$1:$Y$319,23,FALSE)</f>
        <v>0</v>
      </c>
      <c r="H174">
        <f>VLOOKUP(A174,'EFIG HH'!$B$1:$Y$319,23,FALSE)</f>
        <v>0</v>
      </c>
      <c r="I174">
        <f t="shared" si="46"/>
        <v>908681.81690657628</v>
      </c>
      <c r="J174">
        <f t="shared" si="47"/>
        <v>908681.81690657628</v>
      </c>
      <c r="K174" s="43">
        <f t="shared" si="48"/>
        <v>826163.42704247031</v>
      </c>
      <c r="L174">
        <f t="shared" si="49"/>
        <v>0</v>
      </c>
      <c r="M174">
        <f t="shared" si="50"/>
        <v>53186.26815622719</v>
      </c>
      <c r="N174" s="43">
        <f t="shared" si="51"/>
        <v>818561.68910601875</v>
      </c>
      <c r="O174">
        <f t="shared" si="52"/>
        <v>0</v>
      </c>
      <c r="P174">
        <f t="shared" si="53"/>
        <v>45584.530219775625</v>
      </c>
      <c r="Q174" s="43">
        <f t="shared" si="54"/>
        <v>818561.68910601875</v>
      </c>
      <c r="R174">
        <f t="shared" si="55"/>
        <v>0</v>
      </c>
      <c r="S174">
        <f t="shared" si="56"/>
        <v>45584.530219775625</v>
      </c>
      <c r="T174" s="43">
        <f t="shared" si="57"/>
        <v>818561.68910601875</v>
      </c>
      <c r="U174">
        <f t="shared" si="58"/>
        <v>0</v>
      </c>
      <c r="V174">
        <f t="shared" si="59"/>
        <v>45584.530219775625</v>
      </c>
      <c r="W174" s="43">
        <f t="shared" si="60"/>
        <v>818561.68910601875</v>
      </c>
      <c r="X174" s="43">
        <f t="shared" si="61"/>
        <v>90120.12780055753</v>
      </c>
      <c r="Y174" s="27">
        <f t="shared" si="62"/>
        <v>6269.5460102880088</v>
      </c>
      <c r="Z174" s="27">
        <f t="shared" si="63"/>
        <v>812292.14309573069</v>
      </c>
      <c r="AA174">
        <f t="shared" si="64"/>
        <v>0</v>
      </c>
      <c r="AB174" s="27">
        <f t="shared" si="65"/>
        <v>812292.14309573069</v>
      </c>
      <c r="AD174" s="27">
        <f t="shared" si="66"/>
        <v>0</v>
      </c>
      <c r="AE174" s="27">
        <f t="shared" si="67"/>
        <v>812292.14309573069</v>
      </c>
      <c r="AF174" s="50"/>
      <c r="AG174" t="str">
        <f t="shared" si="68"/>
        <v>5305910</v>
      </c>
    </row>
    <row r="175" spans="1:33" hidden="1" x14ac:dyDescent="0.25">
      <c r="A175" s="7" t="s">
        <v>185</v>
      </c>
      <c r="B175" s="2" t="s">
        <v>994</v>
      </c>
      <c r="C175" s="4" t="s">
        <v>993</v>
      </c>
      <c r="D175">
        <f>_xlfn.IFNA(VLOOKUP(A175,'Prior Year data'!$A$1:$T$318,12,FALSE),0)</f>
        <v>822880.27464086679</v>
      </c>
      <c r="E175">
        <f>VLOOKUP(A175,'Basic HH'!$B$1:$Y$319,23,FALSE)</f>
        <v>499514.3830987392</v>
      </c>
      <c r="F175">
        <f>VLOOKUP(A175,'Conc. HH'!$B$1:$Y$319,23,FALSE)</f>
        <v>0</v>
      </c>
      <c r="G175">
        <f>VLOOKUP(A175,'Targeted HH'!$B$1:$Y$319,23,FALSE)</f>
        <v>240964.25552798042</v>
      </c>
      <c r="H175">
        <f>VLOOKUP(A175,'EFIG HH'!$B$1:$Y$319,23,FALSE)</f>
        <v>326719.56151210971</v>
      </c>
      <c r="I175">
        <f t="shared" si="46"/>
        <v>1067198.2001388292</v>
      </c>
      <c r="J175">
        <f t="shared" si="47"/>
        <v>1067198.2001388292</v>
      </c>
      <c r="K175" s="43">
        <f t="shared" si="48"/>
        <v>970284.76410120435</v>
      </c>
      <c r="L175">
        <f t="shared" si="49"/>
        <v>0</v>
      </c>
      <c r="M175">
        <f t="shared" si="50"/>
        <v>147404.48946033756</v>
      </c>
      <c r="N175" s="43">
        <f t="shared" si="51"/>
        <v>949216.72645956103</v>
      </c>
      <c r="O175">
        <f t="shared" si="52"/>
        <v>0</v>
      </c>
      <c r="P175">
        <f t="shared" si="53"/>
        <v>126336.45181869424</v>
      </c>
      <c r="Q175" s="43">
        <f t="shared" si="54"/>
        <v>949216.72645956103</v>
      </c>
      <c r="R175">
        <f t="shared" si="55"/>
        <v>0</v>
      </c>
      <c r="S175">
        <f t="shared" si="56"/>
        <v>126336.45181869424</v>
      </c>
      <c r="T175" s="43">
        <f t="shared" si="57"/>
        <v>949216.72645956103</v>
      </c>
      <c r="U175">
        <f t="shared" si="58"/>
        <v>0</v>
      </c>
      <c r="V175">
        <f t="shared" si="59"/>
        <v>126336.45181869424</v>
      </c>
      <c r="W175" s="43">
        <f t="shared" si="60"/>
        <v>949216.72645956103</v>
      </c>
      <c r="X175" s="43">
        <f t="shared" si="61"/>
        <v>117981.47367926815</v>
      </c>
      <c r="Y175" s="27">
        <f t="shared" si="62"/>
        <v>7270.2619967136052</v>
      </c>
      <c r="Z175" s="27">
        <f t="shared" si="63"/>
        <v>941946.46446284745</v>
      </c>
      <c r="AA175">
        <f t="shared" si="64"/>
        <v>0</v>
      </c>
      <c r="AB175" s="27">
        <f t="shared" si="65"/>
        <v>941946.46446284745</v>
      </c>
      <c r="AD175" s="27">
        <f t="shared" si="66"/>
        <v>0</v>
      </c>
      <c r="AE175" s="27">
        <f t="shared" si="67"/>
        <v>941946.46446284745</v>
      </c>
      <c r="AF175" s="50"/>
      <c r="AG175" t="str">
        <f t="shared" si="68"/>
        <v>5305940</v>
      </c>
    </row>
    <row r="176" spans="1:33" hidden="1" x14ac:dyDescent="0.25">
      <c r="A176" s="7" t="s">
        <v>187</v>
      </c>
      <c r="B176" s="2" t="s">
        <v>996</v>
      </c>
      <c r="C176" s="4" t="s">
        <v>995</v>
      </c>
      <c r="D176">
        <f>_xlfn.IFNA(VLOOKUP(A176,'Prior Year data'!$A$1:$T$318,12,FALSE),0)</f>
        <v>25994.820597646387</v>
      </c>
      <c r="E176">
        <f>VLOOKUP(A176,'Basic HH'!$B$1:$Y$319,23,FALSE)</f>
        <v>0</v>
      </c>
      <c r="F176">
        <f>VLOOKUP(A176,'Conc. HH'!$B$1:$Y$319,23,FALSE)</f>
        <v>0</v>
      </c>
      <c r="G176">
        <f>VLOOKUP(A176,'Targeted HH'!$B$1:$Y$319,23,FALSE)</f>
        <v>0</v>
      </c>
      <c r="H176">
        <f>VLOOKUP(A176,'EFIG HH'!$B$1:$Y$319,23,FALSE)</f>
        <v>0</v>
      </c>
      <c r="I176">
        <f t="shared" si="46"/>
        <v>0</v>
      </c>
      <c r="J176">
        <f t="shared" si="47"/>
        <v>0</v>
      </c>
      <c r="K176" s="43">
        <f t="shared" si="48"/>
        <v>0</v>
      </c>
      <c r="L176">
        <f t="shared" si="49"/>
        <v>0</v>
      </c>
      <c r="M176">
        <f t="shared" si="50"/>
        <v>0</v>
      </c>
      <c r="N176" s="43">
        <f t="shared" si="51"/>
        <v>0</v>
      </c>
      <c r="O176">
        <f t="shared" si="52"/>
        <v>0</v>
      </c>
      <c r="P176">
        <f t="shared" si="53"/>
        <v>0</v>
      </c>
      <c r="Q176" s="43">
        <f t="shared" si="54"/>
        <v>0</v>
      </c>
      <c r="R176">
        <f t="shared" si="55"/>
        <v>0</v>
      </c>
      <c r="S176">
        <f t="shared" si="56"/>
        <v>0</v>
      </c>
      <c r="T176" s="43">
        <f t="shared" si="57"/>
        <v>0</v>
      </c>
      <c r="U176">
        <f t="shared" si="58"/>
        <v>0</v>
      </c>
      <c r="V176">
        <f t="shared" si="59"/>
        <v>0</v>
      </c>
      <c r="W176" s="43">
        <f t="shared" si="60"/>
        <v>0</v>
      </c>
      <c r="X176" s="43">
        <f t="shared" si="61"/>
        <v>0</v>
      </c>
      <c r="Y176" s="27">
        <f t="shared" si="62"/>
        <v>0</v>
      </c>
      <c r="Z176" s="27">
        <f t="shared" si="63"/>
        <v>0</v>
      </c>
      <c r="AA176">
        <f t="shared" si="64"/>
        <v>0</v>
      </c>
      <c r="AB176" s="27">
        <f t="shared" si="65"/>
        <v>0</v>
      </c>
      <c r="AD176" s="27">
        <f t="shared" si="66"/>
        <v>0</v>
      </c>
      <c r="AE176" s="27">
        <f t="shared" si="67"/>
        <v>0</v>
      </c>
      <c r="AF176" s="50"/>
      <c r="AG176" t="str">
        <f t="shared" si="68"/>
        <v>5305970</v>
      </c>
    </row>
    <row r="177" spans="1:33" hidden="1" x14ac:dyDescent="0.25">
      <c r="A177" s="7" t="s">
        <v>507</v>
      </c>
      <c r="B177" s="2" t="s">
        <v>998</v>
      </c>
      <c r="C177" s="4" t="s">
        <v>997</v>
      </c>
      <c r="D177">
        <f>_xlfn.IFNA(VLOOKUP(A177,'Prior Year data'!$A$1:$T$318,12,FALSE),0)</f>
        <v>220159.244725086</v>
      </c>
      <c r="E177">
        <f>VLOOKUP(A177,'Basic HH'!$B$1:$Y$319,23,FALSE)</f>
        <v>86723.333781519803</v>
      </c>
      <c r="F177">
        <f>VLOOKUP(A177,'Conc. HH'!$B$1:$Y$319,23,FALSE)</f>
        <v>22850.169177885848</v>
      </c>
      <c r="G177">
        <f>VLOOKUP(A177,'Targeted HH'!$B$1:$Y$319,23,FALSE)</f>
        <v>56596.348521235188</v>
      </c>
      <c r="H177">
        <f>VLOOKUP(A177,'EFIG HH'!$B$1:$Y$319,23,FALSE)</f>
        <v>77792.702420708491</v>
      </c>
      <c r="I177">
        <f t="shared" si="46"/>
        <v>243962.55390134934</v>
      </c>
      <c r="J177">
        <f t="shared" si="47"/>
        <v>243962.55390134934</v>
      </c>
      <c r="K177" s="43">
        <f t="shared" si="48"/>
        <v>221808.04749380637</v>
      </c>
      <c r="L177">
        <f t="shared" si="49"/>
        <v>0</v>
      </c>
      <c r="M177">
        <f t="shared" si="50"/>
        <v>1648.8027687203721</v>
      </c>
      <c r="N177" s="43">
        <f t="shared" si="51"/>
        <v>221572.38955067165</v>
      </c>
      <c r="O177">
        <f t="shared" si="52"/>
        <v>0</v>
      </c>
      <c r="P177">
        <f t="shared" si="53"/>
        <v>1413.1448255856521</v>
      </c>
      <c r="Q177" s="43">
        <f t="shared" si="54"/>
        <v>221572.38955067165</v>
      </c>
      <c r="R177">
        <f t="shared" si="55"/>
        <v>0</v>
      </c>
      <c r="S177">
        <f t="shared" si="56"/>
        <v>1413.1448255856521</v>
      </c>
      <c r="T177" s="43">
        <f t="shared" si="57"/>
        <v>221572.38955067165</v>
      </c>
      <c r="U177">
        <f t="shared" si="58"/>
        <v>0</v>
      </c>
      <c r="V177">
        <f t="shared" si="59"/>
        <v>1413.1448255856521</v>
      </c>
      <c r="W177" s="43">
        <f t="shared" si="60"/>
        <v>221572.38955067165</v>
      </c>
      <c r="X177" s="43">
        <f t="shared" si="61"/>
        <v>22390.164350677689</v>
      </c>
      <c r="Y177" s="27">
        <f t="shared" si="62"/>
        <v>1697.0722052904098</v>
      </c>
      <c r="Z177" s="27">
        <f t="shared" si="63"/>
        <v>219875.31734538125</v>
      </c>
      <c r="AA177">
        <f t="shared" si="64"/>
        <v>0</v>
      </c>
      <c r="AB177" s="27">
        <f t="shared" si="65"/>
        <v>219875.31734538125</v>
      </c>
      <c r="AD177" s="27">
        <f t="shared" si="66"/>
        <v>0</v>
      </c>
      <c r="AE177" s="27">
        <f t="shared" si="67"/>
        <v>219875.31734538125</v>
      </c>
      <c r="AF177" s="50"/>
      <c r="AG177" t="str">
        <f t="shared" si="68"/>
        <v>5306000</v>
      </c>
    </row>
    <row r="178" spans="1:33" hidden="1" x14ac:dyDescent="0.25">
      <c r="A178" s="7" t="s">
        <v>509</v>
      </c>
      <c r="B178" s="2" t="s">
        <v>1000</v>
      </c>
      <c r="C178" s="4" t="s">
        <v>999</v>
      </c>
      <c r="D178">
        <f>_xlfn.IFNA(VLOOKUP(A178,'Prior Year data'!$A$1:$T$318,12,FALSE),0)</f>
        <v>391259.47948324907</v>
      </c>
      <c r="E178">
        <f>VLOOKUP(A178,'Basic HH'!$B$1:$Y$319,23,FALSE)</f>
        <v>170269.25058670063</v>
      </c>
      <c r="F178">
        <f>VLOOKUP(A178,'Conc. HH'!$B$1:$Y$319,23,FALSE)</f>
        <v>45812.703814344539</v>
      </c>
      <c r="G178">
        <f>VLOOKUP(A178,'Targeted HH'!$B$1:$Y$319,23,FALSE)</f>
        <v>93646.022439493157</v>
      </c>
      <c r="H178">
        <f>VLOOKUP(A178,'EFIG HH'!$B$1:$Y$319,23,FALSE)</f>
        <v>126973.13683203778</v>
      </c>
      <c r="I178">
        <f t="shared" si="46"/>
        <v>436701.11367257609</v>
      </c>
      <c r="J178">
        <f t="shared" si="47"/>
        <v>436701.11367257609</v>
      </c>
      <c r="K178" s="43">
        <f t="shared" si="48"/>
        <v>397043.80780196917</v>
      </c>
      <c r="L178">
        <f t="shared" si="49"/>
        <v>0</v>
      </c>
      <c r="M178">
        <f t="shared" si="50"/>
        <v>5784.3283187201014</v>
      </c>
      <c r="N178" s="43">
        <f t="shared" si="51"/>
        <v>396217.07282804418</v>
      </c>
      <c r="O178">
        <f t="shared" si="52"/>
        <v>0</v>
      </c>
      <c r="P178">
        <f t="shared" si="53"/>
        <v>4957.5933447951102</v>
      </c>
      <c r="Q178" s="43">
        <f t="shared" si="54"/>
        <v>396217.07282804418</v>
      </c>
      <c r="R178">
        <f t="shared" si="55"/>
        <v>0</v>
      </c>
      <c r="S178">
        <f t="shared" si="56"/>
        <v>4957.5933447951102</v>
      </c>
      <c r="T178" s="43">
        <f t="shared" si="57"/>
        <v>396217.07282804418</v>
      </c>
      <c r="U178">
        <f t="shared" si="58"/>
        <v>0</v>
      </c>
      <c r="V178">
        <f t="shared" si="59"/>
        <v>4957.5933447951102</v>
      </c>
      <c r="W178" s="43">
        <f t="shared" si="60"/>
        <v>396217.07282804418</v>
      </c>
      <c r="X178" s="43">
        <f t="shared" si="61"/>
        <v>40484.040844531904</v>
      </c>
      <c r="Y178" s="27">
        <f t="shared" si="62"/>
        <v>3034.7146723541823</v>
      </c>
      <c r="Z178" s="27">
        <f t="shared" si="63"/>
        <v>393182.35815569002</v>
      </c>
      <c r="AA178">
        <f t="shared" si="64"/>
        <v>0</v>
      </c>
      <c r="AB178" s="27">
        <f t="shared" si="65"/>
        <v>393182.35815569002</v>
      </c>
      <c r="AD178" s="27">
        <f t="shared" si="66"/>
        <v>0</v>
      </c>
      <c r="AE178" s="27">
        <f t="shared" si="67"/>
        <v>393182.35815569002</v>
      </c>
      <c r="AF178" s="50"/>
      <c r="AG178" t="str">
        <f t="shared" si="68"/>
        <v>5306060</v>
      </c>
    </row>
    <row r="179" spans="1:33" x14ac:dyDescent="0.25">
      <c r="A179" s="7" t="s">
        <v>511</v>
      </c>
      <c r="B179" s="2" t="s">
        <v>1002</v>
      </c>
      <c r="C179" s="4" t="s">
        <v>1001</v>
      </c>
      <c r="D179">
        <f>_xlfn.IFNA(VLOOKUP(A179,'Prior Year data'!$A$1:$T$318,12,FALSE),0)</f>
        <v>450675.32637327287</v>
      </c>
      <c r="E179">
        <f>VLOOKUP(A179,'Basic HH'!$B$1:$Y$319,23,FALSE)</f>
        <v>152540.14959785176</v>
      </c>
      <c r="F179">
        <f>VLOOKUP(A179,'Conc. HH'!$B$1:$Y$319,23,FALSE)</f>
        <v>40191.815428959919</v>
      </c>
      <c r="G179">
        <f>VLOOKUP(A179,'Targeted HH'!$B$1:$Y$319,23,FALSE)</f>
        <v>113319.37522465261</v>
      </c>
      <c r="H179">
        <f>VLOOKUP(A179,'EFIG HH'!$B$1:$Y$319,23,FALSE)</f>
        <v>155759.52628895175</v>
      </c>
      <c r="I179">
        <f t="shared" si="46"/>
        <v>461810.86654041603</v>
      </c>
      <c r="J179">
        <f t="shared" si="47"/>
        <v>461810.86654041603</v>
      </c>
      <c r="K179" s="43">
        <f t="shared" si="48"/>
        <v>419873.31654255948</v>
      </c>
      <c r="L179">
        <f t="shared" si="49"/>
        <v>30802.009830713389</v>
      </c>
      <c r="M179">
        <f t="shared" si="50"/>
        <v>0</v>
      </c>
      <c r="N179" s="43">
        <f t="shared" si="51"/>
        <v>450675.32637327287</v>
      </c>
      <c r="O179">
        <f t="shared" si="52"/>
        <v>0</v>
      </c>
      <c r="P179">
        <f t="shared" si="53"/>
        <v>0</v>
      </c>
      <c r="Q179" s="43">
        <f t="shared" si="54"/>
        <v>450675.32637327287</v>
      </c>
      <c r="R179">
        <f t="shared" si="55"/>
        <v>0</v>
      </c>
      <c r="S179">
        <f t="shared" si="56"/>
        <v>0</v>
      </c>
      <c r="T179" s="43">
        <f t="shared" si="57"/>
        <v>450675.32637327287</v>
      </c>
      <c r="U179">
        <f t="shared" si="58"/>
        <v>0</v>
      </c>
      <c r="V179">
        <f t="shared" si="59"/>
        <v>0</v>
      </c>
      <c r="W179" s="43">
        <f t="shared" si="60"/>
        <v>450675.32637327287</v>
      </c>
      <c r="X179" s="43">
        <f t="shared" si="61"/>
        <v>11135.540167143161</v>
      </c>
      <c r="Y179" s="27">
        <f t="shared" si="62"/>
        <v>3451.8225467950547</v>
      </c>
      <c r="Z179" s="27">
        <f t="shared" si="63"/>
        <v>447223.5038264778</v>
      </c>
      <c r="AA179">
        <f t="shared" si="64"/>
        <v>0</v>
      </c>
      <c r="AB179" s="27">
        <f t="shared" si="65"/>
        <v>447223.5038264778</v>
      </c>
      <c r="AD179" s="27">
        <f t="shared" si="66"/>
        <v>0</v>
      </c>
      <c r="AE179" s="27">
        <f t="shared" si="67"/>
        <v>447223.5038264778</v>
      </c>
      <c r="AF179" s="50"/>
      <c r="AG179" t="str">
        <f t="shared" si="68"/>
        <v>5306090</v>
      </c>
    </row>
    <row r="180" spans="1:33" hidden="1" x14ac:dyDescent="0.25">
      <c r="A180" s="7" t="s">
        <v>288</v>
      </c>
      <c r="B180" s="2" t="s">
        <v>1004</v>
      </c>
      <c r="C180" s="4" t="s">
        <v>1003</v>
      </c>
      <c r="D180">
        <f>_xlfn.IFNA(VLOOKUP(A180,'Prior Year data'!$A$1:$T$318,12,FALSE),0)</f>
        <v>60246.591536206324</v>
      </c>
      <c r="E180">
        <f>VLOOKUP(A180,'Basic HH'!$B$1:$Y$319,23,FALSE)</f>
        <v>39092.429981640453</v>
      </c>
      <c r="F180">
        <f>VLOOKUP(A180,'Conc. HH'!$B$1:$Y$319,23,FALSE)</f>
        <v>0</v>
      </c>
      <c r="G180">
        <f>VLOOKUP(A180,'Targeted HH'!$B$1:$Y$319,23,FALSE)</f>
        <v>18858.07217175499</v>
      </c>
      <c r="H180">
        <f>VLOOKUP(A180,'EFIG HH'!$B$1:$Y$319,23,FALSE)</f>
        <v>25569.356987904241</v>
      </c>
      <c r="I180">
        <f t="shared" si="46"/>
        <v>83519.859141299676</v>
      </c>
      <c r="J180">
        <f t="shared" si="47"/>
        <v>83519.859141299676</v>
      </c>
      <c r="K180" s="43">
        <f t="shared" si="48"/>
        <v>75935.329364442077</v>
      </c>
      <c r="L180">
        <f t="shared" si="49"/>
        <v>0</v>
      </c>
      <c r="M180">
        <f t="shared" si="50"/>
        <v>15688.737828235753</v>
      </c>
      <c r="N180" s="43">
        <f t="shared" si="51"/>
        <v>73692.989797138187</v>
      </c>
      <c r="O180">
        <f t="shared" si="52"/>
        <v>0</v>
      </c>
      <c r="P180">
        <f t="shared" si="53"/>
        <v>13446.398260931863</v>
      </c>
      <c r="Q180" s="43">
        <f t="shared" si="54"/>
        <v>73692.989797138187</v>
      </c>
      <c r="R180">
        <f t="shared" si="55"/>
        <v>0</v>
      </c>
      <c r="S180">
        <f t="shared" si="56"/>
        <v>13446.398260931863</v>
      </c>
      <c r="T180" s="43">
        <f t="shared" si="57"/>
        <v>73692.989797138187</v>
      </c>
      <c r="U180">
        <f t="shared" si="58"/>
        <v>0</v>
      </c>
      <c r="V180">
        <f t="shared" si="59"/>
        <v>13446.398260931863</v>
      </c>
      <c r="W180" s="43">
        <f t="shared" si="60"/>
        <v>73692.989797138187</v>
      </c>
      <c r="X180" s="43">
        <f t="shared" si="61"/>
        <v>9826.8693441614887</v>
      </c>
      <c r="Y180" s="27">
        <f t="shared" si="62"/>
        <v>564.43099685429127</v>
      </c>
      <c r="Z180" s="27">
        <f t="shared" si="63"/>
        <v>73128.558800283892</v>
      </c>
      <c r="AA180">
        <f t="shared" si="64"/>
        <v>0</v>
      </c>
      <c r="AB180" s="27">
        <f t="shared" si="65"/>
        <v>73128.558800283892</v>
      </c>
      <c r="AD180" s="27">
        <f t="shared" si="66"/>
        <v>0</v>
      </c>
      <c r="AE180" s="27">
        <f t="shared" si="67"/>
        <v>73128.558800283892</v>
      </c>
      <c r="AF180" s="50"/>
      <c r="AG180" t="str">
        <f t="shared" si="68"/>
        <v>5306120</v>
      </c>
    </row>
    <row r="181" spans="1:33" hidden="1" x14ac:dyDescent="0.25">
      <c r="A181" s="7" t="s">
        <v>513</v>
      </c>
      <c r="B181" s="2" t="s">
        <v>1006</v>
      </c>
      <c r="C181" s="4" t="s">
        <v>1005</v>
      </c>
      <c r="D181">
        <f>_xlfn.IFNA(VLOOKUP(A181,'Prior Year data'!$A$1:$T$318,12,FALSE),0)</f>
        <v>516519.65364696243</v>
      </c>
      <c r="E181">
        <f>VLOOKUP(A181,'Basic HH'!$B$1:$Y$319,23,FALSE)</f>
        <v>170586.05700778941</v>
      </c>
      <c r="F181">
        <f>VLOOKUP(A181,'Conc. HH'!$B$1:$Y$319,23,FALSE)</f>
        <v>44353.742457781889</v>
      </c>
      <c r="G181">
        <f>VLOOKUP(A181,'Targeted HH'!$B$1:$Y$319,23,FALSE)</f>
        <v>107691.39484693202</v>
      </c>
      <c r="H181">
        <f>VLOOKUP(A181,'EFIG HH'!$B$1:$Y$319,23,FALSE)</f>
        <v>145851.50175233488</v>
      </c>
      <c r="I181">
        <f t="shared" si="46"/>
        <v>468482.69606483821</v>
      </c>
      <c r="J181">
        <f t="shared" si="47"/>
        <v>0</v>
      </c>
      <c r="K181" s="43">
        <f t="shared" si="48"/>
        <v>468482.69606483821</v>
      </c>
      <c r="L181">
        <f t="shared" si="49"/>
        <v>0</v>
      </c>
      <c r="M181">
        <f t="shared" si="50"/>
        <v>0</v>
      </c>
      <c r="N181" s="43">
        <f t="shared" si="51"/>
        <v>468482.69606483821</v>
      </c>
      <c r="O181">
        <f t="shared" si="52"/>
        <v>0</v>
      </c>
      <c r="P181">
        <f t="shared" si="53"/>
        <v>0</v>
      </c>
      <c r="Q181" s="43">
        <f t="shared" si="54"/>
        <v>468482.69606483821</v>
      </c>
      <c r="R181">
        <f t="shared" si="55"/>
        <v>0</v>
      </c>
      <c r="S181">
        <f t="shared" si="56"/>
        <v>0</v>
      </c>
      <c r="T181" s="43">
        <f t="shared" si="57"/>
        <v>468482.69606483821</v>
      </c>
      <c r="U181">
        <f t="shared" si="58"/>
        <v>0</v>
      </c>
      <c r="V181">
        <f t="shared" si="59"/>
        <v>0</v>
      </c>
      <c r="W181" s="43">
        <f t="shared" si="60"/>
        <v>468482.69606483821</v>
      </c>
      <c r="X181" s="43">
        <f t="shared" si="61"/>
        <v>0</v>
      </c>
      <c r="Y181" s="27">
        <f t="shared" si="62"/>
        <v>3588.2131513020986</v>
      </c>
      <c r="Z181" s="27">
        <f t="shared" si="63"/>
        <v>464894.48291353614</v>
      </c>
      <c r="AA181">
        <f t="shared" si="64"/>
        <v>0</v>
      </c>
      <c r="AB181" s="27">
        <f t="shared" si="65"/>
        <v>464894.48291353614</v>
      </c>
      <c r="AD181" s="27">
        <f t="shared" si="66"/>
        <v>0</v>
      </c>
      <c r="AE181" s="27">
        <f t="shared" si="67"/>
        <v>464894.48291353614</v>
      </c>
      <c r="AF181" s="50"/>
      <c r="AG181" t="str">
        <f t="shared" si="68"/>
        <v>5306150</v>
      </c>
    </row>
    <row r="182" spans="1:33" hidden="1" x14ac:dyDescent="0.25">
      <c r="A182" s="7" t="s">
        <v>189</v>
      </c>
      <c r="B182" s="2" t="s">
        <v>1008</v>
      </c>
      <c r="C182" s="4" t="s">
        <v>1007</v>
      </c>
      <c r="D182">
        <f>_xlfn.IFNA(VLOOKUP(A182,'Prior Year data'!$A$1:$T$318,12,FALSE),0)</f>
        <v>2021778.5629467361</v>
      </c>
      <c r="E182">
        <f>VLOOKUP(A182,'Basic HH'!$B$1:$Y$319,23,FALSE)</f>
        <v>797846.06728464679</v>
      </c>
      <c r="F182">
        <f>VLOOKUP(A182,'Conc. HH'!$B$1:$Y$319,23,FALSE)</f>
        <v>0</v>
      </c>
      <c r="G182">
        <f>VLOOKUP(A182,'Targeted HH'!$B$1:$Y$319,23,FALSE)</f>
        <v>451625.41656165157</v>
      </c>
      <c r="H182">
        <f>VLOOKUP(A182,'EFIG HH'!$B$1:$Y$319,23,FALSE)</f>
        <v>620767.28541995888</v>
      </c>
      <c r="I182">
        <f t="shared" si="46"/>
        <v>1870238.7692662573</v>
      </c>
      <c r="J182">
        <f t="shared" si="47"/>
        <v>0</v>
      </c>
      <c r="K182" s="43">
        <f t="shared" si="48"/>
        <v>1870238.7692662573</v>
      </c>
      <c r="L182">
        <f t="shared" si="49"/>
        <v>0</v>
      </c>
      <c r="M182">
        <f t="shared" si="50"/>
        <v>0</v>
      </c>
      <c r="N182" s="43">
        <f t="shared" si="51"/>
        <v>1870238.7692662573</v>
      </c>
      <c r="O182">
        <f t="shared" si="52"/>
        <v>0</v>
      </c>
      <c r="P182">
        <f t="shared" si="53"/>
        <v>0</v>
      </c>
      <c r="Q182" s="43">
        <f t="shared" si="54"/>
        <v>1870238.7692662573</v>
      </c>
      <c r="R182">
        <f t="shared" si="55"/>
        <v>0</v>
      </c>
      <c r="S182">
        <f t="shared" si="56"/>
        <v>0</v>
      </c>
      <c r="T182" s="43">
        <f t="shared" si="57"/>
        <v>1870238.7692662573</v>
      </c>
      <c r="U182">
        <f t="shared" si="58"/>
        <v>0</v>
      </c>
      <c r="V182">
        <f t="shared" si="59"/>
        <v>0</v>
      </c>
      <c r="W182" s="43">
        <f t="shared" si="60"/>
        <v>1870238.7692662573</v>
      </c>
      <c r="X182" s="43">
        <f t="shared" si="61"/>
        <v>0</v>
      </c>
      <c r="Y182" s="27">
        <f t="shared" si="62"/>
        <v>14324.57464133842</v>
      </c>
      <c r="Z182" s="27">
        <f t="shared" si="63"/>
        <v>1855914.194624919</v>
      </c>
      <c r="AA182">
        <f t="shared" si="64"/>
        <v>0</v>
      </c>
      <c r="AB182" s="27">
        <f t="shared" si="65"/>
        <v>1855914.194624919</v>
      </c>
      <c r="AD182" s="27">
        <f t="shared" si="66"/>
        <v>0</v>
      </c>
      <c r="AE182" s="27">
        <f t="shared" si="67"/>
        <v>1855914.194624919</v>
      </c>
      <c r="AF182" s="50"/>
      <c r="AG182" t="str">
        <f t="shared" si="68"/>
        <v>5306180</v>
      </c>
    </row>
    <row r="183" spans="1:33" hidden="1" x14ac:dyDescent="0.25">
      <c r="A183" s="7" t="s">
        <v>515</v>
      </c>
      <c r="B183" s="2" t="s">
        <v>1010</v>
      </c>
      <c r="C183" s="4" t="s">
        <v>1009</v>
      </c>
      <c r="D183">
        <f>_xlfn.IFNA(VLOOKUP(A183,'Prior Year data'!$A$1:$T$318,12,FALSE),0)</f>
        <v>1001579.9985773241</v>
      </c>
      <c r="E183">
        <f>VLOOKUP(A183,'Basic HH'!$B$1:$Y$319,23,FALSE)</f>
        <v>341407.22183965991</v>
      </c>
      <c r="F183">
        <f>VLOOKUP(A183,'Conc. HH'!$B$1:$Y$319,23,FALSE)</f>
        <v>91859.145913456159</v>
      </c>
      <c r="G183">
        <f>VLOOKUP(A183,'Targeted HH'!$B$1:$Y$319,23,FALSE)</f>
        <v>211370.53613208703</v>
      </c>
      <c r="H183">
        <f>VLOOKUP(A183,'EFIG HH'!$B$1:$Y$319,23,FALSE)</f>
        <v>286269.02051811712</v>
      </c>
      <c r="I183">
        <f t="shared" si="46"/>
        <v>930905.92440332018</v>
      </c>
      <c r="J183">
        <f t="shared" si="47"/>
        <v>0</v>
      </c>
      <c r="K183" s="43">
        <f t="shared" si="48"/>
        <v>930905.92440332018</v>
      </c>
      <c r="L183">
        <f t="shared" si="49"/>
        <v>0</v>
      </c>
      <c r="M183">
        <f t="shared" si="50"/>
        <v>0</v>
      </c>
      <c r="N183" s="43">
        <f t="shared" si="51"/>
        <v>930905.92440332018</v>
      </c>
      <c r="O183">
        <f t="shared" si="52"/>
        <v>0</v>
      </c>
      <c r="P183">
        <f t="shared" si="53"/>
        <v>0</v>
      </c>
      <c r="Q183" s="43">
        <f t="shared" si="54"/>
        <v>930905.92440332018</v>
      </c>
      <c r="R183">
        <f t="shared" si="55"/>
        <v>0</v>
      </c>
      <c r="S183">
        <f t="shared" si="56"/>
        <v>0</v>
      </c>
      <c r="T183" s="43">
        <f t="shared" si="57"/>
        <v>930905.92440332018</v>
      </c>
      <c r="U183">
        <f t="shared" si="58"/>
        <v>0</v>
      </c>
      <c r="V183">
        <f t="shared" si="59"/>
        <v>0</v>
      </c>
      <c r="W183" s="43">
        <f t="shared" si="60"/>
        <v>930905.92440332018</v>
      </c>
      <c r="X183" s="43">
        <f t="shared" si="61"/>
        <v>0</v>
      </c>
      <c r="Y183" s="27">
        <f t="shared" si="62"/>
        <v>7130.0154917711916</v>
      </c>
      <c r="Z183" s="27">
        <f t="shared" si="63"/>
        <v>923775.90891154902</v>
      </c>
      <c r="AA183">
        <f t="shared" si="64"/>
        <v>0</v>
      </c>
      <c r="AB183" s="27">
        <f t="shared" si="65"/>
        <v>923775.90891154902</v>
      </c>
      <c r="AD183" s="27">
        <f t="shared" si="66"/>
        <v>0</v>
      </c>
      <c r="AE183" s="27">
        <f t="shared" si="67"/>
        <v>923775.90891154902</v>
      </c>
      <c r="AF183" s="50"/>
      <c r="AG183" t="str">
        <f t="shared" si="68"/>
        <v>5306220</v>
      </c>
    </row>
    <row r="184" spans="1:33" hidden="1" x14ac:dyDescent="0.25">
      <c r="A184" s="7" t="s">
        <v>517</v>
      </c>
      <c r="B184" s="2" t="s">
        <v>1012</v>
      </c>
      <c r="C184" s="4" t="s">
        <v>1011</v>
      </c>
      <c r="D184">
        <f>_xlfn.IFNA(VLOOKUP(A184,'Prior Year data'!$A$1:$T$318,12,FALSE),0)</f>
        <v>250515.32421855844</v>
      </c>
      <c r="E184">
        <f>VLOOKUP(A184,'Basic HH'!$B$1:$Y$319,23,FALSE)</f>
        <v>101640.31795226516</v>
      </c>
      <c r="F184">
        <f>VLOOKUP(A184,'Conc. HH'!$B$1:$Y$319,23,FALSE)</f>
        <v>22320.43764243984</v>
      </c>
      <c r="G184">
        <f>VLOOKUP(A184,'Targeted HH'!$B$1:$Y$319,23,FALSE)</f>
        <v>49030.987646563015</v>
      </c>
      <c r="H184">
        <f>VLOOKUP(A184,'EFIG HH'!$B$1:$Y$319,23,FALSE)</f>
        <v>66480.328168551045</v>
      </c>
      <c r="I184">
        <f t="shared" si="46"/>
        <v>239472.07140981907</v>
      </c>
      <c r="J184">
        <f t="shared" si="47"/>
        <v>0</v>
      </c>
      <c r="K184" s="43">
        <f t="shared" si="48"/>
        <v>239472.07140981907</v>
      </c>
      <c r="L184">
        <f t="shared" si="49"/>
        <v>0</v>
      </c>
      <c r="M184">
        <f t="shared" si="50"/>
        <v>0</v>
      </c>
      <c r="N184" s="43">
        <f t="shared" si="51"/>
        <v>239472.07140981907</v>
      </c>
      <c r="O184">
        <f t="shared" si="52"/>
        <v>0</v>
      </c>
      <c r="P184">
        <f t="shared" si="53"/>
        <v>0</v>
      </c>
      <c r="Q184" s="43">
        <f t="shared" si="54"/>
        <v>239472.07140981907</v>
      </c>
      <c r="R184">
        <f t="shared" si="55"/>
        <v>0</v>
      </c>
      <c r="S184">
        <f t="shared" si="56"/>
        <v>0</v>
      </c>
      <c r="T184" s="43">
        <f t="shared" si="57"/>
        <v>239472.07140981907</v>
      </c>
      <c r="U184">
        <f t="shared" si="58"/>
        <v>0</v>
      </c>
      <c r="V184">
        <f t="shared" si="59"/>
        <v>0</v>
      </c>
      <c r="W184" s="43">
        <f t="shared" si="60"/>
        <v>239472.07140981907</v>
      </c>
      <c r="X184" s="43">
        <f t="shared" si="61"/>
        <v>0</v>
      </c>
      <c r="Y184" s="27">
        <f t="shared" si="62"/>
        <v>1834.169849217534</v>
      </c>
      <c r="Z184" s="27">
        <f t="shared" si="63"/>
        <v>237637.90156060155</v>
      </c>
      <c r="AA184">
        <f t="shared" si="64"/>
        <v>0</v>
      </c>
      <c r="AB184" s="27">
        <f t="shared" si="65"/>
        <v>237637.90156060155</v>
      </c>
      <c r="AD184" s="27">
        <f t="shared" si="66"/>
        <v>0</v>
      </c>
      <c r="AE184" s="27">
        <f t="shared" si="67"/>
        <v>237637.90156060155</v>
      </c>
      <c r="AF184" s="50"/>
      <c r="AG184" t="str">
        <f t="shared" si="68"/>
        <v>5306240</v>
      </c>
    </row>
    <row r="185" spans="1:33" hidden="1" x14ac:dyDescent="0.25">
      <c r="A185" s="7" t="s">
        <v>519</v>
      </c>
      <c r="B185" s="2" t="s">
        <v>1014</v>
      </c>
      <c r="C185" s="4" t="s">
        <v>1013</v>
      </c>
      <c r="D185">
        <f>_xlfn.IFNA(VLOOKUP(A185,'Prior Year data'!$A$1:$T$318,12,FALSE),0)</f>
        <v>45027.589960064994</v>
      </c>
      <c r="E185">
        <f>VLOOKUP(A185,'Basic HH'!$B$1:$Y$319,23,FALSE)</f>
        <v>20849.295990208251</v>
      </c>
      <c r="F185">
        <f>VLOOKUP(A185,'Conc. HH'!$B$1:$Y$319,23,FALSE)</f>
        <v>5609.7188344095375</v>
      </c>
      <c r="G185">
        <f>VLOOKUP(A185,'Targeted HH'!$B$1:$Y$319,23,FALSE)</f>
        <v>19252.363030746103</v>
      </c>
      <c r="H185">
        <f>VLOOKUP(A185,'EFIG HH'!$B$1:$Y$319,23,FALSE)</f>
        <v>26103.969626926344</v>
      </c>
      <c r="I185">
        <f t="shared" si="46"/>
        <v>71815.347482290235</v>
      </c>
      <c r="J185">
        <f t="shared" si="47"/>
        <v>71815.347482290235</v>
      </c>
      <c r="K185" s="43">
        <f t="shared" si="48"/>
        <v>65293.717213574135</v>
      </c>
      <c r="L185">
        <f t="shared" si="49"/>
        <v>0</v>
      </c>
      <c r="M185">
        <f t="shared" si="50"/>
        <v>20266.127253509141</v>
      </c>
      <c r="N185" s="43">
        <f t="shared" si="51"/>
        <v>62397.146468745159</v>
      </c>
      <c r="O185">
        <f t="shared" si="52"/>
        <v>0</v>
      </c>
      <c r="P185">
        <f t="shared" si="53"/>
        <v>17369.556508680165</v>
      </c>
      <c r="Q185" s="43">
        <f t="shared" si="54"/>
        <v>62397.146468745159</v>
      </c>
      <c r="R185">
        <f t="shared" si="55"/>
        <v>0</v>
      </c>
      <c r="S185">
        <f t="shared" si="56"/>
        <v>17369.556508680165</v>
      </c>
      <c r="T185" s="43">
        <f t="shared" si="57"/>
        <v>62397.146468745159</v>
      </c>
      <c r="U185">
        <f t="shared" si="58"/>
        <v>0</v>
      </c>
      <c r="V185">
        <f t="shared" si="59"/>
        <v>17369.556508680165</v>
      </c>
      <c r="W185" s="43">
        <f t="shared" si="60"/>
        <v>62397.146468745159</v>
      </c>
      <c r="X185" s="43">
        <f t="shared" si="61"/>
        <v>9418.2010135450764</v>
      </c>
      <c r="Y185" s="27">
        <f t="shared" si="62"/>
        <v>477.91362080935346</v>
      </c>
      <c r="Z185" s="27">
        <f t="shared" si="63"/>
        <v>61919.232847935804</v>
      </c>
      <c r="AA185">
        <f t="shared" si="64"/>
        <v>0</v>
      </c>
      <c r="AB185" s="27">
        <f t="shared" si="65"/>
        <v>61919.232847935804</v>
      </c>
      <c r="AD185" s="27">
        <f t="shared" si="66"/>
        <v>0</v>
      </c>
      <c r="AE185" s="27">
        <f t="shared" si="67"/>
        <v>61919.232847935804</v>
      </c>
      <c r="AF185" s="50"/>
      <c r="AG185" t="str">
        <f t="shared" si="68"/>
        <v>5306270</v>
      </c>
    </row>
    <row r="186" spans="1:33" hidden="1" x14ac:dyDescent="0.25">
      <c r="A186" s="7" t="s">
        <v>521</v>
      </c>
      <c r="B186" s="2" t="s">
        <v>1016</v>
      </c>
      <c r="C186" s="4" t="s">
        <v>1015</v>
      </c>
      <c r="D186">
        <f>_xlfn.IFNA(VLOOKUP(A186,'Prior Year data'!$A$1:$T$318,12,FALSE),0)</f>
        <v>136781.21189503328</v>
      </c>
      <c r="E186">
        <f>VLOOKUP(A186,'Basic HH'!$B$1:$Y$319,23,FALSE)</f>
        <v>72972.535965728792</v>
      </c>
      <c r="F186">
        <f>VLOOKUP(A186,'Conc. HH'!$B$1:$Y$319,23,FALSE)</f>
        <v>0</v>
      </c>
      <c r="G186">
        <f>VLOOKUP(A186,'Targeted HH'!$B$1:$Y$319,23,FALSE)</f>
        <v>35201.734720609333</v>
      </c>
      <c r="H186">
        <f>VLOOKUP(A186,'EFIG HH'!$B$1:$Y$319,23,FALSE)</f>
        <v>47729.466377421253</v>
      </c>
      <c r="I186">
        <f t="shared" si="46"/>
        <v>155903.73706375938</v>
      </c>
      <c r="J186">
        <f t="shared" si="47"/>
        <v>155903.73706375938</v>
      </c>
      <c r="K186" s="43">
        <f t="shared" si="48"/>
        <v>141745.94814695854</v>
      </c>
      <c r="L186">
        <f t="shared" si="49"/>
        <v>0</v>
      </c>
      <c r="M186">
        <f t="shared" si="50"/>
        <v>4964.7362519252638</v>
      </c>
      <c r="N186" s="43">
        <f t="shared" si="51"/>
        <v>141036.35476469906</v>
      </c>
      <c r="O186">
        <f t="shared" si="52"/>
        <v>0</v>
      </c>
      <c r="P186">
        <f t="shared" si="53"/>
        <v>4255.1428696657822</v>
      </c>
      <c r="Q186" s="43">
        <f t="shared" si="54"/>
        <v>141036.35476469906</v>
      </c>
      <c r="R186">
        <f t="shared" si="55"/>
        <v>0</v>
      </c>
      <c r="S186">
        <f t="shared" si="56"/>
        <v>4255.1428696657822</v>
      </c>
      <c r="T186" s="43">
        <f t="shared" si="57"/>
        <v>141036.35476469906</v>
      </c>
      <c r="U186">
        <f t="shared" si="58"/>
        <v>0</v>
      </c>
      <c r="V186">
        <f t="shared" si="59"/>
        <v>4255.1428696657822</v>
      </c>
      <c r="W186" s="43">
        <f t="shared" si="60"/>
        <v>141036.35476469906</v>
      </c>
      <c r="X186" s="43">
        <f t="shared" si="61"/>
        <v>14867.382299060322</v>
      </c>
      <c r="Y186" s="27">
        <f t="shared" si="62"/>
        <v>1080.228805096275</v>
      </c>
      <c r="Z186" s="27">
        <f t="shared" si="63"/>
        <v>139956.1259596028</v>
      </c>
      <c r="AA186">
        <f t="shared" si="64"/>
        <v>0</v>
      </c>
      <c r="AB186" s="27">
        <f t="shared" si="65"/>
        <v>139956.1259596028</v>
      </c>
      <c r="AD186" s="27">
        <f t="shared" si="66"/>
        <v>0</v>
      </c>
      <c r="AE186" s="27">
        <f t="shared" si="67"/>
        <v>139956.1259596028</v>
      </c>
      <c r="AF186" s="50"/>
      <c r="AG186" t="str">
        <f t="shared" si="68"/>
        <v>5306300</v>
      </c>
    </row>
    <row r="187" spans="1:33" hidden="1" x14ac:dyDescent="0.25">
      <c r="A187" s="7" t="s">
        <v>290</v>
      </c>
      <c r="B187" s="2" t="s">
        <v>1018</v>
      </c>
      <c r="C187" s="4" t="s">
        <v>1017</v>
      </c>
      <c r="D187">
        <f>_xlfn.IFNA(VLOOKUP(A187,'Prior Year data'!$A$1:$T$318,12,FALSE),0)</f>
        <v>40104.606866047856</v>
      </c>
      <c r="E187">
        <f>VLOOKUP(A187,'Basic HH'!$B$1:$Y$319,23,FALSE)</f>
        <v>16088.554977325603</v>
      </c>
      <c r="F187">
        <f>VLOOKUP(A187,'Conc. HH'!$B$1:$Y$319,23,FALSE)</f>
        <v>0</v>
      </c>
      <c r="G187">
        <f>VLOOKUP(A187,'Targeted HH'!$B$1:$Y$319,23,FALSE)</f>
        <v>7696.1728616238088</v>
      </c>
      <c r="H187">
        <f>VLOOKUP(A187,'EFIG HH'!$B$1:$Y$319,23,FALSE)</f>
        <v>10578.5284889536</v>
      </c>
      <c r="I187">
        <f t="shared" si="46"/>
        <v>34363.256327903007</v>
      </c>
      <c r="J187">
        <f t="shared" si="47"/>
        <v>0</v>
      </c>
      <c r="K187" s="43">
        <f t="shared" si="48"/>
        <v>34363.256327903007</v>
      </c>
      <c r="L187">
        <f t="shared" si="49"/>
        <v>0</v>
      </c>
      <c r="M187">
        <f t="shared" si="50"/>
        <v>0</v>
      </c>
      <c r="N187" s="43">
        <f t="shared" si="51"/>
        <v>34363.256327903007</v>
      </c>
      <c r="O187">
        <f t="shared" si="52"/>
        <v>0</v>
      </c>
      <c r="P187">
        <f t="shared" si="53"/>
        <v>0</v>
      </c>
      <c r="Q187" s="43">
        <f t="shared" si="54"/>
        <v>34363.256327903007</v>
      </c>
      <c r="R187">
        <f t="shared" si="55"/>
        <v>0</v>
      </c>
      <c r="S187">
        <f t="shared" si="56"/>
        <v>0</v>
      </c>
      <c r="T187" s="43">
        <f t="shared" si="57"/>
        <v>34363.256327903007</v>
      </c>
      <c r="U187">
        <f t="shared" si="58"/>
        <v>0</v>
      </c>
      <c r="V187">
        <f t="shared" si="59"/>
        <v>0</v>
      </c>
      <c r="W187" s="43">
        <f t="shared" si="60"/>
        <v>34363.256327903007</v>
      </c>
      <c r="X187" s="43">
        <f t="shared" si="61"/>
        <v>0</v>
      </c>
      <c r="Y187" s="27">
        <f t="shared" si="62"/>
        <v>263.19582198673459</v>
      </c>
      <c r="Z187" s="27">
        <f t="shared" si="63"/>
        <v>34100.06050591627</v>
      </c>
      <c r="AA187">
        <f t="shared" si="64"/>
        <v>0</v>
      </c>
      <c r="AB187" s="27">
        <f t="shared" si="65"/>
        <v>34100.06050591627</v>
      </c>
      <c r="AD187" s="27">
        <f t="shared" si="66"/>
        <v>0</v>
      </c>
      <c r="AE187" s="27">
        <f t="shared" si="67"/>
        <v>34100.06050591627</v>
      </c>
      <c r="AF187" s="50"/>
      <c r="AG187" t="str">
        <f t="shared" si="68"/>
        <v>5306330</v>
      </c>
    </row>
    <row r="188" spans="1:33" hidden="1" x14ac:dyDescent="0.25">
      <c r="A188" s="7" t="s">
        <v>523</v>
      </c>
      <c r="B188" s="2" t="s">
        <v>1020</v>
      </c>
      <c r="C188" s="4" t="s">
        <v>1019</v>
      </c>
      <c r="D188">
        <f>_xlfn.IFNA(VLOOKUP(A188,'Prior Year data'!$A$1:$T$318,12,FALSE),0)</f>
        <v>76701.251602323202</v>
      </c>
      <c r="E188">
        <f>VLOOKUP(A188,'Basic HH'!$B$1:$Y$319,23,FALSE)</f>
        <v>39092.429981640453</v>
      </c>
      <c r="F188">
        <f>VLOOKUP(A188,'Conc. HH'!$B$1:$Y$319,23,FALSE)</f>
        <v>10518.222814517878</v>
      </c>
      <c r="G188">
        <f>VLOOKUP(A188,'Targeted HH'!$B$1:$Y$319,23,FALSE)</f>
        <v>33565.796959709565</v>
      </c>
      <c r="H188">
        <f>VLOOKUP(A188,'EFIG HH'!$B$1:$Y$319,23,FALSE)</f>
        <v>45511.324658720565</v>
      </c>
      <c r="I188">
        <f t="shared" si="46"/>
        <v>128687.77441458846</v>
      </c>
      <c r="J188">
        <f t="shared" si="47"/>
        <v>128687.77441458846</v>
      </c>
      <c r="K188" s="43">
        <f t="shared" si="48"/>
        <v>117001.49683941067</v>
      </c>
      <c r="L188">
        <f t="shared" si="49"/>
        <v>0</v>
      </c>
      <c r="M188">
        <f t="shared" si="50"/>
        <v>40300.245237087467</v>
      </c>
      <c r="N188" s="43">
        <f t="shared" si="51"/>
        <v>111241.51566969961</v>
      </c>
      <c r="O188">
        <f t="shared" si="52"/>
        <v>0</v>
      </c>
      <c r="P188">
        <f t="shared" si="53"/>
        <v>34540.264067376411</v>
      </c>
      <c r="Q188" s="43">
        <f t="shared" si="54"/>
        <v>111241.51566969961</v>
      </c>
      <c r="R188">
        <f t="shared" si="55"/>
        <v>0</v>
      </c>
      <c r="S188">
        <f t="shared" si="56"/>
        <v>34540.264067376411</v>
      </c>
      <c r="T188" s="43">
        <f t="shared" si="57"/>
        <v>111241.51566969961</v>
      </c>
      <c r="U188">
        <f t="shared" si="58"/>
        <v>0</v>
      </c>
      <c r="V188">
        <f t="shared" si="59"/>
        <v>34540.264067376411</v>
      </c>
      <c r="W188" s="43">
        <f t="shared" si="60"/>
        <v>111241.51566969961</v>
      </c>
      <c r="X188" s="43">
        <f t="shared" si="61"/>
        <v>17446.258744888852</v>
      </c>
      <c r="Y188" s="27">
        <f t="shared" si="62"/>
        <v>852.02350663033019</v>
      </c>
      <c r="Z188" s="27">
        <f t="shared" si="63"/>
        <v>110389.49216306928</v>
      </c>
      <c r="AA188">
        <f t="shared" si="64"/>
        <v>0</v>
      </c>
      <c r="AB188" s="27">
        <f t="shared" si="65"/>
        <v>110389.49216306928</v>
      </c>
      <c r="AD188" s="27">
        <f t="shared" si="66"/>
        <v>0</v>
      </c>
      <c r="AE188" s="27">
        <f t="shared" si="67"/>
        <v>110389.49216306928</v>
      </c>
      <c r="AF188" s="50"/>
      <c r="AG188" t="str">
        <f t="shared" si="68"/>
        <v>5306360</v>
      </c>
    </row>
    <row r="189" spans="1:33" hidden="1" x14ac:dyDescent="0.25">
      <c r="A189" s="7" t="s">
        <v>525</v>
      </c>
      <c r="B189" s="2" t="s">
        <v>1022</v>
      </c>
      <c r="C189" s="4" t="s">
        <v>1021</v>
      </c>
      <c r="D189">
        <f>_xlfn.IFNA(VLOOKUP(A189,'Prior Year data'!$A$1:$T$318,12,FALSE),0)</f>
        <v>124083.93443589075</v>
      </c>
      <c r="E189">
        <f>VLOOKUP(A189,'Basic HH'!$B$1:$Y$319,23,FALSE)</f>
        <v>43473.871671297296</v>
      </c>
      <c r="F189">
        <f>VLOOKUP(A189,'Conc. HH'!$B$1:$Y$319,23,FALSE)</f>
        <v>11303.555176630483</v>
      </c>
      <c r="G189">
        <f>VLOOKUP(A189,'Targeted HH'!$B$1:$Y$319,23,FALSE)</f>
        <v>21880.423920906869</v>
      </c>
      <c r="H189">
        <f>VLOOKUP(A189,'EFIG HH'!$B$1:$Y$319,23,FALSE)</f>
        <v>29633.683288975371</v>
      </c>
      <c r="I189">
        <f t="shared" si="46"/>
        <v>106291.53405781001</v>
      </c>
      <c r="J189">
        <f t="shared" si="47"/>
        <v>0</v>
      </c>
      <c r="K189" s="43">
        <f t="shared" si="48"/>
        <v>106291.53405781001</v>
      </c>
      <c r="L189">
        <f t="shared" si="49"/>
        <v>0</v>
      </c>
      <c r="M189">
        <f t="shared" si="50"/>
        <v>0</v>
      </c>
      <c r="N189" s="43">
        <f t="shared" si="51"/>
        <v>106291.53405781001</v>
      </c>
      <c r="O189">
        <f t="shared" si="52"/>
        <v>0</v>
      </c>
      <c r="P189">
        <f t="shared" si="53"/>
        <v>0</v>
      </c>
      <c r="Q189" s="43">
        <f t="shared" si="54"/>
        <v>106291.53405781001</v>
      </c>
      <c r="R189">
        <f t="shared" si="55"/>
        <v>0</v>
      </c>
      <c r="S189">
        <f t="shared" si="56"/>
        <v>0</v>
      </c>
      <c r="T189" s="43">
        <f t="shared" si="57"/>
        <v>106291.53405781001</v>
      </c>
      <c r="U189">
        <f t="shared" si="58"/>
        <v>0</v>
      </c>
      <c r="V189">
        <f t="shared" si="59"/>
        <v>0</v>
      </c>
      <c r="W189" s="43">
        <f t="shared" si="60"/>
        <v>106291.53405781001</v>
      </c>
      <c r="X189" s="43">
        <f t="shared" si="61"/>
        <v>0</v>
      </c>
      <c r="Y189" s="27">
        <f t="shared" si="62"/>
        <v>814.11049667781833</v>
      </c>
      <c r="Z189" s="27">
        <f t="shared" si="63"/>
        <v>105477.42356113219</v>
      </c>
      <c r="AA189">
        <f t="shared" si="64"/>
        <v>0</v>
      </c>
      <c r="AB189" s="27">
        <f t="shared" si="65"/>
        <v>105477.42356113219</v>
      </c>
      <c r="AD189" s="27">
        <f t="shared" si="66"/>
        <v>0</v>
      </c>
      <c r="AE189" s="27">
        <f t="shared" si="67"/>
        <v>105477.42356113219</v>
      </c>
      <c r="AF189" s="50"/>
      <c r="AG189" t="str">
        <f t="shared" si="68"/>
        <v>5306390</v>
      </c>
    </row>
    <row r="190" spans="1:33" hidden="1" x14ac:dyDescent="0.25">
      <c r="A190" s="7" t="s">
        <v>527</v>
      </c>
      <c r="B190" s="2" t="s">
        <v>1024</v>
      </c>
      <c r="C190" s="4" t="s">
        <v>1023</v>
      </c>
      <c r="D190">
        <f>_xlfn.IFNA(VLOOKUP(A190,'Prior Year data'!$A$1:$T$318,12,FALSE),0)</f>
        <v>733255.33035609988</v>
      </c>
      <c r="E190">
        <f>VLOOKUP(A190,'Basic HH'!$B$1:$Y$319,23,FALSE)</f>
        <v>199529.33695055248</v>
      </c>
      <c r="F190">
        <f>VLOOKUP(A190,'Conc. HH'!$B$1:$Y$319,23,FALSE)</f>
        <v>51879.227289207352</v>
      </c>
      <c r="G190">
        <f>VLOOKUP(A190,'Targeted HH'!$B$1:$Y$319,23,FALSE)</f>
        <v>175697.61470436701</v>
      </c>
      <c r="H190">
        <f>VLOOKUP(A190,'EFIG HH'!$B$1:$Y$319,23,FALSE)</f>
        <v>237955.51162986047</v>
      </c>
      <c r="I190">
        <f t="shared" si="46"/>
        <v>665061.69057398732</v>
      </c>
      <c r="J190">
        <f t="shared" si="47"/>
        <v>0</v>
      </c>
      <c r="K190" s="43">
        <f t="shared" si="48"/>
        <v>665061.69057398732</v>
      </c>
      <c r="L190">
        <f t="shared" si="49"/>
        <v>0</v>
      </c>
      <c r="M190">
        <f t="shared" si="50"/>
        <v>0</v>
      </c>
      <c r="N190" s="43">
        <f t="shared" si="51"/>
        <v>665061.69057398732</v>
      </c>
      <c r="O190">
        <f t="shared" si="52"/>
        <v>0</v>
      </c>
      <c r="P190">
        <f t="shared" si="53"/>
        <v>0</v>
      </c>
      <c r="Q190" s="43">
        <f t="shared" si="54"/>
        <v>665061.69057398732</v>
      </c>
      <c r="R190">
        <f t="shared" si="55"/>
        <v>0</v>
      </c>
      <c r="S190">
        <f t="shared" si="56"/>
        <v>0</v>
      </c>
      <c r="T190" s="43">
        <f t="shared" si="57"/>
        <v>665061.69057398732</v>
      </c>
      <c r="U190">
        <f t="shared" si="58"/>
        <v>0</v>
      </c>
      <c r="V190">
        <f t="shared" si="59"/>
        <v>0</v>
      </c>
      <c r="W190" s="43">
        <f t="shared" si="60"/>
        <v>665061.69057398732</v>
      </c>
      <c r="X190" s="43">
        <f t="shared" si="61"/>
        <v>0</v>
      </c>
      <c r="Y190" s="27">
        <f t="shared" si="62"/>
        <v>5093.8553858871055</v>
      </c>
      <c r="Z190" s="27">
        <f t="shared" si="63"/>
        <v>659967.83518810023</v>
      </c>
      <c r="AA190">
        <f t="shared" si="64"/>
        <v>0</v>
      </c>
      <c r="AB190" s="27">
        <f t="shared" si="65"/>
        <v>659967.83518810023</v>
      </c>
      <c r="AD190" s="27">
        <f t="shared" si="66"/>
        <v>0</v>
      </c>
      <c r="AE190" s="27">
        <f t="shared" si="67"/>
        <v>659967.83518810023</v>
      </c>
      <c r="AF190" s="50"/>
      <c r="AG190" t="str">
        <f t="shared" si="68"/>
        <v>5306420</v>
      </c>
    </row>
    <row r="191" spans="1:33" hidden="1" x14ac:dyDescent="0.25">
      <c r="A191" s="7" t="s">
        <v>292</v>
      </c>
      <c r="B191" s="2" t="s">
        <v>1026</v>
      </c>
      <c r="C191" s="4" t="s">
        <v>1025</v>
      </c>
      <c r="D191">
        <f>_xlfn.IFNA(VLOOKUP(A191,'Prior Year data'!$A$1:$T$318,12,FALSE),0)</f>
        <v>315368.0449011944</v>
      </c>
      <c r="E191">
        <f>VLOOKUP(A191,'Basic HH'!$B$1:$Y$319,23,FALSE)</f>
        <v>146813.79259771635</v>
      </c>
      <c r="F191">
        <f>VLOOKUP(A191,'Conc. HH'!$B$1:$Y$319,23,FALSE)</f>
        <v>0</v>
      </c>
      <c r="G191">
        <f>VLOOKUP(A191,'Targeted HH'!$B$1:$Y$319,23,FALSE)</f>
        <v>70822.537711702113</v>
      </c>
      <c r="H191">
        <f>VLOOKUP(A191,'EFIG HH'!$B$1:$Y$319,23,FALSE)</f>
        <v>96027.140687907042</v>
      </c>
      <c r="I191">
        <f t="shared" si="46"/>
        <v>313663.47099732549</v>
      </c>
      <c r="J191">
        <f t="shared" si="47"/>
        <v>0</v>
      </c>
      <c r="K191" s="43">
        <f t="shared" si="48"/>
        <v>313663.47099732549</v>
      </c>
      <c r="L191">
        <f t="shared" si="49"/>
        <v>0</v>
      </c>
      <c r="M191">
        <f t="shared" si="50"/>
        <v>0</v>
      </c>
      <c r="N191" s="43">
        <f t="shared" si="51"/>
        <v>313663.47099732549</v>
      </c>
      <c r="O191">
        <f t="shared" si="52"/>
        <v>0</v>
      </c>
      <c r="P191">
        <f t="shared" si="53"/>
        <v>0</v>
      </c>
      <c r="Q191" s="43">
        <f t="shared" si="54"/>
        <v>313663.47099732549</v>
      </c>
      <c r="R191">
        <f t="shared" si="55"/>
        <v>0</v>
      </c>
      <c r="S191">
        <f t="shared" si="56"/>
        <v>0</v>
      </c>
      <c r="T191" s="43">
        <f t="shared" si="57"/>
        <v>313663.47099732549</v>
      </c>
      <c r="U191">
        <f t="shared" si="58"/>
        <v>0</v>
      </c>
      <c r="V191">
        <f t="shared" si="59"/>
        <v>0</v>
      </c>
      <c r="W191" s="43">
        <f t="shared" si="60"/>
        <v>313663.47099732549</v>
      </c>
      <c r="X191" s="43">
        <f t="shared" si="61"/>
        <v>0</v>
      </c>
      <c r="Y191" s="27">
        <f t="shared" si="62"/>
        <v>2402.4182774936457</v>
      </c>
      <c r="Z191" s="27">
        <f t="shared" si="63"/>
        <v>311261.05271983187</v>
      </c>
      <c r="AA191">
        <f t="shared" si="64"/>
        <v>0</v>
      </c>
      <c r="AB191" s="27">
        <f t="shared" si="65"/>
        <v>311261.05271983187</v>
      </c>
      <c r="AD191" s="27">
        <f t="shared" si="66"/>
        <v>0</v>
      </c>
      <c r="AE191" s="27">
        <f t="shared" si="67"/>
        <v>311261.05271983187</v>
      </c>
      <c r="AF191" s="50"/>
      <c r="AG191" t="str">
        <f t="shared" si="68"/>
        <v>5306450</v>
      </c>
    </row>
    <row r="192" spans="1:33" hidden="1" x14ac:dyDescent="0.25">
      <c r="A192" s="7" t="s">
        <v>529</v>
      </c>
      <c r="B192" s="2" t="s">
        <v>1028</v>
      </c>
      <c r="C192" s="4" t="s">
        <v>1027</v>
      </c>
      <c r="D192">
        <f>_xlfn.IFNA(VLOOKUP(A192,'Prior Year data'!$A$1:$T$318,12,FALSE),0)</f>
        <v>1674378.0042818442</v>
      </c>
      <c r="E192">
        <f>VLOOKUP(A192,'Basic HH'!$B$1:$Y$319,23,FALSE)</f>
        <v>784454.76163158531</v>
      </c>
      <c r="F192">
        <f>VLOOKUP(A192,'Conc. HH'!$B$1:$Y$319,23,FALSE)</f>
        <v>211065.67114465876</v>
      </c>
      <c r="G192">
        <f>VLOOKUP(A192,'Targeted HH'!$B$1:$Y$319,23,FALSE)</f>
        <v>440113.20851789002</v>
      </c>
      <c r="H192">
        <f>VLOOKUP(A192,'EFIG HH'!$B$1:$Y$319,23,FALSE)</f>
        <v>596742.42633034685</v>
      </c>
      <c r="I192">
        <f t="shared" si="46"/>
        <v>2032376.0676244809</v>
      </c>
      <c r="J192">
        <f t="shared" si="47"/>
        <v>2032376.0676244809</v>
      </c>
      <c r="K192" s="43">
        <f t="shared" si="48"/>
        <v>1847813.7735646691</v>
      </c>
      <c r="L192">
        <f t="shared" si="49"/>
        <v>0</v>
      </c>
      <c r="M192">
        <f t="shared" si="50"/>
        <v>173435.76928282483</v>
      </c>
      <c r="N192" s="43">
        <f t="shared" si="51"/>
        <v>1823025.1709309542</v>
      </c>
      <c r="O192">
        <f t="shared" si="52"/>
        <v>0</v>
      </c>
      <c r="P192">
        <f t="shared" si="53"/>
        <v>148647.16664910992</v>
      </c>
      <c r="Q192" s="43">
        <f t="shared" si="54"/>
        <v>1823025.1709309542</v>
      </c>
      <c r="R192">
        <f t="shared" si="55"/>
        <v>0</v>
      </c>
      <c r="S192">
        <f t="shared" si="56"/>
        <v>148647.16664910992</v>
      </c>
      <c r="T192" s="43">
        <f t="shared" si="57"/>
        <v>1823025.1709309542</v>
      </c>
      <c r="U192">
        <f t="shared" si="58"/>
        <v>0</v>
      </c>
      <c r="V192">
        <f t="shared" si="59"/>
        <v>148647.16664910992</v>
      </c>
      <c r="W192" s="43">
        <f t="shared" si="60"/>
        <v>1823025.1709309542</v>
      </c>
      <c r="X192" s="43">
        <f t="shared" si="61"/>
        <v>209350.89669352677</v>
      </c>
      <c r="Y192" s="27">
        <f t="shared" si="62"/>
        <v>13962.955192231631</v>
      </c>
      <c r="Z192" s="27">
        <f t="shared" si="63"/>
        <v>1809062.2157387226</v>
      </c>
      <c r="AA192">
        <f t="shared" si="64"/>
        <v>0</v>
      </c>
      <c r="AB192" s="27">
        <f t="shared" si="65"/>
        <v>1809062.2157387226</v>
      </c>
      <c r="AD192" s="27">
        <f t="shared" si="66"/>
        <v>0</v>
      </c>
      <c r="AE192" s="27">
        <f t="shared" si="67"/>
        <v>1809062.2157387226</v>
      </c>
      <c r="AF192" s="50"/>
      <c r="AG192" t="str">
        <f t="shared" si="68"/>
        <v>5306480</v>
      </c>
    </row>
    <row r="193" spans="1:33" hidden="1" x14ac:dyDescent="0.25">
      <c r="A193" s="7" t="s">
        <v>531</v>
      </c>
      <c r="B193" s="2" t="s">
        <v>1030</v>
      </c>
      <c r="C193" s="4" t="s">
        <v>1029</v>
      </c>
      <c r="D193">
        <f>_xlfn.IFNA(VLOOKUP(A193,'Prior Year data'!$A$1:$T$318,12,FALSE),0)</f>
        <v>23761.799646043146</v>
      </c>
      <c r="E193">
        <f>VLOOKUP(A193,'Basic HH'!$B$1:$Y$319,23,FALSE)</f>
        <v>0</v>
      </c>
      <c r="F193">
        <f>VLOOKUP(A193,'Conc. HH'!$B$1:$Y$319,23,FALSE)</f>
        <v>2102.5690869090085</v>
      </c>
      <c r="G193">
        <f>VLOOKUP(A193,'Targeted HH'!$B$1:$Y$319,23,FALSE)</f>
        <v>0</v>
      </c>
      <c r="H193">
        <f>VLOOKUP(A193,'EFIG HH'!$B$1:$Y$319,23,FALSE)</f>
        <v>0</v>
      </c>
      <c r="I193">
        <f t="shared" si="46"/>
        <v>2102.5690869090085</v>
      </c>
      <c r="J193">
        <f t="shared" si="47"/>
        <v>0</v>
      </c>
      <c r="K193" s="43">
        <f t="shared" si="48"/>
        <v>2102.5690869090085</v>
      </c>
      <c r="L193">
        <f t="shared" si="49"/>
        <v>0</v>
      </c>
      <c r="M193">
        <f t="shared" si="50"/>
        <v>0</v>
      </c>
      <c r="N193" s="43">
        <f t="shared" si="51"/>
        <v>2102.5690869090085</v>
      </c>
      <c r="O193">
        <f t="shared" si="52"/>
        <v>0</v>
      </c>
      <c r="P193">
        <f t="shared" si="53"/>
        <v>0</v>
      </c>
      <c r="Q193" s="43">
        <f t="shared" si="54"/>
        <v>2102.5690869090085</v>
      </c>
      <c r="R193">
        <f t="shared" si="55"/>
        <v>0</v>
      </c>
      <c r="S193">
        <f t="shared" si="56"/>
        <v>0</v>
      </c>
      <c r="T193" s="43">
        <f t="shared" si="57"/>
        <v>2102.5690869090085</v>
      </c>
      <c r="U193">
        <f t="shared" si="58"/>
        <v>0</v>
      </c>
      <c r="V193">
        <f t="shared" si="59"/>
        <v>0</v>
      </c>
      <c r="W193" s="43">
        <f t="shared" si="60"/>
        <v>2102.5690869090085</v>
      </c>
      <c r="X193" s="43">
        <f t="shared" si="61"/>
        <v>0</v>
      </c>
      <c r="Y193" s="27">
        <f t="shared" si="62"/>
        <v>16.104044210256149</v>
      </c>
      <c r="Z193" s="27">
        <f t="shared" si="63"/>
        <v>2086.4650426987523</v>
      </c>
      <c r="AA193">
        <f t="shared" si="64"/>
        <v>0</v>
      </c>
      <c r="AB193" s="27">
        <f t="shared" si="65"/>
        <v>2086.4650426987523</v>
      </c>
      <c r="AD193" s="27">
        <f t="shared" si="66"/>
        <v>0</v>
      </c>
      <c r="AE193" s="27">
        <f t="shared" si="67"/>
        <v>2086.4650426987523</v>
      </c>
      <c r="AF193" s="50"/>
      <c r="AG193" t="str">
        <f t="shared" si="68"/>
        <v>5306510</v>
      </c>
    </row>
    <row r="194" spans="1:33" hidden="1" x14ac:dyDescent="0.25">
      <c r="A194" s="7" t="s">
        <v>533</v>
      </c>
      <c r="B194" s="2" t="s">
        <v>1032</v>
      </c>
      <c r="C194" s="4" t="s">
        <v>1031</v>
      </c>
      <c r="D194">
        <f>_xlfn.IFNA(VLOOKUP(A194,'Prior Year data'!$A$1:$T$318,12,FALSE),0)</f>
        <v>15672.919064777241</v>
      </c>
      <c r="E194">
        <f>VLOOKUP(A194,'Basic HH'!$B$1:$Y$319,23,FALSE)</f>
        <v>13425.578566093693</v>
      </c>
      <c r="F194">
        <f>VLOOKUP(A194,'Conc. HH'!$B$1:$Y$319,23,FALSE)</f>
        <v>0</v>
      </c>
      <c r="G194">
        <f>VLOOKUP(A194,'Targeted HH'!$B$1:$Y$319,23,FALSE)</f>
        <v>0</v>
      </c>
      <c r="H194">
        <f>VLOOKUP(A194,'EFIG HH'!$B$1:$Y$319,23,FALSE)</f>
        <v>0</v>
      </c>
      <c r="I194">
        <f t="shared" si="46"/>
        <v>13425.578566093693</v>
      </c>
      <c r="J194">
        <f t="shared" si="47"/>
        <v>0</v>
      </c>
      <c r="K194" s="43">
        <f t="shared" si="48"/>
        <v>13425.578566093693</v>
      </c>
      <c r="L194">
        <f t="shared" si="49"/>
        <v>0</v>
      </c>
      <c r="M194">
        <f t="shared" si="50"/>
        <v>0</v>
      </c>
      <c r="N194" s="43">
        <f t="shared" si="51"/>
        <v>13425.578566093693</v>
      </c>
      <c r="O194">
        <f t="shared" si="52"/>
        <v>0</v>
      </c>
      <c r="P194">
        <f t="shared" si="53"/>
        <v>0</v>
      </c>
      <c r="Q194" s="43">
        <f t="shared" si="54"/>
        <v>13425.578566093693</v>
      </c>
      <c r="R194">
        <f t="shared" si="55"/>
        <v>0</v>
      </c>
      <c r="S194">
        <f t="shared" si="56"/>
        <v>0</v>
      </c>
      <c r="T194" s="43">
        <f t="shared" si="57"/>
        <v>13425.578566093693</v>
      </c>
      <c r="U194">
        <f t="shared" si="58"/>
        <v>0</v>
      </c>
      <c r="V194">
        <f t="shared" si="59"/>
        <v>0</v>
      </c>
      <c r="W194" s="43">
        <f t="shared" si="60"/>
        <v>13425.578566093693</v>
      </c>
      <c r="X194" s="43">
        <f t="shared" si="61"/>
        <v>0</v>
      </c>
      <c r="Y194" s="27">
        <f t="shared" si="62"/>
        <v>102.82949184537155</v>
      </c>
      <c r="Z194" s="27">
        <f t="shared" si="63"/>
        <v>13322.749074248321</v>
      </c>
      <c r="AA194">
        <f t="shared" si="64"/>
        <v>0</v>
      </c>
      <c r="AB194" s="27">
        <f t="shared" si="65"/>
        <v>13322.749074248321</v>
      </c>
      <c r="AD194" s="27">
        <f t="shared" si="66"/>
        <v>0</v>
      </c>
      <c r="AE194" s="27">
        <f t="shared" si="67"/>
        <v>13322.749074248321</v>
      </c>
      <c r="AF194" s="50"/>
      <c r="AG194" t="str">
        <f t="shared" si="68"/>
        <v>5306540</v>
      </c>
    </row>
    <row r="195" spans="1:33" hidden="1" x14ac:dyDescent="0.25">
      <c r="A195" s="7" t="s">
        <v>651</v>
      </c>
      <c r="B195" s="2" t="s">
        <v>652</v>
      </c>
      <c r="C195" s="1"/>
      <c r="D195">
        <f>_xlfn.IFNA(VLOOKUP(A195,'Prior Year data'!$A$1:$T$318,12,FALSE),0)</f>
        <v>2026586.0053553237</v>
      </c>
      <c r="E195">
        <f>VLOOKUP(A195,'Basic HH'!$B$1:$Y$319,23,FALSE)</f>
        <v>823555.38067352574</v>
      </c>
      <c r="F195">
        <f>VLOOKUP(A195,'Conc. HH'!$B$1:$Y$319,23,FALSE)</f>
        <v>203598.04963984294</v>
      </c>
      <c r="G195">
        <f>VLOOKUP(A195,'Targeted HH'!$B$1:$Y$319,23,FALSE)</f>
        <v>392116.44266631908</v>
      </c>
      <c r="H195">
        <f>VLOOKUP(A195,'EFIG HH'!$B$1:$Y$319,23,FALSE)</f>
        <v>520958.44262796786</v>
      </c>
      <c r="I195">
        <f t="shared" si="46"/>
        <v>1940228.3156076556</v>
      </c>
      <c r="J195">
        <f t="shared" si="47"/>
        <v>0</v>
      </c>
      <c r="K195" s="43">
        <f t="shared" si="48"/>
        <v>1940228.3156076556</v>
      </c>
      <c r="L195">
        <f t="shared" si="49"/>
        <v>0</v>
      </c>
      <c r="M195">
        <f t="shared" si="50"/>
        <v>0</v>
      </c>
      <c r="N195" s="43">
        <f t="shared" si="51"/>
        <v>1940228.3156076556</v>
      </c>
      <c r="O195">
        <f t="shared" si="52"/>
        <v>0</v>
      </c>
      <c r="P195">
        <f t="shared" si="53"/>
        <v>0</v>
      </c>
      <c r="Q195" s="43">
        <f t="shared" si="54"/>
        <v>1940228.3156076556</v>
      </c>
      <c r="R195">
        <f t="shared" si="55"/>
        <v>0</v>
      </c>
      <c r="S195">
        <f t="shared" si="56"/>
        <v>0</v>
      </c>
      <c r="T195" s="43">
        <f t="shared" si="57"/>
        <v>1940228.3156076556</v>
      </c>
      <c r="U195">
        <f t="shared" si="58"/>
        <v>0</v>
      </c>
      <c r="V195">
        <f t="shared" si="59"/>
        <v>0</v>
      </c>
      <c r="W195" s="43">
        <f t="shared" si="60"/>
        <v>1940228.3156076556</v>
      </c>
      <c r="X195" s="43">
        <f t="shared" si="61"/>
        <v>0</v>
      </c>
      <c r="Y195" s="27">
        <f t="shared" si="62"/>
        <v>14860.640141185857</v>
      </c>
      <c r="Z195" s="27">
        <f t="shared" si="63"/>
        <v>1925367.6754664697</v>
      </c>
      <c r="AA195">
        <f t="shared" si="64"/>
        <v>0</v>
      </c>
      <c r="AB195" s="27">
        <f t="shared" si="65"/>
        <v>1925367.6754664697</v>
      </c>
      <c r="AD195" s="27">
        <f t="shared" si="66"/>
        <v>0</v>
      </c>
      <c r="AE195" s="27">
        <f t="shared" si="67"/>
        <v>1925367.6754664697</v>
      </c>
      <c r="AF195" s="50"/>
      <c r="AG195" t="str">
        <f t="shared" si="68"/>
        <v>5399999</v>
      </c>
    </row>
    <row r="196" spans="1:33" hidden="1" x14ac:dyDescent="0.25">
      <c r="A196" s="7" t="s">
        <v>535</v>
      </c>
      <c r="B196" s="2" t="s">
        <v>1034</v>
      </c>
      <c r="C196" s="4" t="s">
        <v>1033</v>
      </c>
      <c r="D196">
        <f>_xlfn.IFNA(VLOOKUP(A196,'Prior Year data'!$A$1:$T$318,12,FALSE),0)</f>
        <v>5756812.3639370287</v>
      </c>
      <c r="E196">
        <f>VLOOKUP(A196,'Basic HH'!$B$1:$Y$319,23,FALSE)</f>
        <v>2772956.366697697</v>
      </c>
      <c r="F196">
        <f>VLOOKUP(A196,'Conc. HH'!$B$1:$Y$319,23,FALSE)</f>
        <v>746092.60497646825</v>
      </c>
      <c r="G196">
        <f>VLOOKUP(A196,'Targeted HH'!$B$1:$Y$319,23,FALSE)</f>
        <v>2056577.5373975032</v>
      </c>
      <c r="H196">
        <f>VLOOKUP(A196,'EFIG HH'!$B$1:$Y$319,23,FALSE)</f>
        <v>2788480.4315142236</v>
      </c>
      <c r="I196">
        <f t="shared" ref="I196:I259" si="69">SUM(E196:H196)</f>
        <v>8364106.9405858926</v>
      </c>
      <c r="J196">
        <f t="shared" ref="J196:J259" si="70">IF(I196&lt;D196,0,I196)</f>
        <v>8364106.9405858926</v>
      </c>
      <c r="K196" s="43">
        <f t="shared" ref="K196:K259" si="71">IF(J196=0,I196,I196-$K$1*J196/$J$3)</f>
        <v>7604553.2392276293</v>
      </c>
      <c r="L196">
        <f t="shared" ref="L196:L259" si="72">IF($J196=0,0,IF(K196&lt;$D196,$D196-K196,0))</f>
        <v>0</v>
      </c>
      <c r="M196">
        <f t="shared" ref="M196:M259" si="73">IF($J196=0,0,IF(L196&gt;0,0,K196-$D196))</f>
        <v>1847740.8752906006</v>
      </c>
      <c r="N196" s="43">
        <f t="shared" ref="N196:N259" si="74">IF(L196&gt;0,L196+K196,K196-$L$3*M196/$M$3)</f>
        <v>7340461.72847958</v>
      </c>
      <c r="O196">
        <f t="shared" ref="O196:O259" si="75">IF($J196=0,0,IF(N196&lt;$D196,$D196-N196,0))</f>
        <v>0</v>
      </c>
      <c r="P196">
        <f t="shared" ref="P196:P259" si="76">IF($J196=0,0,IF(O196&gt;0,0,N196-$D196))</f>
        <v>1583649.3645425513</v>
      </c>
      <c r="Q196" s="43">
        <f t="shared" ref="Q196:Q259" si="77">IF(O196&gt;0,O196+N196,N196-$O$3*P196/$P$3)</f>
        <v>7340461.72847958</v>
      </c>
      <c r="R196">
        <f t="shared" ref="R196:R259" si="78">IF($J196=0,0,IF(Q196&lt;$D196,$D196-Q196,0))</f>
        <v>0</v>
      </c>
      <c r="S196">
        <f t="shared" ref="S196:S259" si="79">IF($J196=0,0,IF(R196&gt;0,0,Q196-$D196))</f>
        <v>1583649.3645425513</v>
      </c>
      <c r="T196" s="43">
        <f t="shared" ref="T196:T259" si="80">IF(R196&gt;0,R196+Q196,Q196-$R$3*S196/$S$3)</f>
        <v>7340461.72847958</v>
      </c>
      <c r="U196">
        <f t="shared" ref="U196:U259" si="81">IF($J196=0,0,IF(T196&lt;$D196,$D196-T196,0))</f>
        <v>0</v>
      </c>
      <c r="V196">
        <f t="shared" ref="V196:V259" si="82">IF($J196=0,0,IF(U196&gt;0,0,T196-$D196))</f>
        <v>1583649.3645425513</v>
      </c>
      <c r="W196" s="43">
        <f t="shared" ref="W196:W259" si="83">IF(U196&gt;0,U196+T196,T196-$U$3*V196/$V$3)</f>
        <v>7340461.72847958</v>
      </c>
      <c r="X196" s="43">
        <f t="shared" ref="X196:X259" si="84">I196-W196</f>
        <v>1023645.2121063126</v>
      </c>
      <c r="Y196" s="27">
        <f t="shared" ref="Y196:Y259" si="85">W196/$W$3*$Y$1</f>
        <v>56222.228765339103</v>
      </c>
      <c r="Z196" s="27">
        <f t="shared" ref="Z196:Z259" si="86">W196-Y196</f>
        <v>7284239.4997142414</v>
      </c>
      <c r="AA196">
        <f t="shared" ref="AA196:AA259" si="87">Z196/$Z$3*$AA$1</f>
        <v>0</v>
      </c>
      <c r="AB196" s="27">
        <f t="shared" ref="AB196:AB259" si="88">Z196-AA196</f>
        <v>7284239.4997142414</v>
      </c>
      <c r="AD196" s="27">
        <f t="shared" ref="AD196:AD259" si="89">IF(AC196&gt;0,AC196*AB196,0)</f>
        <v>0</v>
      </c>
      <c r="AE196" s="27">
        <f t="shared" ref="AE196:AE259" si="90">AB196-AD196</f>
        <v>7284239.4997142414</v>
      </c>
      <c r="AF196" s="50"/>
      <c r="AG196" t="str">
        <f t="shared" ref="AG196:AG259" si="91">A196</f>
        <v>5306570</v>
      </c>
    </row>
    <row r="197" spans="1:33" hidden="1" x14ac:dyDescent="0.25">
      <c r="A197" s="7" t="s">
        <v>537</v>
      </c>
      <c r="B197" s="2" t="s">
        <v>1036</v>
      </c>
      <c r="C197" s="4" t="s">
        <v>1035</v>
      </c>
      <c r="D197">
        <f>_xlfn.IFNA(VLOOKUP(A197,'Prior Year data'!$A$1:$T$318,12,FALSE),0)</f>
        <v>120819.74557554601</v>
      </c>
      <c r="E197">
        <f>VLOOKUP(A197,'Basic HH'!$B$1:$Y$319,23,FALSE)</f>
        <v>37729.576315330087</v>
      </c>
      <c r="F197">
        <f>VLOOKUP(A197,'Conc. HH'!$B$1:$Y$319,23,FALSE)</f>
        <v>9809.9923304690983</v>
      </c>
      <c r="G197">
        <f>VLOOKUP(A197,'Targeted HH'!$B$1:$Y$319,23,FALSE)</f>
        <v>23767.028483033719</v>
      </c>
      <c r="H197">
        <f>VLOOKUP(A197,'EFIG HH'!$B$1:$Y$319,23,FALSE)</f>
        <v>32188.800241356883</v>
      </c>
      <c r="I197">
        <f t="shared" si="69"/>
        <v>103495.39737018978</v>
      </c>
      <c r="J197">
        <f t="shared" si="70"/>
        <v>0</v>
      </c>
      <c r="K197" s="43">
        <f t="shared" si="71"/>
        <v>103495.39737018978</v>
      </c>
      <c r="L197">
        <f t="shared" si="72"/>
        <v>0</v>
      </c>
      <c r="M197">
        <f t="shared" si="73"/>
        <v>0</v>
      </c>
      <c r="N197" s="43">
        <f t="shared" si="74"/>
        <v>103495.39737018978</v>
      </c>
      <c r="O197">
        <f t="shared" si="75"/>
        <v>0</v>
      </c>
      <c r="P197">
        <f t="shared" si="76"/>
        <v>0</v>
      </c>
      <c r="Q197" s="43">
        <f t="shared" si="77"/>
        <v>103495.39737018978</v>
      </c>
      <c r="R197">
        <f t="shared" si="78"/>
        <v>0</v>
      </c>
      <c r="S197">
        <f t="shared" si="79"/>
        <v>0</v>
      </c>
      <c r="T197" s="43">
        <f t="shared" si="80"/>
        <v>103495.39737018978</v>
      </c>
      <c r="U197">
        <f t="shared" si="81"/>
        <v>0</v>
      </c>
      <c r="V197">
        <f t="shared" si="82"/>
        <v>0</v>
      </c>
      <c r="W197" s="43">
        <f t="shared" si="83"/>
        <v>103495.39737018978</v>
      </c>
      <c r="X197" s="43">
        <f t="shared" si="84"/>
        <v>0</v>
      </c>
      <c r="Y197" s="27">
        <f t="shared" si="85"/>
        <v>792.69426397673124</v>
      </c>
      <c r="Z197" s="27">
        <f t="shared" si="86"/>
        <v>102702.70310621304</v>
      </c>
      <c r="AA197">
        <f t="shared" si="87"/>
        <v>0</v>
      </c>
      <c r="AB197" s="27">
        <f t="shared" si="88"/>
        <v>102702.70310621304</v>
      </c>
      <c r="AD197" s="27">
        <f t="shared" si="89"/>
        <v>0</v>
      </c>
      <c r="AE197" s="27">
        <f t="shared" si="90"/>
        <v>102702.70310621304</v>
      </c>
      <c r="AF197" s="50"/>
      <c r="AG197" t="str">
        <f t="shared" si="91"/>
        <v>5306600</v>
      </c>
    </row>
    <row r="198" spans="1:33" hidden="1" x14ac:dyDescent="0.25">
      <c r="A198" s="7" t="s">
        <v>191</v>
      </c>
      <c r="B198" s="2" t="s">
        <v>1038</v>
      </c>
      <c r="C198" s="4" t="s">
        <v>1037</v>
      </c>
      <c r="D198">
        <f>_xlfn.IFNA(VLOOKUP(A198,'Prior Year data'!$A$1:$T$318,12,FALSE),0)</f>
        <v>0</v>
      </c>
      <c r="E198">
        <f>VLOOKUP(A198,'Basic HH'!$B$1:$Y$319,23,FALSE)</f>
        <v>0</v>
      </c>
      <c r="F198">
        <f>VLOOKUP(A198,'Conc. HH'!$B$1:$Y$319,23,FALSE)</f>
        <v>0</v>
      </c>
      <c r="G198">
        <f>VLOOKUP(A198,'Targeted HH'!$B$1:$Y$319,23,FALSE)</f>
        <v>0</v>
      </c>
      <c r="H198">
        <f>VLOOKUP(A198,'EFIG HH'!$B$1:$Y$319,23,FALSE)</f>
        <v>0</v>
      </c>
      <c r="I198">
        <f t="shared" si="69"/>
        <v>0</v>
      </c>
      <c r="J198">
        <f t="shared" si="70"/>
        <v>0</v>
      </c>
      <c r="K198" s="43">
        <f t="shared" si="71"/>
        <v>0</v>
      </c>
      <c r="L198">
        <f t="shared" si="72"/>
        <v>0</v>
      </c>
      <c r="M198">
        <f t="shared" si="73"/>
        <v>0</v>
      </c>
      <c r="N198" s="43">
        <f t="shared" si="74"/>
        <v>0</v>
      </c>
      <c r="O198">
        <f t="shared" si="75"/>
        <v>0</v>
      </c>
      <c r="P198">
        <f t="shared" si="76"/>
        <v>0</v>
      </c>
      <c r="Q198" s="43">
        <f t="shared" si="77"/>
        <v>0</v>
      </c>
      <c r="R198">
        <f t="shared" si="78"/>
        <v>0</v>
      </c>
      <c r="S198">
        <f t="shared" si="79"/>
        <v>0</v>
      </c>
      <c r="T198" s="43">
        <f t="shared" si="80"/>
        <v>0</v>
      </c>
      <c r="U198">
        <f t="shared" si="81"/>
        <v>0</v>
      </c>
      <c r="V198">
        <f t="shared" si="82"/>
        <v>0</v>
      </c>
      <c r="W198" s="43">
        <f t="shared" si="83"/>
        <v>0</v>
      </c>
      <c r="X198" s="43">
        <f t="shared" si="84"/>
        <v>0</v>
      </c>
      <c r="Y198" s="27">
        <f t="shared" si="85"/>
        <v>0</v>
      </c>
      <c r="Z198" s="27">
        <f t="shared" si="86"/>
        <v>0</v>
      </c>
      <c r="AA198">
        <f t="shared" si="87"/>
        <v>0</v>
      </c>
      <c r="AB198" s="27">
        <f t="shared" si="88"/>
        <v>0</v>
      </c>
      <c r="AD198" s="27">
        <f t="shared" si="89"/>
        <v>0</v>
      </c>
      <c r="AE198" s="27">
        <f t="shared" si="90"/>
        <v>0</v>
      </c>
      <c r="AF198" s="50"/>
      <c r="AG198" t="str">
        <f t="shared" si="91"/>
        <v>5306630</v>
      </c>
    </row>
    <row r="199" spans="1:33" hidden="1" x14ac:dyDescent="0.25">
      <c r="A199" s="7" t="s">
        <v>294</v>
      </c>
      <c r="B199" s="2" t="s">
        <v>1040</v>
      </c>
      <c r="C199" s="4" t="s">
        <v>1039</v>
      </c>
      <c r="D199">
        <f>_xlfn.IFNA(VLOOKUP(A199,'Prior Year data'!$A$1:$T$318,12,FALSE),0)</f>
        <v>57656.575557054799</v>
      </c>
      <c r="E199">
        <f>VLOOKUP(A199,'Basic HH'!$B$1:$Y$319,23,FALSE)</f>
        <v>23858.408552341083</v>
      </c>
      <c r="F199">
        <f>VLOOKUP(A199,'Conc. HH'!$B$1:$Y$319,23,FALSE)</f>
        <v>0</v>
      </c>
      <c r="G199">
        <f>VLOOKUP(A199,'Targeted HH'!$B$1:$Y$319,23,FALSE)</f>
        <v>10844.106621815814</v>
      </c>
      <c r="H199">
        <f>VLOOKUP(A199,'EFIG HH'!$B$1:$Y$319,23,FALSE)</f>
        <v>14686.681681506079</v>
      </c>
      <c r="I199">
        <f t="shared" si="69"/>
        <v>49389.19685566298</v>
      </c>
      <c r="J199">
        <f t="shared" si="70"/>
        <v>0</v>
      </c>
      <c r="K199" s="43">
        <f t="shared" si="71"/>
        <v>49389.19685566298</v>
      </c>
      <c r="L199">
        <f t="shared" si="72"/>
        <v>0</v>
      </c>
      <c r="M199">
        <f t="shared" si="73"/>
        <v>0</v>
      </c>
      <c r="N199" s="43">
        <f t="shared" si="74"/>
        <v>49389.19685566298</v>
      </c>
      <c r="O199">
        <f t="shared" si="75"/>
        <v>0</v>
      </c>
      <c r="P199">
        <f t="shared" si="76"/>
        <v>0</v>
      </c>
      <c r="Q199" s="43">
        <f t="shared" si="77"/>
        <v>49389.19685566298</v>
      </c>
      <c r="R199">
        <f t="shared" si="78"/>
        <v>0</v>
      </c>
      <c r="S199">
        <f t="shared" si="79"/>
        <v>0</v>
      </c>
      <c r="T199" s="43">
        <f t="shared" si="80"/>
        <v>49389.19685566298</v>
      </c>
      <c r="U199">
        <f t="shared" si="81"/>
        <v>0</v>
      </c>
      <c r="V199">
        <f t="shared" si="82"/>
        <v>0</v>
      </c>
      <c r="W199" s="43">
        <f t="shared" si="83"/>
        <v>49389.19685566298</v>
      </c>
      <c r="X199" s="43">
        <f t="shared" si="84"/>
        <v>0</v>
      </c>
      <c r="Y199" s="27">
        <f t="shared" si="85"/>
        <v>378.28284198827907</v>
      </c>
      <c r="Z199" s="27">
        <f t="shared" si="86"/>
        <v>49010.914013674701</v>
      </c>
      <c r="AA199">
        <f t="shared" si="87"/>
        <v>0</v>
      </c>
      <c r="AB199" s="27">
        <f t="shared" si="88"/>
        <v>49010.914013674701</v>
      </c>
      <c r="AD199" s="27">
        <f t="shared" si="89"/>
        <v>0</v>
      </c>
      <c r="AE199" s="27">
        <f t="shared" si="90"/>
        <v>49010.914013674701</v>
      </c>
      <c r="AF199" s="50"/>
      <c r="AG199" t="str">
        <f t="shared" si="91"/>
        <v>5306660</v>
      </c>
    </row>
    <row r="200" spans="1:33" hidden="1" x14ac:dyDescent="0.25">
      <c r="A200" s="7" t="s">
        <v>193</v>
      </c>
      <c r="B200" s="2" t="s">
        <v>1042</v>
      </c>
      <c r="C200" s="4" t="s">
        <v>1041</v>
      </c>
      <c r="D200">
        <f>_xlfn.IFNA(VLOOKUP(A200,'Prior Year data'!$A$1:$T$318,12,FALSE),0)</f>
        <v>455781.54509891698</v>
      </c>
      <c r="E200">
        <f>VLOOKUP(A200,'Basic HH'!$B$1:$Y$319,23,FALSE)</f>
        <v>454340.90845328814</v>
      </c>
      <c r="F200">
        <f>VLOOKUP(A200,'Conc. HH'!$B$1:$Y$319,23,FALSE)</f>
        <v>0</v>
      </c>
      <c r="G200">
        <f>VLOOKUP(A200,'Targeted HH'!$B$1:$Y$319,23,FALSE)</f>
        <v>0</v>
      </c>
      <c r="H200">
        <f>VLOOKUP(A200,'EFIG HH'!$B$1:$Y$319,23,FALSE)</f>
        <v>0</v>
      </c>
      <c r="I200">
        <f t="shared" si="69"/>
        <v>454340.90845328814</v>
      </c>
      <c r="J200">
        <f t="shared" si="70"/>
        <v>0</v>
      </c>
      <c r="K200" s="43">
        <f t="shared" si="71"/>
        <v>454340.90845328814</v>
      </c>
      <c r="L200">
        <f t="shared" si="72"/>
        <v>0</v>
      </c>
      <c r="M200">
        <f t="shared" si="73"/>
        <v>0</v>
      </c>
      <c r="N200" s="43">
        <f t="shared" si="74"/>
        <v>454340.90845328814</v>
      </c>
      <c r="O200">
        <f t="shared" si="75"/>
        <v>0</v>
      </c>
      <c r="P200">
        <f t="shared" si="76"/>
        <v>0</v>
      </c>
      <c r="Q200" s="43">
        <f t="shared" si="77"/>
        <v>454340.90845328814</v>
      </c>
      <c r="R200">
        <f t="shared" si="78"/>
        <v>0</v>
      </c>
      <c r="S200">
        <f t="shared" si="79"/>
        <v>0</v>
      </c>
      <c r="T200" s="43">
        <f t="shared" si="80"/>
        <v>454340.90845328814</v>
      </c>
      <c r="U200">
        <f t="shared" si="81"/>
        <v>0</v>
      </c>
      <c r="V200">
        <f t="shared" si="82"/>
        <v>0</v>
      </c>
      <c r="W200" s="43">
        <f t="shared" si="83"/>
        <v>454340.90845328814</v>
      </c>
      <c r="X200" s="43">
        <f t="shared" si="84"/>
        <v>0</v>
      </c>
      <c r="Y200" s="27">
        <f t="shared" si="85"/>
        <v>3479.898055105542</v>
      </c>
      <c r="Z200" s="27">
        <f t="shared" si="86"/>
        <v>450861.01039818261</v>
      </c>
      <c r="AA200">
        <f t="shared" si="87"/>
        <v>0</v>
      </c>
      <c r="AB200" s="27">
        <f t="shared" si="88"/>
        <v>450861.01039818261</v>
      </c>
      <c r="AD200" s="27">
        <f t="shared" si="89"/>
        <v>0</v>
      </c>
      <c r="AE200" s="27">
        <f t="shared" si="90"/>
        <v>450861.01039818261</v>
      </c>
      <c r="AF200" s="50"/>
      <c r="AG200" t="str">
        <f t="shared" si="91"/>
        <v>5306690</v>
      </c>
    </row>
    <row r="201" spans="1:33" hidden="1" x14ac:dyDescent="0.25">
      <c r="A201" s="7" t="s">
        <v>83</v>
      </c>
      <c r="B201" s="2" t="s">
        <v>1043</v>
      </c>
      <c r="C201" s="4" t="s">
        <v>52</v>
      </c>
      <c r="D201">
        <f>_xlfn.IFNA(VLOOKUP(A201,'Prior Year data'!$A$1:$T$318,12,FALSE),0)</f>
        <v>52359.013407534097</v>
      </c>
      <c r="E201">
        <f>VLOOKUP(A201,'Basic HH'!$B$1:$Y$319,23,FALSE)</f>
        <v>20459.812303283823</v>
      </c>
      <c r="F201">
        <f>VLOOKUP(A201,'Conc. HH'!$B$1:$Y$319,23,FALSE)</f>
        <v>0</v>
      </c>
      <c r="G201">
        <f>VLOOKUP(A201,'Targeted HH'!$B$1:$Y$319,23,FALSE)</f>
        <v>11681.918852626652</v>
      </c>
      <c r="H201">
        <f>VLOOKUP(A201,'EFIG HH'!$B$1:$Y$319,23,FALSE)</f>
        <v>15839.326031105209</v>
      </c>
      <c r="I201">
        <f t="shared" si="69"/>
        <v>47981.057187015685</v>
      </c>
      <c r="J201">
        <f t="shared" si="70"/>
        <v>0</v>
      </c>
      <c r="K201" s="43">
        <f t="shared" si="71"/>
        <v>47981.057187015685</v>
      </c>
      <c r="L201">
        <f t="shared" si="72"/>
        <v>0</v>
      </c>
      <c r="M201">
        <f t="shared" si="73"/>
        <v>0</v>
      </c>
      <c r="N201" s="43">
        <f t="shared" si="74"/>
        <v>47981.057187015685</v>
      </c>
      <c r="O201">
        <f t="shared" si="75"/>
        <v>0</v>
      </c>
      <c r="P201">
        <f t="shared" si="76"/>
        <v>0</v>
      </c>
      <c r="Q201" s="43">
        <f t="shared" si="77"/>
        <v>47981.057187015685</v>
      </c>
      <c r="R201">
        <f t="shared" si="78"/>
        <v>0</v>
      </c>
      <c r="S201">
        <f t="shared" si="79"/>
        <v>0</v>
      </c>
      <c r="T201" s="43">
        <f t="shared" si="80"/>
        <v>47981.057187015685</v>
      </c>
      <c r="U201">
        <f t="shared" si="81"/>
        <v>0</v>
      </c>
      <c r="V201">
        <f t="shared" si="82"/>
        <v>0</v>
      </c>
      <c r="W201" s="43">
        <f t="shared" si="83"/>
        <v>47981.057187015685</v>
      </c>
      <c r="X201" s="43">
        <f t="shared" si="84"/>
        <v>0</v>
      </c>
      <c r="Y201" s="27">
        <f t="shared" si="85"/>
        <v>367.49758712112572</v>
      </c>
      <c r="Z201" s="27">
        <f t="shared" si="86"/>
        <v>47613.559599894557</v>
      </c>
      <c r="AA201">
        <f t="shared" si="87"/>
        <v>0</v>
      </c>
      <c r="AB201" s="27">
        <f t="shared" si="88"/>
        <v>47613.559599894557</v>
      </c>
      <c r="AD201" s="27">
        <f t="shared" si="89"/>
        <v>0</v>
      </c>
      <c r="AE201" s="27">
        <f t="shared" si="90"/>
        <v>47613.559599894557</v>
      </c>
      <c r="AF201" s="50"/>
      <c r="AG201" t="str">
        <f t="shared" si="91"/>
        <v>5306770</v>
      </c>
    </row>
    <row r="202" spans="1:33" hidden="1" x14ac:dyDescent="0.25">
      <c r="A202" s="7" t="s">
        <v>539</v>
      </c>
      <c r="B202" s="2" t="s">
        <v>1045</v>
      </c>
      <c r="C202" s="4" t="s">
        <v>1044</v>
      </c>
      <c r="D202">
        <f>_xlfn.IFNA(VLOOKUP(A202,'Prior Year data'!$A$1:$T$318,12,FALSE),0)</f>
        <v>419000.98514274723</v>
      </c>
      <c r="E202">
        <f>VLOOKUP(A202,'Basic HH'!$B$1:$Y$319,23,FALSE)</f>
        <v>146813.79259771635</v>
      </c>
      <c r="F202">
        <f>VLOOKUP(A202,'Conc. HH'!$B$1:$Y$319,23,FALSE)</f>
        <v>38067.047760051493</v>
      </c>
      <c r="G202">
        <f>VLOOKUP(A202,'Targeted HH'!$B$1:$Y$319,23,FALSE)</f>
        <v>73775.444403139627</v>
      </c>
      <c r="H202">
        <f>VLOOKUP(A202,'EFIG HH'!$B$1:$Y$319,23,FALSE)</f>
        <v>101731.44377278694</v>
      </c>
      <c r="I202">
        <f t="shared" si="69"/>
        <v>360387.7285336944</v>
      </c>
      <c r="J202">
        <f t="shared" si="70"/>
        <v>0</v>
      </c>
      <c r="K202" s="43">
        <f t="shared" si="71"/>
        <v>360387.7285336944</v>
      </c>
      <c r="L202">
        <f t="shared" si="72"/>
        <v>0</v>
      </c>
      <c r="M202">
        <f t="shared" si="73"/>
        <v>0</v>
      </c>
      <c r="N202" s="43">
        <f t="shared" si="74"/>
        <v>360387.7285336944</v>
      </c>
      <c r="O202">
        <f t="shared" si="75"/>
        <v>0</v>
      </c>
      <c r="P202">
        <f t="shared" si="76"/>
        <v>0</v>
      </c>
      <c r="Q202" s="43">
        <f t="shared" si="77"/>
        <v>360387.7285336944</v>
      </c>
      <c r="R202">
        <f t="shared" si="78"/>
        <v>0</v>
      </c>
      <c r="S202">
        <f t="shared" si="79"/>
        <v>0</v>
      </c>
      <c r="T202" s="43">
        <f t="shared" si="80"/>
        <v>360387.7285336944</v>
      </c>
      <c r="U202">
        <f t="shared" si="81"/>
        <v>0</v>
      </c>
      <c r="V202">
        <f t="shared" si="82"/>
        <v>0</v>
      </c>
      <c r="W202" s="43">
        <f t="shared" si="83"/>
        <v>360387.7285336944</v>
      </c>
      <c r="X202" s="43">
        <f t="shared" si="84"/>
        <v>0</v>
      </c>
      <c r="Y202" s="27">
        <f t="shared" si="85"/>
        <v>2760.2897566007873</v>
      </c>
      <c r="Z202" s="27">
        <f t="shared" si="86"/>
        <v>357627.4387770936</v>
      </c>
      <c r="AA202">
        <f t="shared" si="87"/>
        <v>0</v>
      </c>
      <c r="AB202" s="27">
        <f t="shared" si="88"/>
        <v>357627.4387770936</v>
      </c>
      <c r="AD202" s="27">
        <f t="shared" si="89"/>
        <v>0</v>
      </c>
      <c r="AE202" s="27">
        <f t="shared" si="90"/>
        <v>357627.4387770936</v>
      </c>
      <c r="AF202" s="50"/>
      <c r="AG202" t="str">
        <f t="shared" si="91"/>
        <v>5306750</v>
      </c>
    </row>
    <row r="203" spans="1:33" x14ac:dyDescent="0.25">
      <c r="A203" s="7" t="s">
        <v>541</v>
      </c>
      <c r="B203" s="2" t="s">
        <v>1047</v>
      </c>
      <c r="C203" s="4" t="s">
        <v>1046</v>
      </c>
      <c r="D203">
        <f>_xlfn.IFNA(VLOOKUP(A203,'Prior Year data'!$A$1:$T$318,12,FALSE),0)</f>
        <v>118619.74656570303</v>
      </c>
      <c r="E203">
        <f>VLOOKUP(A203,'Basic HH'!$B$1:$Y$319,23,FALSE)</f>
        <v>51254.51930926193</v>
      </c>
      <c r="F203">
        <f>VLOOKUP(A203,'Conc. HH'!$B$1:$Y$319,23,FALSE)</f>
        <v>13790.558801256777</v>
      </c>
      <c r="G203">
        <f>VLOOKUP(A203,'Targeted HH'!$B$1:$Y$319,23,FALSE)</f>
        <v>25816.25420045463</v>
      </c>
      <c r="H203">
        <f>VLOOKUP(A203,'EFIG HH'!$B$1:$Y$319,23,FALSE)</f>
        <v>35484.907297151942</v>
      </c>
      <c r="I203">
        <f t="shared" si="69"/>
        <v>126346.23960812527</v>
      </c>
      <c r="J203">
        <f t="shared" si="70"/>
        <v>126346.23960812527</v>
      </c>
      <c r="K203" s="43">
        <f t="shared" si="71"/>
        <v>114872.59937029166</v>
      </c>
      <c r="L203">
        <f t="shared" si="72"/>
        <v>3747.1471954113658</v>
      </c>
      <c r="M203">
        <f t="shared" si="73"/>
        <v>0</v>
      </c>
      <c r="N203" s="43">
        <f t="shared" si="74"/>
        <v>118619.74656570303</v>
      </c>
      <c r="O203">
        <f t="shared" si="75"/>
        <v>0</v>
      </c>
      <c r="P203">
        <f t="shared" si="76"/>
        <v>0</v>
      </c>
      <c r="Q203" s="43">
        <f t="shared" si="77"/>
        <v>118619.74656570303</v>
      </c>
      <c r="R203">
        <f t="shared" si="78"/>
        <v>0</v>
      </c>
      <c r="S203">
        <f t="shared" si="79"/>
        <v>0</v>
      </c>
      <c r="T203" s="43">
        <f t="shared" si="80"/>
        <v>118619.74656570303</v>
      </c>
      <c r="U203">
        <f t="shared" si="81"/>
        <v>0</v>
      </c>
      <c r="V203">
        <f t="shared" si="82"/>
        <v>0</v>
      </c>
      <c r="W203" s="43">
        <f t="shared" si="83"/>
        <v>118619.74656570303</v>
      </c>
      <c r="X203" s="43">
        <f t="shared" si="84"/>
        <v>7726.4930424222403</v>
      </c>
      <c r="Y203" s="27">
        <f t="shared" si="85"/>
        <v>908.53501784891921</v>
      </c>
      <c r="Z203" s="27">
        <f t="shared" si="86"/>
        <v>117711.21154785411</v>
      </c>
      <c r="AA203">
        <f t="shared" si="87"/>
        <v>0</v>
      </c>
      <c r="AB203" s="27">
        <f t="shared" si="88"/>
        <v>117711.21154785411</v>
      </c>
      <c r="AD203" s="27">
        <f t="shared" si="89"/>
        <v>0</v>
      </c>
      <c r="AE203" s="27">
        <f t="shared" si="90"/>
        <v>117711.21154785411</v>
      </c>
      <c r="AF203" s="50"/>
      <c r="AG203" t="str">
        <f t="shared" si="91"/>
        <v>5306780</v>
      </c>
    </row>
    <row r="204" spans="1:33" x14ac:dyDescent="0.25">
      <c r="A204" s="7" t="s">
        <v>543</v>
      </c>
      <c r="B204" s="2" t="s">
        <v>1049</v>
      </c>
      <c r="C204" s="4" t="s">
        <v>1048</v>
      </c>
      <c r="D204">
        <f>_xlfn.IFNA(VLOOKUP(A204,'Prior Year data'!$A$1:$T$318,12,FALSE),0)</f>
        <v>1211432.8899039363</v>
      </c>
      <c r="E204">
        <f>VLOOKUP(A204,'Basic HH'!$B$1:$Y$319,23,FALSE)</f>
        <v>527313.44441901671</v>
      </c>
      <c r="F204">
        <f>VLOOKUP(A204,'Conc. HH'!$B$1:$Y$319,23,FALSE)</f>
        <v>108605.78014303076</v>
      </c>
      <c r="G204">
        <f>VLOOKUP(A204,'Targeted HH'!$B$1:$Y$319,23,FALSE)</f>
        <v>254374.4401834507</v>
      </c>
      <c r="H204">
        <f>VLOOKUP(A204,'EFIG HH'!$B$1:$Y$319,23,FALSE)</f>
        <v>344902.21537017496</v>
      </c>
      <c r="I204">
        <f t="shared" si="69"/>
        <v>1235195.8801156732</v>
      </c>
      <c r="J204">
        <f t="shared" si="70"/>
        <v>1235195.8801156732</v>
      </c>
      <c r="K204" s="43">
        <f t="shared" si="71"/>
        <v>1123026.3909748974</v>
      </c>
      <c r="L204">
        <f t="shared" si="72"/>
        <v>88406.498929038877</v>
      </c>
      <c r="M204">
        <f t="shared" si="73"/>
        <v>0</v>
      </c>
      <c r="N204" s="43">
        <f t="shared" si="74"/>
        <v>1211432.8899039363</v>
      </c>
      <c r="O204">
        <f t="shared" si="75"/>
        <v>0</v>
      </c>
      <c r="P204">
        <f t="shared" si="76"/>
        <v>0</v>
      </c>
      <c r="Q204" s="43">
        <f t="shared" si="77"/>
        <v>1211432.8899039363</v>
      </c>
      <c r="R204">
        <f t="shared" si="78"/>
        <v>0</v>
      </c>
      <c r="S204">
        <f t="shared" si="79"/>
        <v>0</v>
      </c>
      <c r="T204" s="43">
        <f t="shared" si="80"/>
        <v>1211432.8899039363</v>
      </c>
      <c r="U204">
        <f t="shared" si="81"/>
        <v>0</v>
      </c>
      <c r="V204">
        <f t="shared" si="82"/>
        <v>0</v>
      </c>
      <c r="W204" s="43">
        <f t="shared" si="83"/>
        <v>1211432.8899039363</v>
      </c>
      <c r="X204" s="43">
        <f t="shared" si="84"/>
        <v>23762.990211736877</v>
      </c>
      <c r="Y204" s="27">
        <f t="shared" si="85"/>
        <v>9278.6339047015772</v>
      </c>
      <c r="Z204" s="27">
        <f t="shared" si="86"/>
        <v>1202154.2559992347</v>
      </c>
      <c r="AA204">
        <f t="shared" si="87"/>
        <v>0</v>
      </c>
      <c r="AB204" s="27">
        <f t="shared" si="88"/>
        <v>1202154.2559992347</v>
      </c>
      <c r="AD204" s="27">
        <f t="shared" si="89"/>
        <v>0</v>
      </c>
      <c r="AE204" s="27">
        <f t="shared" si="90"/>
        <v>1202154.2559992347</v>
      </c>
      <c r="AF204" s="50"/>
      <c r="AG204" t="str">
        <f t="shared" si="91"/>
        <v>5306820</v>
      </c>
    </row>
    <row r="205" spans="1:33" x14ac:dyDescent="0.25">
      <c r="A205" s="7" t="s">
        <v>545</v>
      </c>
      <c r="B205" s="2" t="s">
        <v>1051</v>
      </c>
      <c r="C205" s="4" t="s">
        <v>1050</v>
      </c>
      <c r="D205">
        <f>_xlfn.IFNA(VLOOKUP(A205,'Prior Year data'!$A$1:$T$318,12,FALSE),0)</f>
        <v>475472.79366118135</v>
      </c>
      <c r="E205">
        <f>VLOOKUP(A205,'Basic HH'!$B$1:$Y$319,23,FALSE)</f>
        <v>196330.87057446092</v>
      </c>
      <c r="F205">
        <f>VLOOKUP(A205,'Conc. HH'!$B$1:$Y$319,23,FALSE)</f>
        <v>52824.852357356445</v>
      </c>
      <c r="G205">
        <f>VLOOKUP(A205,'Targeted HH'!$B$1:$Y$319,23,FALSE)</f>
        <v>101838.09471138469</v>
      </c>
      <c r="H205">
        <f>VLOOKUP(A205,'EFIG HH'!$B$1:$Y$319,23,FALSE)</f>
        <v>138080.63596996336</v>
      </c>
      <c r="I205">
        <f t="shared" si="69"/>
        <v>489074.45361316542</v>
      </c>
      <c r="J205">
        <f t="shared" si="70"/>
        <v>489074.45361316542</v>
      </c>
      <c r="K205" s="43">
        <f t="shared" si="71"/>
        <v>444661.06744768098</v>
      </c>
      <c r="L205">
        <f t="shared" si="72"/>
        <v>30811.726213500369</v>
      </c>
      <c r="M205">
        <f t="shared" si="73"/>
        <v>0</v>
      </c>
      <c r="N205" s="43">
        <f t="shared" si="74"/>
        <v>475472.79366118135</v>
      </c>
      <c r="O205">
        <f t="shared" si="75"/>
        <v>0</v>
      </c>
      <c r="P205">
        <f t="shared" si="76"/>
        <v>0</v>
      </c>
      <c r="Q205" s="43">
        <f t="shared" si="77"/>
        <v>475472.79366118135</v>
      </c>
      <c r="R205">
        <f t="shared" si="78"/>
        <v>0</v>
      </c>
      <c r="S205">
        <f t="shared" si="79"/>
        <v>0</v>
      </c>
      <c r="T205" s="43">
        <f t="shared" si="80"/>
        <v>475472.79366118135</v>
      </c>
      <c r="U205">
        <f t="shared" si="81"/>
        <v>0</v>
      </c>
      <c r="V205">
        <f t="shared" si="82"/>
        <v>0</v>
      </c>
      <c r="W205" s="43">
        <f t="shared" si="83"/>
        <v>475472.79366118135</v>
      </c>
      <c r="X205" s="43">
        <f t="shared" si="84"/>
        <v>13601.659951984067</v>
      </c>
      <c r="Y205" s="27">
        <f t="shared" si="85"/>
        <v>3641.7518632647116</v>
      </c>
      <c r="Z205" s="27">
        <f t="shared" si="86"/>
        <v>471831.04179791664</v>
      </c>
      <c r="AA205">
        <f t="shared" si="87"/>
        <v>0</v>
      </c>
      <c r="AB205" s="27">
        <f t="shared" si="88"/>
        <v>471831.04179791664</v>
      </c>
      <c r="AD205" s="27">
        <f t="shared" si="89"/>
        <v>0</v>
      </c>
      <c r="AE205" s="27">
        <f t="shared" si="90"/>
        <v>471831.04179791664</v>
      </c>
      <c r="AF205" s="50"/>
      <c r="AG205" t="str">
        <f t="shared" si="91"/>
        <v>5306840</v>
      </c>
    </row>
    <row r="206" spans="1:33" hidden="1" x14ac:dyDescent="0.25">
      <c r="A206" s="7" t="s">
        <v>547</v>
      </c>
      <c r="B206" s="2" t="s">
        <v>1053</v>
      </c>
      <c r="C206" s="4" t="s">
        <v>1052</v>
      </c>
      <c r="D206">
        <f>_xlfn.IFNA(VLOOKUP(A206,'Prior Year data'!$A$1:$T$318,12,FALSE),0)</f>
        <v>80988.063601167261</v>
      </c>
      <c r="E206">
        <f>VLOOKUP(A206,'Basic HH'!$B$1:$Y$319,23,FALSE)</f>
        <v>59941.725971848675</v>
      </c>
      <c r="F206">
        <f>VLOOKUP(A206,'Conc. HH'!$B$1:$Y$319,23,FALSE)</f>
        <v>16127.941648927421</v>
      </c>
      <c r="G206">
        <f>VLOOKUP(A206,'Targeted HH'!$B$1:$Y$319,23,FALSE)</f>
        <v>33659.521578403204</v>
      </c>
      <c r="H206">
        <f>VLOOKUP(A206,'EFIG HH'!$B$1:$Y$319,23,FALSE)</f>
        <v>45638.404362950438</v>
      </c>
      <c r="I206">
        <f t="shared" si="69"/>
        <v>155367.59356212974</v>
      </c>
      <c r="J206">
        <f t="shared" si="70"/>
        <v>155367.59356212974</v>
      </c>
      <c r="K206" s="43">
        <f t="shared" si="71"/>
        <v>141258.49242323689</v>
      </c>
      <c r="L206">
        <f t="shared" si="72"/>
        <v>0</v>
      </c>
      <c r="M206">
        <f t="shared" si="73"/>
        <v>60270.428822069633</v>
      </c>
      <c r="N206" s="43">
        <f t="shared" si="74"/>
        <v>132644.23876142415</v>
      </c>
      <c r="O206">
        <f t="shared" si="75"/>
        <v>0</v>
      </c>
      <c r="P206">
        <f t="shared" si="76"/>
        <v>51656.175160256884</v>
      </c>
      <c r="Q206" s="43">
        <f t="shared" si="77"/>
        <v>132644.23876142415</v>
      </c>
      <c r="R206">
        <f t="shared" si="78"/>
        <v>0</v>
      </c>
      <c r="S206">
        <f t="shared" si="79"/>
        <v>51656.175160256884</v>
      </c>
      <c r="T206" s="43">
        <f t="shared" si="80"/>
        <v>132644.23876142415</v>
      </c>
      <c r="U206">
        <f t="shared" si="81"/>
        <v>0</v>
      </c>
      <c r="V206">
        <f t="shared" si="82"/>
        <v>51656.175160256884</v>
      </c>
      <c r="W206" s="43">
        <f t="shared" si="83"/>
        <v>132644.23876142415</v>
      </c>
      <c r="X206" s="43">
        <f t="shared" si="84"/>
        <v>22723.354800705594</v>
      </c>
      <c r="Y206" s="27">
        <f t="shared" si="85"/>
        <v>1015.9517223712469</v>
      </c>
      <c r="Z206" s="27">
        <f t="shared" si="86"/>
        <v>131628.2870390529</v>
      </c>
      <c r="AA206">
        <f t="shared" si="87"/>
        <v>0</v>
      </c>
      <c r="AB206" s="27">
        <f t="shared" si="88"/>
        <v>131628.2870390529</v>
      </c>
      <c r="AD206" s="27">
        <f t="shared" si="89"/>
        <v>0</v>
      </c>
      <c r="AE206" s="27">
        <f t="shared" si="90"/>
        <v>131628.2870390529</v>
      </c>
      <c r="AF206" s="50"/>
      <c r="AG206" t="str">
        <f t="shared" si="91"/>
        <v>5306870</v>
      </c>
    </row>
    <row r="207" spans="1:33" hidden="1" x14ac:dyDescent="0.25">
      <c r="A207" s="7" t="s">
        <v>77</v>
      </c>
      <c r="B207" s="2" t="s">
        <v>1054</v>
      </c>
      <c r="C207" s="4" t="s">
        <v>33</v>
      </c>
      <c r="D207">
        <f>_xlfn.IFNA(VLOOKUP(A207,'Prior Year data'!$A$1:$T$318,12,FALSE),0)</f>
        <v>188866.78191619221</v>
      </c>
      <c r="E207">
        <f>VLOOKUP(A207,'Basic HH'!$B$1:$Y$319,23,FALSE)</f>
        <v>46802.418223052831</v>
      </c>
      <c r="F207">
        <f>VLOOKUP(A207,'Conc. HH'!$B$1:$Y$319,23,FALSE)</f>
        <v>12331.665858523715</v>
      </c>
      <c r="G207">
        <f>VLOOKUP(A207,'Targeted HH'!$B$1:$Y$319,23,FALSE)</f>
        <v>39444.524193136269</v>
      </c>
      <c r="H207">
        <f>VLOOKUP(A207,'EFIG HH'!$B$1:$Y$319,23,FALSE)</f>
        <v>54217.210347621163</v>
      </c>
      <c r="I207">
        <f t="shared" si="69"/>
        <v>152795.81862233399</v>
      </c>
      <c r="J207">
        <f t="shared" si="70"/>
        <v>0</v>
      </c>
      <c r="K207" s="43">
        <f t="shared" si="71"/>
        <v>152795.81862233399</v>
      </c>
      <c r="L207">
        <f t="shared" si="72"/>
        <v>0</v>
      </c>
      <c r="M207">
        <f t="shared" si="73"/>
        <v>0</v>
      </c>
      <c r="N207" s="43">
        <f t="shared" si="74"/>
        <v>152795.81862233399</v>
      </c>
      <c r="O207">
        <f t="shared" si="75"/>
        <v>0</v>
      </c>
      <c r="P207">
        <f t="shared" si="76"/>
        <v>0</v>
      </c>
      <c r="Q207" s="43">
        <f t="shared" si="77"/>
        <v>152795.81862233399</v>
      </c>
      <c r="R207">
        <f t="shared" si="78"/>
        <v>0</v>
      </c>
      <c r="S207">
        <f t="shared" si="79"/>
        <v>0</v>
      </c>
      <c r="T207" s="43">
        <f t="shared" si="80"/>
        <v>152795.81862233399</v>
      </c>
      <c r="U207">
        <f t="shared" si="81"/>
        <v>0</v>
      </c>
      <c r="V207">
        <f t="shared" si="82"/>
        <v>0</v>
      </c>
      <c r="W207" s="43">
        <f t="shared" si="83"/>
        <v>152795.81862233399</v>
      </c>
      <c r="X207" s="43">
        <f t="shared" si="84"/>
        <v>0</v>
      </c>
      <c r="Y207" s="27">
        <f t="shared" si="85"/>
        <v>1170.2971538755594</v>
      </c>
      <c r="Z207" s="27">
        <f t="shared" si="86"/>
        <v>151625.52146845844</v>
      </c>
      <c r="AA207">
        <f t="shared" si="87"/>
        <v>0</v>
      </c>
      <c r="AB207" s="27">
        <f t="shared" si="88"/>
        <v>151625.52146845844</v>
      </c>
      <c r="AD207" s="27">
        <f t="shared" si="89"/>
        <v>0</v>
      </c>
      <c r="AE207" s="27">
        <f t="shared" si="90"/>
        <v>151625.52146845844</v>
      </c>
      <c r="AF207" s="50"/>
      <c r="AG207" t="str">
        <f t="shared" si="91"/>
        <v>5306890</v>
      </c>
    </row>
    <row r="208" spans="1:33" x14ac:dyDescent="0.25">
      <c r="A208" s="7" t="s">
        <v>549</v>
      </c>
      <c r="B208" s="2" t="s">
        <v>1056</v>
      </c>
      <c r="C208" s="4" t="s">
        <v>1055</v>
      </c>
      <c r="D208">
        <f>_xlfn.IFNA(VLOOKUP(A208,'Prior Year data'!$A$1:$T$318,12,FALSE),0)</f>
        <v>710173.86216177756</v>
      </c>
      <c r="E208">
        <f>VLOOKUP(A208,'Basic HH'!$B$1:$Y$319,23,FALSE)</f>
        <v>311001.9985206062</v>
      </c>
      <c r="F208">
        <f>VLOOKUP(A208,'Conc. HH'!$B$1:$Y$319,23,FALSE)</f>
        <v>66701.131457351032</v>
      </c>
      <c r="G208">
        <f>VLOOKUP(A208,'Targeted HH'!$B$1:$Y$319,23,FALSE)</f>
        <v>150026.44083307308</v>
      </c>
      <c r="H208">
        <f>VLOOKUP(A208,'EFIG HH'!$B$1:$Y$319,23,FALSE)</f>
        <v>203418.44003710483</v>
      </c>
      <c r="I208">
        <f t="shared" si="69"/>
        <v>731148.01084813522</v>
      </c>
      <c r="J208">
        <f t="shared" si="70"/>
        <v>731148.01084813522</v>
      </c>
      <c r="K208" s="43">
        <f t="shared" si="71"/>
        <v>664751.66012888774</v>
      </c>
      <c r="L208">
        <f t="shared" si="72"/>
        <v>45422.202032889822</v>
      </c>
      <c r="M208">
        <f t="shared" si="73"/>
        <v>0</v>
      </c>
      <c r="N208" s="43">
        <f t="shared" si="74"/>
        <v>710173.86216177756</v>
      </c>
      <c r="O208">
        <f t="shared" si="75"/>
        <v>0</v>
      </c>
      <c r="P208">
        <f t="shared" si="76"/>
        <v>0</v>
      </c>
      <c r="Q208" s="43">
        <f t="shared" si="77"/>
        <v>710173.86216177756</v>
      </c>
      <c r="R208">
        <f t="shared" si="78"/>
        <v>0</v>
      </c>
      <c r="S208">
        <f t="shared" si="79"/>
        <v>0</v>
      </c>
      <c r="T208" s="43">
        <f t="shared" si="80"/>
        <v>710173.86216177756</v>
      </c>
      <c r="U208">
        <f t="shared" si="81"/>
        <v>0</v>
      </c>
      <c r="V208">
        <f t="shared" si="82"/>
        <v>0</v>
      </c>
      <c r="W208" s="43">
        <f t="shared" si="83"/>
        <v>710173.86216177756</v>
      </c>
      <c r="X208" s="43">
        <f t="shared" si="84"/>
        <v>20974.148686357657</v>
      </c>
      <c r="Y208" s="27">
        <f t="shared" si="85"/>
        <v>5439.379540215109</v>
      </c>
      <c r="Z208" s="27">
        <f t="shared" si="86"/>
        <v>704734.48262156243</v>
      </c>
      <c r="AA208">
        <f t="shared" si="87"/>
        <v>0</v>
      </c>
      <c r="AB208" s="27">
        <f t="shared" si="88"/>
        <v>704734.48262156243</v>
      </c>
      <c r="AD208" s="27">
        <f t="shared" si="89"/>
        <v>0</v>
      </c>
      <c r="AE208" s="27">
        <f t="shared" si="90"/>
        <v>704734.48262156243</v>
      </c>
      <c r="AF208" s="50"/>
      <c r="AG208" t="str">
        <f t="shared" si="91"/>
        <v>5306900</v>
      </c>
    </row>
    <row r="209" spans="1:33" hidden="1" x14ac:dyDescent="0.25">
      <c r="A209" s="7" t="s">
        <v>58</v>
      </c>
      <c r="B209" s="2" t="s">
        <v>1057</v>
      </c>
      <c r="C209" s="4" t="s">
        <v>20</v>
      </c>
      <c r="D209">
        <f>_xlfn.IFNA(VLOOKUP(A209,'Prior Year data'!$A$1:$T$318,12,FALSE),0)</f>
        <v>543385.51233634318</v>
      </c>
      <c r="E209">
        <f>VLOOKUP(A209,'Basic HH'!$B$1:$Y$319,23,FALSE)</f>
        <v>363993.95916238561</v>
      </c>
      <c r="F209">
        <f>VLOOKUP(A209,'Conc. HH'!$B$1:$Y$319,23,FALSE)</f>
        <v>0</v>
      </c>
      <c r="G209">
        <f>VLOOKUP(A209,'Targeted HH'!$B$1:$Y$319,23,FALSE)</f>
        <v>175589.60533256322</v>
      </c>
      <c r="H209">
        <f>VLOOKUP(A209,'EFIG HH'!$B$1:$Y$319,23,FALSE)</f>
        <v>238079.12395404166</v>
      </c>
      <c r="I209">
        <f t="shared" si="69"/>
        <v>777662.68844899046</v>
      </c>
      <c r="J209">
        <f t="shared" si="70"/>
        <v>777662.68844899046</v>
      </c>
      <c r="K209" s="43">
        <f t="shared" si="71"/>
        <v>707042.28897113865</v>
      </c>
      <c r="L209">
        <f t="shared" si="72"/>
        <v>0</v>
      </c>
      <c r="M209">
        <f t="shared" si="73"/>
        <v>163656.77663479547</v>
      </c>
      <c r="N209" s="43">
        <f t="shared" si="74"/>
        <v>683651.36551232752</v>
      </c>
      <c r="O209">
        <f t="shared" si="75"/>
        <v>0</v>
      </c>
      <c r="P209">
        <f t="shared" si="76"/>
        <v>140265.85317598435</v>
      </c>
      <c r="Q209" s="43">
        <f t="shared" si="77"/>
        <v>683651.36551232752</v>
      </c>
      <c r="R209">
        <f t="shared" si="78"/>
        <v>0</v>
      </c>
      <c r="S209">
        <f t="shared" si="79"/>
        <v>140265.85317598435</v>
      </c>
      <c r="T209" s="43">
        <f t="shared" si="80"/>
        <v>683651.36551232752</v>
      </c>
      <c r="U209">
        <f t="shared" si="81"/>
        <v>0</v>
      </c>
      <c r="V209">
        <f t="shared" si="82"/>
        <v>140265.85317598435</v>
      </c>
      <c r="W209" s="43">
        <f t="shared" si="83"/>
        <v>683651.36551232752</v>
      </c>
      <c r="X209" s="43">
        <f t="shared" si="84"/>
        <v>94011.322936662938</v>
      </c>
      <c r="Y209" s="27">
        <f t="shared" si="85"/>
        <v>5236.2378402498416</v>
      </c>
      <c r="Z209" s="27">
        <f t="shared" si="86"/>
        <v>678415.12767207774</v>
      </c>
      <c r="AA209">
        <f t="shared" si="87"/>
        <v>0</v>
      </c>
      <c r="AB209" s="27">
        <f t="shared" si="88"/>
        <v>678415.12767207774</v>
      </c>
      <c r="AD209" s="27">
        <f t="shared" si="89"/>
        <v>0</v>
      </c>
      <c r="AE209" s="27">
        <f t="shared" si="90"/>
        <v>678415.12767207774</v>
      </c>
      <c r="AF209" s="50"/>
      <c r="AG209" t="str">
        <f t="shared" si="91"/>
        <v>5306930</v>
      </c>
    </row>
    <row r="210" spans="1:33" hidden="1" x14ac:dyDescent="0.25">
      <c r="A210" s="7" t="s">
        <v>195</v>
      </c>
      <c r="B210" s="2" t="s">
        <v>1059</v>
      </c>
      <c r="C210" s="4" t="s">
        <v>1058</v>
      </c>
      <c r="D210">
        <f>_xlfn.IFNA(VLOOKUP(A210,'Prior Year data'!$A$1:$T$318,12,FALSE),0)</f>
        <v>3511684.5222692089</v>
      </c>
      <c r="E210">
        <f>VLOOKUP(A210,'Basic HH'!$B$1:$Y$319,23,FALSE)</f>
        <v>1817363.6338131526</v>
      </c>
      <c r="F210">
        <f>VLOOKUP(A210,'Conc. HH'!$B$1:$Y$319,23,FALSE)</f>
        <v>0</v>
      </c>
      <c r="G210">
        <f>VLOOKUP(A210,'Targeted HH'!$B$1:$Y$319,23,FALSE)</f>
        <v>1170248.1453250179</v>
      </c>
      <c r="H210">
        <f>VLOOKUP(A210,'EFIG HH'!$B$1:$Y$319,23,FALSE)</f>
        <v>1586720.6530827247</v>
      </c>
      <c r="I210">
        <f t="shared" si="69"/>
        <v>4574332.4322208948</v>
      </c>
      <c r="J210">
        <f t="shared" si="70"/>
        <v>4574332.4322208948</v>
      </c>
      <c r="K210" s="43">
        <f t="shared" si="71"/>
        <v>4158932.2998675955</v>
      </c>
      <c r="L210">
        <f t="shared" si="72"/>
        <v>0</v>
      </c>
      <c r="M210">
        <f t="shared" si="73"/>
        <v>647247.77759838663</v>
      </c>
      <c r="N210" s="43">
        <f t="shared" si="74"/>
        <v>4066423.3091859925</v>
      </c>
      <c r="O210">
        <f t="shared" si="75"/>
        <v>0</v>
      </c>
      <c r="P210">
        <f t="shared" si="76"/>
        <v>554738.78691678355</v>
      </c>
      <c r="Q210" s="43">
        <f t="shared" si="77"/>
        <v>4066423.3091859925</v>
      </c>
      <c r="R210">
        <f t="shared" si="78"/>
        <v>0</v>
      </c>
      <c r="S210">
        <f t="shared" si="79"/>
        <v>554738.78691678355</v>
      </c>
      <c r="T210" s="43">
        <f t="shared" si="80"/>
        <v>4066423.3091859925</v>
      </c>
      <c r="U210">
        <f t="shared" si="81"/>
        <v>0</v>
      </c>
      <c r="V210">
        <f t="shared" si="82"/>
        <v>554738.78691678355</v>
      </c>
      <c r="W210" s="43">
        <f t="shared" si="83"/>
        <v>4066423.3091859925</v>
      </c>
      <c r="X210" s="43">
        <f t="shared" si="84"/>
        <v>507909.12303490238</v>
      </c>
      <c r="Y210" s="27">
        <f t="shared" si="85"/>
        <v>31145.640424599907</v>
      </c>
      <c r="Z210" s="27">
        <f t="shared" si="86"/>
        <v>4035277.6687613926</v>
      </c>
      <c r="AA210">
        <f t="shared" si="87"/>
        <v>0</v>
      </c>
      <c r="AB210" s="27">
        <f t="shared" si="88"/>
        <v>4035277.6687613926</v>
      </c>
      <c r="AD210" s="27">
        <f t="shared" si="89"/>
        <v>0</v>
      </c>
      <c r="AE210" s="27">
        <f t="shared" si="90"/>
        <v>4035277.6687613926</v>
      </c>
      <c r="AF210" s="50"/>
      <c r="AG210" t="str">
        <f t="shared" si="91"/>
        <v>5306960</v>
      </c>
    </row>
    <row r="211" spans="1:33" hidden="1" x14ac:dyDescent="0.25">
      <c r="A211" s="7" t="s">
        <v>551</v>
      </c>
      <c r="B211" s="2" t="s">
        <v>1061</v>
      </c>
      <c r="C211" s="4" t="s">
        <v>1060</v>
      </c>
      <c r="D211">
        <f>_xlfn.IFNA(VLOOKUP(A211,'Prior Year data'!$A$1:$T$318,12,FALSE),0)</f>
        <v>20753.512426305133</v>
      </c>
      <c r="E211">
        <f>VLOOKUP(A211,'Basic HH'!$B$1:$Y$319,23,FALSE)</f>
        <v>0</v>
      </c>
      <c r="F211">
        <f>VLOOKUP(A211,'Conc. HH'!$B$1:$Y$319,23,FALSE)</f>
        <v>2358.8185889551291</v>
      </c>
      <c r="G211">
        <f>VLOOKUP(A211,'Targeted HH'!$B$1:$Y$319,23,FALSE)</f>
        <v>0</v>
      </c>
      <c r="H211">
        <f>VLOOKUP(A211,'EFIG HH'!$B$1:$Y$319,23,FALSE)</f>
        <v>0</v>
      </c>
      <c r="I211">
        <f t="shared" si="69"/>
        <v>2358.8185889551291</v>
      </c>
      <c r="J211">
        <f t="shared" si="70"/>
        <v>0</v>
      </c>
      <c r="K211" s="43">
        <f t="shared" si="71"/>
        <v>2358.8185889551291</v>
      </c>
      <c r="L211">
        <f t="shared" si="72"/>
        <v>0</v>
      </c>
      <c r="M211">
        <f t="shared" si="73"/>
        <v>0</v>
      </c>
      <c r="N211" s="43">
        <f t="shared" si="74"/>
        <v>2358.8185889551291</v>
      </c>
      <c r="O211">
        <f t="shared" si="75"/>
        <v>0</v>
      </c>
      <c r="P211">
        <f t="shared" si="76"/>
        <v>0</v>
      </c>
      <c r="Q211" s="43">
        <f t="shared" si="77"/>
        <v>2358.8185889551291</v>
      </c>
      <c r="R211">
        <f t="shared" si="78"/>
        <v>0</v>
      </c>
      <c r="S211">
        <f t="shared" si="79"/>
        <v>0</v>
      </c>
      <c r="T211" s="43">
        <f t="shared" si="80"/>
        <v>2358.8185889551291</v>
      </c>
      <c r="U211">
        <f t="shared" si="81"/>
        <v>0</v>
      </c>
      <c r="V211">
        <f t="shared" si="82"/>
        <v>0</v>
      </c>
      <c r="W211" s="43">
        <f t="shared" si="83"/>
        <v>2358.8185889551291</v>
      </c>
      <c r="X211" s="43">
        <f t="shared" si="84"/>
        <v>0</v>
      </c>
      <c r="Y211" s="27">
        <f t="shared" si="85"/>
        <v>18.066716131716507</v>
      </c>
      <c r="Z211" s="27">
        <f t="shared" si="86"/>
        <v>2340.7518728234127</v>
      </c>
      <c r="AA211">
        <f t="shared" si="87"/>
        <v>0</v>
      </c>
      <c r="AB211" s="27">
        <f t="shared" si="88"/>
        <v>2340.7518728234127</v>
      </c>
      <c r="AC211" s="28"/>
      <c r="AD211" s="27">
        <f t="shared" si="89"/>
        <v>0</v>
      </c>
      <c r="AE211" s="27">
        <f t="shared" si="90"/>
        <v>2340.7518728234127</v>
      </c>
      <c r="AF211" s="50"/>
      <c r="AG211" t="str">
        <f t="shared" si="91"/>
        <v>5301380</v>
      </c>
    </row>
    <row r="212" spans="1:33" hidden="1" x14ac:dyDescent="0.25">
      <c r="A212" s="7" t="s">
        <v>553</v>
      </c>
      <c r="B212" s="2" t="s">
        <v>1063</v>
      </c>
      <c r="C212" s="4" t="s">
        <v>1062</v>
      </c>
      <c r="D212">
        <f>_xlfn.IFNA(VLOOKUP(A212,'Prior Year data'!$A$1:$T$318,12,FALSE),0)</f>
        <v>54364.968361453131</v>
      </c>
      <c r="E212">
        <f>VLOOKUP(A212,'Basic HH'!$B$1:$Y$319,23,FALSE)</f>
        <v>26930.340654018979</v>
      </c>
      <c r="F212">
        <f>VLOOKUP(A212,'Conc. HH'!$B$1:$Y$319,23,FALSE)</f>
        <v>7245.8868277789807</v>
      </c>
      <c r="G212">
        <f>VLOOKUP(A212,'Targeted HH'!$B$1:$Y$319,23,FALSE)</f>
        <v>13283.605084370696</v>
      </c>
      <c r="H212">
        <f>VLOOKUP(A212,'EFIG HH'!$B$1:$Y$319,23,FALSE)</f>
        <v>18011.026651883098</v>
      </c>
      <c r="I212">
        <f t="shared" si="69"/>
        <v>65470.859218051759</v>
      </c>
      <c r="J212">
        <f t="shared" si="70"/>
        <v>65470.859218051759</v>
      </c>
      <c r="K212" s="43">
        <f t="shared" si="71"/>
        <v>59525.378869292181</v>
      </c>
      <c r="L212">
        <f t="shared" si="72"/>
        <v>0</v>
      </c>
      <c r="M212">
        <f t="shared" si="73"/>
        <v>5160.4105078390494</v>
      </c>
      <c r="N212" s="43">
        <f t="shared" si="74"/>
        <v>58787.818410831802</v>
      </c>
      <c r="O212">
        <f t="shared" si="75"/>
        <v>0</v>
      </c>
      <c r="P212">
        <f t="shared" si="76"/>
        <v>4422.8500493786705</v>
      </c>
      <c r="Q212" s="43">
        <f t="shared" si="77"/>
        <v>58787.818410831802</v>
      </c>
      <c r="R212">
        <f t="shared" si="78"/>
        <v>0</v>
      </c>
      <c r="S212">
        <f t="shared" si="79"/>
        <v>4422.8500493786705</v>
      </c>
      <c r="T212" s="43">
        <f t="shared" si="80"/>
        <v>58787.818410831802</v>
      </c>
      <c r="U212">
        <f t="shared" si="81"/>
        <v>0</v>
      </c>
      <c r="V212">
        <f t="shared" si="82"/>
        <v>4422.8500493786705</v>
      </c>
      <c r="W212" s="43">
        <f t="shared" si="83"/>
        <v>58787.818410831802</v>
      </c>
      <c r="X212" s="43">
        <f t="shared" si="84"/>
        <v>6683.0408072199571</v>
      </c>
      <c r="Y212" s="27">
        <f t="shared" si="85"/>
        <v>450.26897456402889</v>
      </c>
      <c r="Z212" s="27">
        <f t="shared" si="86"/>
        <v>58337.549436267771</v>
      </c>
      <c r="AA212">
        <f t="shared" si="87"/>
        <v>0</v>
      </c>
      <c r="AB212" s="27">
        <f t="shared" si="88"/>
        <v>58337.549436267771</v>
      </c>
      <c r="AD212" s="27">
        <f t="shared" si="89"/>
        <v>0</v>
      </c>
      <c r="AE212" s="27">
        <f t="shared" si="90"/>
        <v>58337.549436267771</v>
      </c>
      <c r="AF212" s="50"/>
      <c r="AG212" t="str">
        <f t="shared" si="91"/>
        <v>5306990</v>
      </c>
    </row>
    <row r="213" spans="1:33" hidden="1" x14ac:dyDescent="0.25">
      <c r="A213" s="7" t="s">
        <v>555</v>
      </c>
      <c r="B213" s="2" t="s">
        <v>1065</v>
      </c>
      <c r="C213" s="4" t="s">
        <v>1064</v>
      </c>
      <c r="D213">
        <f>_xlfn.IFNA(VLOOKUP(A213,'Prior Year data'!$A$1:$T$318,12,FALSE),0)</f>
        <v>681866.00645789655</v>
      </c>
      <c r="E213">
        <f>VLOOKUP(A213,'Basic HH'!$B$1:$Y$319,23,FALSE)</f>
        <v>221959.46413754844</v>
      </c>
      <c r="F213">
        <f>VLOOKUP(A213,'Conc. HH'!$B$1:$Y$319,23,FALSE)</f>
        <v>57711.240186380295</v>
      </c>
      <c r="G213">
        <f>VLOOKUP(A213,'Targeted HH'!$B$1:$Y$319,23,FALSE)</f>
        <v>143895.93089905556</v>
      </c>
      <c r="H213">
        <f>VLOOKUP(A213,'EFIG HH'!$B$1:$Y$319,23,FALSE)</f>
        <v>194885.00123438935</v>
      </c>
      <c r="I213">
        <f t="shared" si="69"/>
        <v>618451.63645737362</v>
      </c>
      <c r="J213">
        <f t="shared" si="70"/>
        <v>0</v>
      </c>
      <c r="K213" s="43">
        <f t="shared" si="71"/>
        <v>618451.63645737362</v>
      </c>
      <c r="L213">
        <f t="shared" si="72"/>
        <v>0</v>
      </c>
      <c r="M213">
        <f t="shared" si="73"/>
        <v>0</v>
      </c>
      <c r="N213" s="43">
        <f t="shared" si="74"/>
        <v>618451.63645737362</v>
      </c>
      <c r="O213">
        <f t="shared" si="75"/>
        <v>0</v>
      </c>
      <c r="P213">
        <f t="shared" si="76"/>
        <v>0</v>
      </c>
      <c r="Q213" s="43">
        <f t="shared" si="77"/>
        <v>618451.63645737362</v>
      </c>
      <c r="R213">
        <f t="shared" si="78"/>
        <v>0</v>
      </c>
      <c r="S213">
        <f t="shared" si="79"/>
        <v>0</v>
      </c>
      <c r="T213" s="43">
        <f t="shared" si="80"/>
        <v>618451.63645737362</v>
      </c>
      <c r="U213">
        <f t="shared" si="81"/>
        <v>0</v>
      </c>
      <c r="V213">
        <f t="shared" si="82"/>
        <v>0</v>
      </c>
      <c r="W213" s="43">
        <f t="shared" si="83"/>
        <v>618451.63645737362</v>
      </c>
      <c r="X213" s="43">
        <f t="shared" si="84"/>
        <v>0</v>
      </c>
      <c r="Y213" s="27">
        <f t="shared" si="85"/>
        <v>4736.8586161686599</v>
      </c>
      <c r="Z213" s="27">
        <f t="shared" si="86"/>
        <v>613714.77784120501</v>
      </c>
      <c r="AA213">
        <f t="shared" si="87"/>
        <v>0</v>
      </c>
      <c r="AB213" s="27">
        <f t="shared" si="88"/>
        <v>613714.77784120501</v>
      </c>
      <c r="AD213" s="27">
        <f t="shared" si="89"/>
        <v>0</v>
      </c>
      <c r="AE213" s="27">
        <f t="shared" si="90"/>
        <v>613714.77784120501</v>
      </c>
      <c r="AF213" s="50"/>
      <c r="AG213" t="str">
        <f t="shared" si="91"/>
        <v>5307020</v>
      </c>
    </row>
    <row r="214" spans="1:33" x14ac:dyDescent="0.25">
      <c r="A214" s="7" t="s">
        <v>445</v>
      </c>
      <c r="B214" s="2" t="s">
        <v>1067</v>
      </c>
      <c r="C214" s="4" t="s">
        <v>1066</v>
      </c>
      <c r="D214">
        <f>_xlfn.IFNA(VLOOKUP(A214,'Prior Year data'!$A$1:$T$318,12,FALSE),0)</f>
        <v>82746.582215571965</v>
      </c>
      <c r="E214">
        <f>VLOOKUP(A214,'Basic HH'!$B$1:$Y$319,23,FALSE)</f>
        <v>30972.619207685653</v>
      </c>
      <c r="F214">
        <f>VLOOKUP(A214,'Conc. HH'!$B$1:$Y$319,23,FALSE)</f>
        <v>8160.7747063877987</v>
      </c>
      <c r="G214">
        <f>VLOOKUP(A214,'Targeted HH'!$B$1:$Y$319,23,FALSE)</f>
        <v>18821.91468540447</v>
      </c>
      <c r="H214">
        <f>VLOOKUP(A214,'EFIG HH'!$B$1:$Y$319,23,FALSE)</f>
        <v>25871.061408851401</v>
      </c>
      <c r="I214">
        <f t="shared" si="69"/>
        <v>83826.370008329322</v>
      </c>
      <c r="J214">
        <f t="shared" si="70"/>
        <v>83826.370008329322</v>
      </c>
      <c r="K214" s="43">
        <f t="shared" si="71"/>
        <v>76214.005644323013</v>
      </c>
      <c r="L214">
        <f t="shared" si="72"/>
        <v>6532.576571248952</v>
      </c>
      <c r="M214">
        <f t="shared" si="73"/>
        <v>0</v>
      </c>
      <c r="N214" s="43">
        <f t="shared" si="74"/>
        <v>82746.582215571965</v>
      </c>
      <c r="O214">
        <f t="shared" si="75"/>
        <v>0</v>
      </c>
      <c r="P214">
        <f t="shared" si="76"/>
        <v>0</v>
      </c>
      <c r="Q214" s="43">
        <f t="shared" si="77"/>
        <v>82746.582215571965</v>
      </c>
      <c r="R214">
        <f t="shared" si="78"/>
        <v>0</v>
      </c>
      <c r="S214">
        <f t="shared" si="79"/>
        <v>0</v>
      </c>
      <c r="T214" s="43">
        <f t="shared" si="80"/>
        <v>82746.582215571965</v>
      </c>
      <c r="U214">
        <f t="shared" si="81"/>
        <v>0</v>
      </c>
      <c r="V214">
        <f t="shared" si="82"/>
        <v>0</v>
      </c>
      <c r="W214" s="43">
        <f t="shared" si="83"/>
        <v>82746.582215571965</v>
      </c>
      <c r="X214" s="43">
        <f t="shared" si="84"/>
        <v>1079.7877927573572</v>
      </c>
      <c r="Y214" s="27">
        <f t="shared" si="85"/>
        <v>633.77447454350136</v>
      </c>
      <c r="Z214" s="27">
        <f t="shared" si="86"/>
        <v>82112.80774102846</v>
      </c>
      <c r="AA214">
        <f t="shared" si="87"/>
        <v>0</v>
      </c>
      <c r="AB214" s="27">
        <f t="shared" si="88"/>
        <v>82112.80774102846</v>
      </c>
      <c r="AD214" s="27">
        <f t="shared" si="89"/>
        <v>0</v>
      </c>
      <c r="AE214" s="27">
        <f t="shared" si="90"/>
        <v>82112.80774102846</v>
      </c>
      <c r="AF214" s="50"/>
      <c r="AG214" t="str">
        <f t="shared" si="91"/>
        <v>5307050</v>
      </c>
    </row>
    <row r="215" spans="1:33" hidden="1" x14ac:dyDescent="0.25">
      <c r="A215" s="7" t="s">
        <v>557</v>
      </c>
      <c r="B215" s="2" t="s">
        <v>1069</v>
      </c>
      <c r="C215" s="4" t="s">
        <v>1068</v>
      </c>
      <c r="D215">
        <f>_xlfn.IFNA(VLOOKUP(A215,'Prior Year data'!$A$1:$T$318,12,FALSE),0)</f>
        <v>948905.86896484846</v>
      </c>
      <c r="E215">
        <f>VLOOKUP(A215,'Basic HH'!$B$1:$Y$319,23,FALSE)</f>
        <v>383105.81382007635</v>
      </c>
      <c r="F215">
        <f>VLOOKUP(A215,'Conc. HH'!$B$1:$Y$319,23,FALSE)</f>
        <v>82038.824787116231</v>
      </c>
      <c r="G215">
        <f>VLOOKUP(A215,'Targeted HH'!$B$1:$Y$319,23,FALSE)</f>
        <v>184809.10728319894</v>
      </c>
      <c r="H215">
        <f>VLOOKUP(A215,'EFIG HH'!$B$1:$Y$319,23,FALSE)</f>
        <v>250579.69848146156</v>
      </c>
      <c r="I215">
        <f t="shared" si="69"/>
        <v>900533.44437185302</v>
      </c>
      <c r="J215">
        <f t="shared" si="70"/>
        <v>0</v>
      </c>
      <c r="K215" s="43">
        <f t="shared" si="71"/>
        <v>900533.44437185302</v>
      </c>
      <c r="L215">
        <f t="shared" si="72"/>
        <v>0</v>
      </c>
      <c r="M215">
        <f t="shared" si="73"/>
        <v>0</v>
      </c>
      <c r="N215" s="43">
        <f t="shared" si="74"/>
        <v>900533.44437185302</v>
      </c>
      <c r="O215">
        <f t="shared" si="75"/>
        <v>0</v>
      </c>
      <c r="P215">
        <f t="shared" si="76"/>
        <v>0</v>
      </c>
      <c r="Q215" s="43">
        <f t="shared" si="77"/>
        <v>900533.44437185302</v>
      </c>
      <c r="R215">
        <f t="shared" si="78"/>
        <v>0</v>
      </c>
      <c r="S215">
        <f t="shared" si="79"/>
        <v>0</v>
      </c>
      <c r="T215" s="43">
        <f t="shared" si="80"/>
        <v>900533.44437185302</v>
      </c>
      <c r="U215">
        <f t="shared" si="81"/>
        <v>0</v>
      </c>
      <c r="V215">
        <f t="shared" si="82"/>
        <v>0</v>
      </c>
      <c r="W215" s="43">
        <f t="shared" si="83"/>
        <v>900533.44437185302</v>
      </c>
      <c r="X215" s="43">
        <f t="shared" si="84"/>
        <v>0</v>
      </c>
      <c r="Y215" s="27">
        <f t="shared" si="85"/>
        <v>6897.3859129158654</v>
      </c>
      <c r="Z215" s="27">
        <f t="shared" si="86"/>
        <v>893636.05845893722</v>
      </c>
      <c r="AA215">
        <f t="shared" si="87"/>
        <v>0</v>
      </c>
      <c r="AB215" s="27">
        <f t="shared" si="88"/>
        <v>893636.05845893722</v>
      </c>
      <c r="AD215" s="27">
        <f t="shared" si="89"/>
        <v>0</v>
      </c>
      <c r="AE215" s="27">
        <f t="shared" si="90"/>
        <v>893636.05845893722</v>
      </c>
      <c r="AF215" s="50"/>
      <c r="AG215" t="str">
        <f t="shared" si="91"/>
        <v>5307080</v>
      </c>
    </row>
    <row r="216" spans="1:33" hidden="1" x14ac:dyDescent="0.25">
      <c r="A216" s="7" t="s">
        <v>197</v>
      </c>
      <c r="B216" s="2" t="s">
        <v>1071</v>
      </c>
      <c r="C216" s="4" t="s">
        <v>1070</v>
      </c>
      <c r="D216">
        <f>_xlfn.IFNA(VLOOKUP(A216,'Prior Year data'!$A$1:$T$318,12,FALSE),0)</f>
        <v>265311.84864784166</v>
      </c>
      <c r="E216">
        <f>VLOOKUP(A216,'Basic HH'!$B$1:$Y$319,23,FALSE)</f>
        <v>93979.049962655801</v>
      </c>
      <c r="F216">
        <f>VLOOKUP(A216,'Conc. HH'!$B$1:$Y$319,23,FALSE)</f>
        <v>24613.633290635702</v>
      </c>
      <c r="G216">
        <f>VLOOKUP(A216,'Targeted HH'!$B$1:$Y$319,23,FALSE)</f>
        <v>45682.689847933238</v>
      </c>
      <c r="H216">
        <f>VLOOKUP(A216,'EFIG HH'!$B$1:$Y$319,23,FALSE)</f>
        <v>62993.39883687516</v>
      </c>
      <c r="I216">
        <f t="shared" si="69"/>
        <v>227268.7719380999</v>
      </c>
      <c r="J216">
        <f t="shared" si="70"/>
        <v>0</v>
      </c>
      <c r="K216" s="43">
        <f t="shared" si="71"/>
        <v>227268.7719380999</v>
      </c>
      <c r="L216">
        <f t="shared" si="72"/>
        <v>0</v>
      </c>
      <c r="M216">
        <f t="shared" si="73"/>
        <v>0</v>
      </c>
      <c r="N216" s="43">
        <f t="shared" si="74"/>
        <v>227268.7719380999</v>
      </c>
      <c r="O216">
        <f t="shared" si="75"/>
        <v>0</v>
      </c>
      <c r="P216">
        <f t="shared" si="76"/>
        <v>0</v>
      </c>
      <c r="Q216" s="43">
        <f t="shared" si="77"/>
        <v>227268.7719380999</v>
      </c>
      <c r="R216">
        <f t="shared" si="78"/>
        <v>0</v>
      </c>
      <c r="S216">
        <f t="shared" si="79"/>
        <v>0</v>
      </c>
      <c r="T216" s="43">
        <f t="shared" si="80"/>
        <v>227268.7719380999</v>
      </c>
      <c r="U216">
        <f t="shared" si="81"/>
        <v>0</v>
      </c>
      <c r="V216">
        <f t="shared" si="82"/>
        <v>0</v>
      </c>
      <c r="W216" s="43">
        <f t="shared" si="83"/>
        <v>227268.7719380999</v>
      </c>
      <c r="X216" s="43">
        <f t="shared" si="84"/>
        <v>0</v>
      </c>
      <c r="Y216" s="27">
        <f t="shared" si="85"/>
        <v>1740.7020647689053</v>
      </c>
      <c r="Z216" s="27">
        <f t="shared" si="86"/>
        <v>225528.069873331</v>
      </c>
      <c r="AA216">
        <f t="shared" si="87"/>
        <v>0</v>
      </c>
      <c r="AB216" s="27">
        <f t="shared" si="88"/>
        <v>225528.069873331</v>
      </c>
      <c r="AD216" s="27">
        <f t="shared" si="89"/>
        <v>0</v>
      </c>
      <c r="AE216" s="27">
        <f t="shared" si="90"/>
        <v>225528.069873331</v>
      </c>
      <c r="AF216" s="50"/>
      <c r="AG216" t="str">
        <f t="shared" si="91"/>
        <v>5307110</v>
      </c>
    </row>
    <row r="217" spans="1:33" hidden="1" x14ac:dyDescent="0.25">
      <c r="A217" s="7" t="s">
        <v>69</v>
      </c>
      <c r="B217" s="2" t="s">
        <v>1072</v>
      </c>
      <c r="C217" s="4" t="s">
        <v>15</v>
      </c>
      <c r="D217">
        <f>_xlfn.IFNA(VLOOKUP(A217,'Prior Year data'!$A$1:$T$318,12,FALSE),0)</f>
        <v>133125.24743327947</v>
      </c>
      <c r="E217">
        <f>VLOOKUP(A217,'Basic HH'!$B$1:$Y$319,23,FALSE)</f>
        <v>59699.682526381075</v>
      </c>
      <c r="F217">
        <f>VLOOKUP(A217,'Conc. HH'!$B$1:$Y$319,23,FALSE)</f>
        <v>16062.817355261916</v>
      </c>
      <c r="G217">
        <f>VLOOKUP(A217,'Targeted HH'!$B$1:$Y$319,23,FALSE)</f>
        <v>45128.207423694294</v>
      </c>
      <c r="H217">
        <f>VLOOKUP(A217,'EFIG HH'!$B$1:$Y$319,23,FALSE)</f>
        <v>61188.611186296264</v>
      </c>
      <c r="I217">
        <f t="shared" si="69"/>
        <v>182079.31849163354</v>
      </c>
      <c r="J217">
        <f t="shared" si="70"/>
        <v>182079.31849163354</v>
      </c>
      <c r="K217" s="43">
        <f t="shared" si="71"/>
        <v>165544.49639006166</v>
      </c>
      <c r="L217">
        <f t="shared" si="72"/>
        <v>0</v>
      </c>
      <c r="M217">
        <f t="shared" si="73"/>
        <v>32419.24895678219</v>
      </c>
      <c r="N217" s="43">
        <f t="shared" si="74"/>
        <v>160910.92003268027</v>
      </c>
      <c r="O217">
        <f t="shared" si="75"/>
        <v>0</v>
      </c>
      <c r="P217">
        <f t="shared" si="76"/>
        <v>27785.672599400801</v>
      </c>
      <c r="Q217" s="43">
        <f t="shared" si="77"/>
        <v>160910.92003268027</v>
      </c>
      <c r="R217">
        <f t="shared" si="78"/>
        <v>0</v>
      </c>
      <c r="S217">
        <f t="shared" si="79"/>
        <v>27785.672599400801</v>
      </c>
      <c r="T217" s="43">
        <f t="shared" si="80"/>
        <v>160910.92003268027</v>
      </c>
      <c r="U217">
        <f t="shared" si="81"/>
        <v>0</v>
      </c>
      <c r="V217">
        <f t="shared" si="82"/>
        <v>27785.672599400801</v>
      </c>
      <c r="W217" s="43">
        <f t="shared" si="83"/>
        <v>160910.92003268027</v>
      </c>
      <c r="X217" s="43">
        <f t="shared" si="84"/>
        <v>21168.398458953277</v>
      </c>
      <c r="Y217" s="27">
        <f t="shared" si="85"/>
        <v>1232.4525202302748</v>
      </c>
      <c r="Z217" s="27">
        <f t="shared" si="86"/>
        <v>159678.46751245001</v>
      </c>
      <c r="AA217">
        <f t="shared" si="87"/>
        <v>0</v>
      </c>
      <c r="AB217" s="27">
        <f t="shared" si="88"/>
        <v>159678.46751245001</v>
      </c>
      <c r="AD217" s="27">
        <f t="shared" si="89"/>
        <v>0</v>
      </c>
      <c r="AE217" s="27">
        <f t="shared" si="90"/>
        <v>159678.46751245001</v>
      </c>
      <c r="AF217" s="50"/>
      <c r="AG217" t="str">
        <f t="shared" si="91"/>
        <v>5307120</v>
      </c>
    </row>
    <row r="218" spans="1:33" hidden="1" x14ac:dyDescent="0.25">
      <c r="A218" s="7" t="s">
        <v>71</v>
      </c>
      <c r="B218" s="2" t="s">
        <v>1073</v>
      </c>
      <c r="C218" s="4" t="s">
        <v>21</v>
      </c>
      <c r="D218">
        <f>_xlfn.IFNA(VLOOKUP(A218,'Prior Year data'!$A$1:$T$318,12,FALSE),0)</f>
        <v>133878.00663745255</v>
      </c>
      <c r="E218">
        <f>VLOOKUP(A218,'Basic HH'!$B$1:$Y$319,23,FALSE)</f>
        <v>40758.682908389936</v>
      </c>
      <c r="F218">
        <f>VLOOKUP(A218,'Conc. HH'!$B$1:$Y$319,23,FALSE)</f>
        <v>9791.4235986432614</v>
      </c>
      <c r="G218">
        <f>VLOOKUP(A218,'Targeted HH'!$B$1:$Y$319,23,FALSE)</f>
        <v>34328.351836556714</v>
      </c>
      <c r="H218">
        <f>VLOOKUP(A218,'EFIG HH'!$B$1:$Y$319,23,FALSE)</f>
        <v>47184.939113389206</v>
      </c>
      <c r="I218">
        <f t="shared" si="69"/>
        <v>132063.39745697912</v>
      </c>
      <c r="J218">
        <f t="shared" si="70"/>
        <v>0</v>
      </c>
      <c r="K218" s="43">
        <f t="shared" si="71"/>
        <v>132063.39745697912</v>
      </c>
      <c r="L218">
        <f t="shared" si="72"/>
        <v>0</v>
      </c>
      <c r="M218">
        <f t="shared" si="73"/>
        <v>0</v>
      </c>
      <c r="N218" s="43">
        <f t="shared" si="74"/>
        <v>132063.39745697912</v>
      </c>
      <c r="O218">
        <f t="shared" si="75"/>
        <v>0</v>
      </c>
      <c r="P218">
        <f t="shared" si="76"/>
        <v>0</v>
      </c>
      <c r="Q218" s="43">
        <f t="shared" si="77"/>
        <v>132063.39745697912</v>
      </c>
      <c r="R218">
        <f t="shared" si="78"/>
        <v>0</v>
      </c>
      <c r="S218">
        <f t="shared" si="79"/>
        <v>0</v>
      </c>
      <c r="T218" s="43">
        <f t="shared" si="80"/>
        <v>132063.39745697912</v>
      </c>
      <c r="U218">
        <f t="shared" si="81"/>
        <v>0</v>
      </c>
      <c r="V218">
        <f t="shared" si="82"/>
        <v>0</v>
      </c>
      <c r="W218" s="43">
        <f t="shared" si="83"/>
        <v>132063.39745697912</v>
      </c>
      <c r="X218" s="43">
        <f t="shared" si="84"/>
        <v>0</v>
      </c>
      <c r="Y218" s="27">
        <f t="shared" si="85"/>
        <v>1011.5029296518234</v>
      </c>
      <c r="Z218" s="27">
        <f t="shared" si="86"/>
        <v>131051.8945273273</v>
      </c>
      <c r="AA218">
        <f t="shared" si="87"/>
        <v>0</v>
      </c>
      <c r="AB218" s="27">
        <f t="shared" si="88"/>
        <v>131051.8945273273</v>
      </c>
      <c r="AD218" s="27">
        <f t="shared" si="89"/>
        <v>0</v>
      </c>
      <c r="AE218" s="27">
        <f t="shared" si="90"/>
        <v>131051.8945273273</v>
      </c>
      <c r="AF218" s="50"/>
      <c r="AG218" t="str">
        <f t="shared" si="91"/>
        <v>5303280</v>
      </c>
    </row>
    <row r="219" spans="1:33" hidden="1" x14ac:dyDescent="0.25">
      <c r="A219" s="7" t="s">
        <v>559</v>
      </c>
      <c r="B219" s="2" t="s">
        <v>1075</v>
      </c>
      <c r="C219" s="4" t="s">
        <v>1074</v>
      </c>
      <c r="D219">
        <f>_xlfn.IFNA(VLOOKUP(A219,'Prior Year data'!$A$1:$T$318,12,FALSE),0)</f>
        <v>209196.29636751785</v>
      </c>
      <c r="E219">
        <f>VLOOKUP(A219,'Basic HH'!$B$1:$Y$319,23,FALSE)</f>
        <v>104246.47995104118</v>
      </c>
      <c r="F219">
        <f>VLOOKUP(A219,'Conc. HH'!$B$1:$Y$319,23,FALSE)</f>
        <v>28048.594172047673</v>
      </c>
      <c r="G219">
        <f>VLOOKUP(A219,'Targeted HH'!$B$1:$Y$319,23,FALSE)</f>
        <v>57888.938446839187</v>
      </c>
      <c r="H219">
        <f>VLOOKUP(A219,'EFIG HH'!$B$1:$Y$319,23,FALSE)</f>
        <v>78490.681301719451</v>
      </c>
      <c r="I219">
        <f t="shared" si="69"/>
        <v>268674.69387164747</v>
      </c>
      <c r="J219">
        <f t="shared" si="70"/>
        <v>268674.69387164747</v>
      </c>
      <c r="K219" s="43">
        <f t="shared" si="71"/>
        <v>244276.05099905728</v>
      </c>
      <c r="L219">
        <f t="shared" si="72"/>
        <v>0</v>
      </c>
      <c r="M219">
        <f t="shared" si="73"/>
        <v>35079.754631539428</v>
      </c>
      <c r="N219" s="43">
        <f t="shared" si="74"/>
        <v>239262.21733806998</v>
      </c>
      <c r="O219">
        <f t="shared" si="75"/>
        <v>0</v>
      </c>
      <c r="P219">
        <f t="shared" si="76"/>
        <v>30065.920970552135</v>
      </c>
      <c r="Q219" s="43">
        <f t="shared" si="77"/>
        <v>239262.21733806998</v>
      </c>
      <c r="R219">
        <f t="shared" si="78"/>
        <v>0</v>
      </c>
      <c r="S219">
        <f t="shared" si="79"/>
        <v>30065.920970552135</v>
      </c>
      <c r="T219" s="43">
        <f t="shared" si="80"/>
        <v>239262.21733806998</v>
      </c>
      <c r="U219">
        <f t="shared" si="81"/>
        <v>0</v>
      </c>
      <c r="V219">
        <f t="shared" si="82"/>
        <v>30065.920970552135</v>
      </c>
      <c r="W219" s="43">
        <f t="shared" si="83"/>
        <v>239262.21733806998</v>
      </c>
      <c r="X219" s="43">
        <f t="shared" si="84"/>
        <v>29412.476533577486</v>
      </c>
      <c r="Y219" s="27">
        <f t="shared" si="85"/>
        <v>1832.5625302142294</v>
      </c>
      <c r="Z219" s="27">
        <f t="shared" si="86"/>
        <v>237429.65480785575</v>
      </c>
      <c r="AA219">
        <f t="shared" si="87"/>
        <v>0</v>
      </c>
      <c r="AB219" s="27">
        <f t="shared" si="88"/>
        <v>237429.65480785575</v>
      </c>
      <c r="AD219" s="27">
        <f t="shared" si="89"/>
        <v>0</v>
      </c>
      <c r="AE219" s="27">
        <f t="shared" si="90"/>
        <v>237429.65480785575</v>
      </c>
      <c r="AF219" s="50"/>
      <c r="AG219" t="str">
        <f t="shared" si="91"/>
        <v>5307140</v>
      </c>
    </row>
    <row r="220" spans="1:33" hidden="1" x14ac:dyDescent="0.25">
      <c r="A220" s="7" t="s">
        <v>561</v>
      </c>
      <c r="B220" s="2" t="s">
        <v>1077</v>
      </c>
      <c r="C220" s="4" t="s">
        <v>1076</v>
      </c>
      <c r="D220">
        <f>_xlfn.IFNA(VLOOKUP(A220,'Prior Year data'!$A$1:$T$318,12,FALSE),0)</f>
        <v>233836.57688760618</v>
      </c>
      <c r="E220">
        <f>VLOOKUP(A220,'Basic HH'!$B$1:$Y$319,23,FALSE)</f>
        <v>93606.138049894391</v>
      </c>
      <c r="F220">
        <f>VLOOKUP(A220,'Conc. HH'!$B$1:$Y$319,23,FALSE)</f>
        <v>19042.926288557661</v>
      </c>
      <c r="G220">
        <f>VLOOKUP(A220,'Targeted HH'!$B$1:$Y$319,23,FALSE)</f>
        <v>44777.733013083969</v>
      </c>
      <c r="H220">
        <f>VLOOKUP(A220,'EFIG HH'!$B$1:$Y$319,23,FALSE)</f>
        <v>61547.802117548199</v>
      </c>
      <c r="I220">
        <f t="shared" si="69"/>
        <v>218974.59946908423</v>
      </c>
      <c r="J220">
        <f t="shared" si="70"/>
        <v>0</v>
      </c>
      <c r="K220" s="43">
        <f t="shared" si="71"/>
        <v>218974.59946908423</v>
      </c>
      <c r="L220">
        <f t="shared" si="72"/>
        <v>0</v>
      </c>
      <c r="M220">
        <f t="shared" si="73"/>
        <v>0</v>
      </c>
      <c r="N220" s="43">
        <f t="shared" si="74"/>
        <v>218974.59946908423</v>
      </c>
      <c r="O220">
        <f t="shared" si="75"/>
        <v>0</v>
      </c>
      <c r="P220">
        <f t="shared" si="76"/>
        <v>0</v>
      </c>
      <c r="Q220" s="43">
        <f t="shared" si="77"/>
        <v>218974.59946908423</v>
      </c>
      <c r="R220">
        <f t="shared" si="78"/>
        <v>0</v>
      </c>
      <c r="S220">
        <f t="shared" si="79"/>
        <v>0</v>
      </c>
      <c r="T220" s="43">
        <f t="shared" si="80"/>
        <v>218974.59946908423</v>
      </c>
      <c r="U220">
        <f t="shared" si="81"/>
        <v>0</v>
      </c>
      <c r="V220">
        <f t="shared" si="82"/>
        <v>0</v>
      </c>
      <c r="W220" s="43">
        <f t="shared" si="83"/>
        <v>218974.59946908423</v>
      </c>
      <c r="X220" s="43">
        <f t="shared" si="84"/>
        <v>0</v>
      </c>
      <c r="Y220" s="27">
        <f t="shared" si="85"/>
        <v>1677.1751533536526</v>
      </c>
      <c r="Z220" s="27">
        <f t="shared" si="86"/>
        <v>217297.42431573058</v>
      </c>
      <c r="AA220">
        <f t="shared" si="87"/>
        <v>0</v>
      </c>
      <c r="AB220" s="27">
        <f t="shared" si="88"/>
        <v>217297.42431573058</v>
      </c>
      <c r="AD220" s="27">
        <f t="shared" si="89"/>
        <v>0</v>
      </c>
      <c r="AE220" s="27">
        <f t="shared" si="90"/>
        <v>217297.42431573058</v>
      </c>
      <c r="AF220" s="50"/>
      <c r="AG220" t="str">
        <f t="shared" si="91"/>
        <v>5307210</v>
      </c>
    </row>
    <row r="221" spans="1:33" x14ac:dyDescent="0.25">
      <c r="A221" s="7" t="s">
        <v>563</v>
      </c>
      <c r="B221" s="2" t="s">
        <v>1079</v>
      </c>
      <c r="C221" s="4" t="s">
        <v>1078</v>
      </c>
      <c r="D221">
        <f>_xlfn.IFNA(VLOOKUP(A221,'Prior Year data'!$A$1:$T$318,12,FALSE),0)</f>
        <v>4736233.1132494295</v>
      </c>
      <c r="E221">
        <f>VLOOKUP(A221,'Basic HH'!$B$1:$Y$319,23,FALSE)</f>
        <v>2019818.2791632973</v>
      </c>
      <c r="F221">
        <f>VLOOKUP(A221,'Conc. HH'!$B$1:$Y$319,23,FALSE)</f>
        <v>0</v>
      </c>
      <c r="G221">
        <f>VLOOKUP(A221,'Targeted HH'!$B$1:$Y$319,23,FALSE)</f>
        <v>1346013.1721537209</v>
      </c>
      <c r="H221">
        <f>VLOOKUP(A221,'EFIG HH'!$B$1:$Y$319,23,FALSE)</f>
        <v>1825037.6282241675</v>
      </c>
      <c r="I221">
        <f t="shared" si="69"/>
        <v>5190869.0795411859</v>
      </c>
      <c r="J221">
        <f t="shared" si="70"/>
        <v>5190869.0795411859</v>
      </c>
      <c r="K221" s="43">
        <f t="shared" si="71"/>
        <v>4719480.5797720179</v>
      </c>
      <c r="L221">
        <f t="shared" si="72"/>
        <v>16752.533477411605</v>
      </c>
      <c r="M221">
        <f t="shared" si="73"/>
        <v>0</v>
      </c>
      <c r="N221" s="43">
        <f t="shared" si="74"/>
        <v>4736233.1132494295</v>
      </c>
      <c r="O221">
        <f t="shared" si="75"/>
        <v>0</v>
      </c>
      <c r="P221">
        <f t="shared" si="76"/>
        <v>0</v>
      </c>
      <c r="Q221" s="43">
        <f t="shared" si="77"/>
        <v>4736233.1132494295</v>
      </c>
      <c r="R221">
        <f t="shared" si="78"/>
        <v>0</v>
      </c>
      <c r="S221">
        <f t="shared" si="79"/>
        <v>0</v>
      </c>
      <c r="T221" s="43">
        <f t="shared" si="80"/>
        <v>4736233.1132494295</v>
      </c>
      <c r="U221">
        <f t="shared" si="81"/>
        <v>0</v>
      </c>
      <c r="V221">
        <f t="shared" si="82"/>
        <v>0</v>
      </c>
      <c r="W221" s="43">
        <f t="shared" si="83"/>
        <v>4736233.1132494295</v>
      </c>
      <c r="X221" s="43">
        <f t="shared" si="84"/>
        <v>454635.96629175637</v>
      </c>
      <c r="Y221" s="27">
        <f t="shared" si="85"/>
        <v>36275.862667597918</v>
      </c>
      <c r="Z221" s="27">
        <f t="shared" si="86"/>
        <v>4699957.2505818317</v>
      </c>
      <c r="AA221">
        <f t="shared" si="87"/>
        <v>0</v>
      </c>
      <c r="AB221" s="27">
        <f t="shared" si="88"/>
        <v>4699957.2505818317</v>
      </c>
      <c r="AD221" s="27">
        <f t="shared" si="89"/>
        <v>0</v>
      </c>
      <c r="AE221" s="27">
        <f t="shared" si="90"/>
        <v>4699957.2505818317</v>
      </c>
      <c r="AF221" s="50"/>
      <c r="AG221" t="str">
        <f t="shared" si="91"/>
        <v>5307230</v>
      </c>
    </row>
    <row r="222" spans="1:33" hidden="1" x14ac:dyDescent="0.25">
      <c r="A222" s="7" t="s">
        <v>564</v>
      </c>
      <c r="B222" s="2" t="s">
        <v>1081</v>
      </c>
      <c r="C222" s="4" t="s">
        <v>1080</v>
      </c>
      <c r="D222">
        <f>_xlfn.IFNA(VLOOKUP(A222,'Prior Year data'!$A$1:$T$318,12,FALSE),0)</f>
        <v>192270.60098432816</v>
      </c>
      <c r="E222">
        <f>VLOOKUP(A222,'Basic HH'!$B$1:$Y$319,23,FALSE)</f>
        <v>82528.463294574307</v>
      </c>
      <c r="F222">
        <f>VLOOKUP(A222,'Conc. HH'!$B$1:$Y$319,23,FALSE)</f>
        <v>22205.13705287108</v>
      </c>
      <c r="G222">
        <f>VLOOKUP(A222,'Targeted HH'!$B$1:$Y$319,23,FALSE)</f>
        <v>55106.167980227707</v>
      </c>
      <c r="H222">
        <f>VLOOKUP(A222,'EFIG HH'!$B$1:$Y$319,23,FALSE)</f>
        <v>74717.567548196035</v>
      </c>
      <c r="I222">
        <f t="shared" si="69"/>
        <v>234557.33587586912</v>
      </c>
      <c r="J222">
        <f t="shared" si="70"/>
        <v>234557.33587586912</v>
      </c>
      <c r="K222" s="43">
        <f t="shared" si="71"/>
        <v>213256.92760624815</v>
      </c>
      <c r="L222">
        <f t="shared" si="72"/>
        <v>0</v>
      </c>
      <c r="M222">
        <f t="shared" si="73"/>
        <v>20986.326621919987</v>
      </c>
      <c r="N222" s="43">
        <f t="shared" si="74"/>
        <v>210257.42114040608</v>
      </c>
      <c r="O222">
        <f t="shared" si="75"/>
        <v>0</v>
      </c>
      <c r="P222">
        <f t="shared" si="76"/>
        <v>17986.820156077913</v>
      </c>
      <c r="Q222" s="43">
        <f t="shared" si="77"/>
        <v>210257.42114040608</v>
      </c>
      <c r="R222">
        <f t="shared" si="78"/>
        <v>0</v>
      </c>
      <c r="S222">
        <f t="shared" si="79"/>
        <v>17986.820156077913</v>
      </c>
      <c r="T222" s="43">
        <f t="shared" si="80"/>
        <v>210257.42114040608</v>
      </c>
      <c r="U222">
        <f t="shared" si="81"/>
        <v>0</v>
      </c>
      <c r="V222">
        <f t="shared" si="82"/>
        <v>17986.820156077913</v>
      </c>
      <c r="W222" s="43">
        <f t="shared" si="83"/>
        <v>210257.42114040608</v>
      </c>
      <c r="X222" s="43">
        <f t="shared" si="84"/>
        <v>24299.91473546304</v>
      </c>
      <c r="Y222" s="27">
        <f t="shared" si="85"/>
        <v>1610.4083459903352</v>
      </c>
      <c r="Z222" s="27">
        <f t="shared" si="86"/>
        <v>208647.01279441573</v>
      </c>
      <c r="AA222">
        <f t="shared" si="87"/>
        <v>0</v>
      </c>
      <c r="AB222" s="27">
        <f t="shared" si="88"/>
        <v>208647.01279441573</v>
      </c>
      <c r="AD222" s="27">
        <f t="shared" si="89"/>
        <v>0</v>
      </c>
      <c r="AE222" s="27">
        <f t="shared" si="90"/>
        <v>208647.01279441573</v>
      </c>
      <c r="AF222" s="50"/>
      <c r="AG222" t="str">
        <f t="shared" si="91"/>
        <v>5307260</v>
      </c>
    </row>
    <row r="223" spans="1:33" hidden="1" x14ac:dyDescent="0.25">
      <c r="A223" s="7" t="s">
        <v>199</v>
      </c>
      <c r="B223" s="2" t="s">
        <v>1083</v>
      </c>
      <c r="C223" s="4" t="s">
        <v>1082</v>
      </c>
      <c r="D223">
        <f>_xlfn.IFNA(VLOOKUP(A223,'Prior Year data'!$A$1:$T$318,12,FALSE),0)</f>
        <v>2653165.9224786186</v>
      </c>
      <c r="E223">
        <f>VLOOKUP(A223,'Basic HH'!$B$1:$Y$319,23,FALSE)</f>
        <v>1317849.2507144115</v>
      </c>
      <c r="F223">
        <f>VLOOKUP(A223,'Conc. HH'!$B$1:$Y$319,23,FALSE)</f>
        <v>0</v>
      </c>
      <c r="G223">
        <f>VLOOKUP(A223,'Targeted HH'!$B$1:$Y$319,23,FALSE)</f>
        <v>808801.76203304739</v>
      </c>
      <c r="H223">
        <f>VLOOKUP(A223,'EFIG HH'!$B$1:$Y$319,23,FALSE)</f>
        <v>1096641.3108145595</v>
      </c>
      <c r="I223">
        <f t="shared" si="69"/>
        <v>3223292.3235620186</v>
      </c>
      <c r="J223">
        <f t="shared" si="70"/>
        <v>3223292.3235620186</v>
      </c>
      <c r="K223" s="43">
        <f t="shared" si="71"/>
        <v>2930581.6214736365</v>
      </c>
      <c r="L223">
        <f t="shared" si="72"/>
        <v>0</v>
      </c>
      <c r="M223">
        <f t="shared" si="73"/>
        <v>277415.69899501791</v>
      </c>
      <c r="N223" s="43">
        <f t="shared" si="74"/>
        <v>2890931.5103392503</v>
      </c>
      <c r="O223">
        <f t="shared" si="75"/>
        <v>0</v>
      </c>
      <c r="P223">
        <f t="shared" si="76"/>
        <v>237765.58786063176</v>
      </c>
      <c r="Q223" s="43">
        <f t="shared" si="77"/>
        <v>2890931.5103392503</v>
      </c>
      <c r="R223">
        <f t="shared" si="78"/>
        <v>0</v>
      </c>
      <c r="S223">
        <f t="shared" si="79"/>
        <v>237765.58786063176</v>
      </c>
      <c r="T223" s="43">
        <f t="shared" si="80"/>
        <v>2890931.5103392503</v>
      </c>
      <c r="U223">
        <f t="shared" si="81"/>
        <v>0</v>
      </c>
      <c r="V223">
        <f t="shared" si="82"/>
        <v>237765.58786063176</v>
      </c>
      <c r="W223" s="43">
        <f t="shared" si="83"/>
        <v>2890931.5103392503</v>
      </c>
      <c r="X223" s="43">
        <f t="shared" si="84"/>
        <v>332360.81322276825</v>
      </c>
      <c r="Y223" s="27">
        <f t="shared" si="85"/>
        <v>22142.287328958828</v>
      </c>
      <c r="Z223" s="27">
        <f t="shared" si="86"/>
        <v>2868789.2230102913</v>
      </c>
      <c r="AA223">
        <f t="shared" si="87"/>
        <v>0</v>
      </c>
      <c r="AB223" s="27">
        <f t="shared" si="88"/>
        <v>2868789.2230102913</v>
      </c>
      <c r="AD223" s="27">
        <f t="shared" si="89"/>
        <v>0</v>
      </c>
      <c r="AE223" s="27">
        <f t="shared" si="90"/>
        <v>2868789.2230102913</v>
      </c>
      <c r="AF223" s="50"/>
      <c r="AG223" t="str">
        <f t="shared" si="91"/>
        <v>5307320</v>
      </c>
    </row>
    <row r="224" spans="1:33" hidden="1" x14ac:dyDescent="0.25">
      <c r="A224" s="7" t="s">
        <v>201</v>
      </c>
      <c r="B224" s="2" t="s">
        <v>1085</v>
      </c>
      <c r="C224" s="4" t="s">
        <v>1084</v>
      </c>
      <c r="D224">
        <f>_xlfn.IFNA(VLOOKUP(A224,'Prior Year data'!$A$1:$T$318,12,FALSE),0)</f>
        <v>180579.28487678117</v>
      </c>
      <c r="E224">
        <f>VLOOKUP(A224,'Basic HH'!$B$1:$Y$319,23,FALSE)</f>
        <v>154686.01391368813</v>
      </c>
      <c r="F224">
        <f>VLOOKUP(A224,'Conc. HH'!$B$1:$Y$319,23,FALSE)</f>
        <v>0</v>
      </c>
      <c r="G224">
        <f>VLOOKUP(A224,'Targeted HH'!$B$1:$Y$319,23,FALSE)</f>
        <v>0</v>
      </c>
      <c r="H224">
        <f>VLOOKUP(A224,'EFIG HH'!$B$1:$Y$319,23,FALSE)</f>
        <v>0</v>
      </c>
      <c r="I224">
        <f t="shared" si="69"/>
        <v>154686.01391368813</v>
      </c>
      <c r="J224">
        <f t="shared" si="70"/>
        <v>0</v>
      </c>
      <c r="K224" s="43">
        <f t="shared" si="71"/>
        <v>154686.01391368813</v>
      </c>
      <c r="L224">
        <f t="shared" si="72"/>
        <v>0</v>
      </c>
      <c r="M224">
        <f t="shared" si="73"/>
        <v>0</v>
      </c>
      <c r="N224" s="43">
        <f t="shared" si="74"/>
        <v>154686.01391368813</v>
      </c>
      <c r="O224">
        <f t="shared" si="75"/>
        <v>0</v>
      </c>
      <c r="P224">
        <f t="shared" si="76"/>
        <v>0</v>
      </c>
      <c r="Q224" s="43">
        <f t="shared" si="77"/>
        <v>154686.01391368813</v>
      </c>
      <c r="R224">
        <f t="shared" si="78"/>
        <v>0</v>
      </c>
      <c r="S224">
        <f t="shared" si="79"/>
        <v>0</v>
      </c>
      <c r="T224" s="43">
        <f t="shared" si="80"/>
        <v>154686.01391368813</v>
      </c>
      <c r="U224">
        <f t="shared" si="81"/>
        <v>0</v>
      </c>
      <c r="V224">
        <f t="shared" si="82"/>
        <v>0</v>
      </c>
      <c r="W224" s="43">
        <f t="shared" si="83"/>
        <v>154686.01391368813</v>
      </c>
      <c r="X224" s="43">
        <f t="shared" si="84"/>
        <v>0</v>
      </c>
      <c r="Y224" s="27">
        <f t="shared" si="85"/>
        <v>1184.7745799575412</v>
      </c>
      <c r="Z224" s="27">
        <f t="shared" si="86"/>
        <v>153501.2393337306</v>
      </c>
      <c r="AA224">
        <f t="shared" si="87"/>
        <v>0</v>
      </c>
      <c r="AB224" s="27">
        <f t="shared" si="88"/>
        <v>153501.2393337306</v>
      </c>
      <c r="AD224" s="27">
        <f t="shared" si="89"/>
        <v>0</v>
      </c>
      <c r="AE224" s="27">
        <f t="shared" si="90"/>
        <v>153501.2393337306</v>
      </c>
      <c r="AF224" s="50"/>
      <c r="AG224" t="str">
        <f t="shared" si="91"/>
        <v>5307350</v>
      </c>
    </row>
    <row r="225" spans="1:33" hidden="1" x14ac:dyDescent="0.25">
      <c r="A225" s="7" t="s">
        <v>203</v>
      </c>
      <c r="B225" s="2" t="s">
        <v>1087</v>
      </c>
      <c r="C225" s="4" t="s">
        <v>1086</v>
      </c>
      <c r="D225">
        <f>_xlfn.IFNA(VLOOKUP(A225,'Prior Year data'!$A$1:$T$318,12,FALSE),0)</f>
        <v>94661.249415756829</v>
      </c>
      <c r="E225">
        <f>VLOOKUP(A225,'Basic HH'!$B$1:$Y$319,23,FALSE)</f>
        <v>43146.579257373196</v>
      </c>
      <c r="F225">
        <f>VLOOKUP(A225,'Conc. HH'!$B$1:$Y$319,23,FALSE)</f>
        <v>0</v>
      </c>
      <c r="G225">
        <f>VLOOKUP(A225,'Targeted HH'!$B$1:$Y$319,23,FALSE)</f>
        <v>20639.736310718396</v>
      </c>
      <c r="H225">
        <f>VLOOKUP(A225,'EFIG HH'!$B$1:$Y$319,23,FALSE)</f>
        <v>28369.690038557383</v>
      </c>
      <c r="I225">
        <f t="shared" si="69"/>
        <v>92156.005606648978</v>
      </c>
      <c r="J225">
        <f t="shared" si="70"/>
        <v>0</v>
      </c>
      <c r="K225" s="43">
        <f t="shared" si="71"/>
        <v>92156.005606648978</v>
      </c>
      <c r="L225">
        <f t="shared" si="72"/>
        <v>0</v>
      </c>
      <c r="M225">
        <f t="shared" si="73"/>
        <v>0</v>
      </c>
      <c r="N225" s="43">
        <f t="shared" si="74"/>
        <v>92156.005606648978</v>
      </c>
      <c r="O225">
        <f t="shared" si="75"/>
        <v>0</v>
      </c>
      <c r="P225">
        <f t="shared" si="76"/>
        <v>0</v>
      </c>
      <c r="Q225" s="43">
        <f t="shared" si="77"/>
        <v>92156.005606648978</v>
      </c>
      <c r="R225">
        <f t="shared" si="78"/>
        <v>0</v>
      </c>
      <c r="S225">
        <f t="shared" si="79"/>
        <v>0</v>
      </c>
      <c r="T225" s="43">
        <f t="shared" si="80"/>
        <v>92156.005606648978</v>
      </c>
      <c r="U225">
        <f t="shared" si="81"/>
        <v>0</v>
      </c>
      <c r="V225">
        <f t="shared" si="82"/>
        <v>0</v>
      </c>
      <c r="W225" s="43">
        <f t="shared" si="83"/>
        <v>92156.005606648978</v>
      </c>
      <c r="X225" s="43">
        <f t="shared" si="84"/>
        <v>0</v>
      </c>
      <c r="Y225" s="27">
        <f t="shared" si="85"/>
        <v>705.84334078260633</v>
      </c>
      <c r="Z225" s="27">
        <f t="shared" si="86"/>
        <v>91450.162265866369</v>
      </c>
      <c r="AA225">
        <f t="shared" si="87"/>
        <v>0</v>
      </c>
      <c r="AB225" s="27">
        <f t="shared" si="88"/>
        <v>91450.162265866369</v>
      </c>
      <c r="AD225" s="27">
        <f t="shared" si="89"/>
        <v>0</v>
      </c>
      <c r="AE225" s="27">
        <f t="shared" si="90"/>
        <v>91450.162265866369</v>
      </c>
      <c r="AF225" s="50"/>
      <c r="AG225" t="str">
        <f t="shared" si="91"/>
        <v>5307380</v>
      </c>
    </row>
    <row r="226" spans="1:33" hidden="1" x14ac:dyDescent="0.25">
      <c r="A226" s="7" t="s">
        <v>296</v>
      </c>
      <c r="B226" s="2" t="s">
        <v>1089</v>
      </c>
      <c r="C226" s="4" t="s">
        <v>1088</v>
      </c>
      <c r="D226">
        <f>_xlfn.IFNA(VLOOKUP(A226,'Prior Year data'!$A$1:$T$318,12,FALSE),0)</f>
        <v>469269.77765432402</v>
      </c>
      <c r="E226">
        <f>VLOOKUP(A226,'Basic HH'!$B$1:$Y$319,23,FALSE)</f>
        <v>210230.40123459979</v>
      </c>
      <c r="F226">
        <f>VLOOKUP(A226,'Conc. HH'!$B$1:$Y$319,23,FALSE)</f>
        <v>0</v>
      </c>
      <c r="G226">
        <f>VLOOKUP(A226,'Targeted HH'!$B$1:$Y$319,23,FALSE)</f>
        <v>101414.52145699353</v>
      </c>
      <c r="H226">
        <f>VLOOKUP(A226,'EFIG HH'!$B$1:$Y$319,23,FALSE)</f>
        <v>137506.31980161837</v>
      </c>
      <c r="I226">
        <f t="shared" si="69"/>
        <v>449151.24249321164</v>
      </c>
      <c r="J226">
        <f t="shared" si="70"/>
        <v>0</v>
      </c>
      <c r="K226" s="43">
        <f t="shared" si="71"/>
        <v>449151.24249321164</v>
      </c>
      <c r="L226">
        <f t="shared" si="72"/>
        <v>0</v>
      </c>
      <c r="M226">
        <f t="shared" si="73"/>
        <v>0</v>
      </c>
      <c r="N226" s="43">
        <f t="shared" si="74"/>
        <v>449151.24249321164</v>
      </c>
      <c r="O226">
        <f t="shared" si="75"/>
        <v>0</v>
      </c>
      <c r="P226">
        <f t="shared" si="76"/>
        <v>0</v>
      </c>
      <c r="Q226" s="43">
        <f t="shared" si="77"/>
        <v>449151.24249321164</v>
      </c>
      <c r="R226">
        <f t="shared" si="78"/>
        <v>0</v>
      </c>
      <c r="S226">
        <f t="shared" si="79"/>
        <v>0</v>
      </c>
      <c r="T226" s="43">
        <f t="shared" si="80"/>
        <v>449151.24249321164</v>
      </c>
      <c r="U226">
        <f t="shared" si="81"/>
        <v>0</v>
      </c>
      <c r="V226">
        <f t="shared" si="82"/>
        <v>0</v>
      </c>
      <c r="W226" s="43">
        <f t="shared" si="83"/>
        <v>449151.24249321164</v>
      </c>
      <c r="X226" s="43">
        <f t="shared" si="84"/>
        <v>0</v>
      </c>
      <c r="Y226" s="27">
        <f t="shared" si="85"/>
        <v>3440.1492494287709</v>
      </c>
      <c r="Z226" s="27">
        <f t="shared" si="86"/>
        <v>445711.09324378287</v>
      </c>
      <c r="AA226">
        <f t="shared" si="87"/>
        <v>0</v>
      </c>
      <c r="AB226" s="27">
        <f t="shared" si="88"/>
        <v>445711.09324378287</v>
      </c>
      <c r="AD226" s="27">
        <f t="shared" si="89"/>
        <v>0</v>
      </c>
      <c r="AE226" s="27">
        <f t="shared" si="90"/>
        <v>445711.09324378287</v>
      </c>
      <c r="AF226" s="50"/>
      <c r="AG226" t="str">
        <f t="shared" si="91"/>
        <v>5307440</v>
      </c>
    </row>
    <row r="227" spans="1:33" hidden="1" x14ac:dyDescent="0.25">
      <c r="A227" s="7" t="s">
        <v>205</v>
      </c>
      <c r="B227" s="2" t="s">
        <v>1091</v>
      </c>
      <c r="C227" s="4" t="s">
        <v>1090</v>
      </c>
      <c r="D227">
        <f>_xlfn.IFNA(VLOOKUP(A227,'Prior Year data'!$A$1:$T$318,12,FALSE),0)</f>
        <v>142419.13411036707</v>
      </c>
      <c r="E227">
        <f>VLOOKUP(A227,'Basic HH'!$B$1:$Y$319,23,FALSE)</f>
        <v>121997.64870928614</v>
      </c>
      <c r="F227">
        <f>VLOOKUP(A227,'Conc. HH'!$B$1:$Y$319,23,FALSE)</f>
        <v>0</v>
      </c>
      <c r="G227">
        <f>VLOOKUP(A227,'Targeted HH'!$B$1:$Y$319,23,FALSE)</f>
        <v>0</v>
      </c>
      <c r="H227">
        <f>VLOOKUP(A227,'EFIG HH'!$B$1:$Y$319,23,FALSE)</f>
        <v>0</v>
      </c>
      <c r="I227">
        <f t="shared" si="69"/>
        <v>121997.64870928614</v>
      </c>
      <c r="J227">
        <f t="shared" si="70"/>
        <v>0</v>
      </c>
      <c r="K227" s="43">
        <f t="shared" si="71"/>
        <v>121997.64870928614</v>
      </c>
      <c r="L227">
        <f t="shared" si="72"/>
        <v>0</v>
      </c>
      <c r="M227">
        <f t="shared" si="73"/>
        <v>0</v>
      </c>
      <c r="N227" s="43">
        <f t="shared" si="74"/>
        <v>121997.64870928614</v>
      </c>
      <c r="O227">
        <f t="shared" si="75"/>
        <v>0</v>
      </c>
      <c r="P227">
        <f t="shared" si="76"/>
        <v>0</v>
      </c>
      <c r="Q227" s="43">
        <f t="shared" si="77"/>
        <v>121997.64870928614</v>
      </c>
      <c r="R227">
        <f t="shared" si="78"/>
        <v>0</v>
      </c>
      <c r="S227">
        <f t="shared" si="79"/>
        <v>0</v>
      </c>
      <c r="T227" s="43">
        <f t="shared" si="80"/>
        <v>121997.64870928614</v>
      </c>
      <c r="U227">
        <f t="shared" si="81"/>
        <v>0</v>
      </c>
      <c r="V227">
        <f t="shared" si="82"/>
        <v>0</v>
      </c>
      <c r="W227" s="43">
        <f t="shared" si="83"/>
        <v>121997.64870928614</v>
      </c>
      <c r="X227" s="43">
        <f t="shared" si="84"/>
        <v>0</v>
      </c>
      <c r="Y227" s="27">
        <f t="shared" si="85"/>
        <v>934.40712155141955</v>
      </c>
      <c r="Z227" s="27">
        <f t="shared" si="86"/>
        <v>121063.24158773472</v>
      </c>
      <c r="AA227">
        <f t="shared" si="87"/>
        <v>0</v>
      </c>
      <c r="AB227" s="27">
        <f t="shared" si="88"/>
        <v>121063.24158773472</v>
      </c>
      <c r="AD227" s="27">
        <f t="shared" si="89"/>
        <v>0</v>
      </c>
      <c r="AE227" s="27">
        <f t="shared" si="90"/>
        <v>121063.24158773472</v>
      </c>
      <c r="AF227" s="50"/>
      <c r="AG227" t="str">
        <f t="shared" si="91"/>
        <v>5304560</v>
      </c>
    </row>
    <row r="228" spans="1:33" hidden="1" x14ac:dyDescent="0.25">
      <c r="A228" s="7" t="s">
        <v>566</v>
      </c>
      <c r="B228" s="2" t="s">
        <v>1093</v>
      </c>
      <c r="C228" s="4" t="s">
        <v>1092</v>
      </c>
      <c r="D228">
        <f>_xlfn.IFNA(VLOOKUP(A228,'Prior Year data'!$A$1:$T$318,12,FALSE),0)</f>
        <v>592944.25597811153</v>
      </c>
      <c r="E228">
        <f>VLOOKUP(A228,'Basic HH'!$B$1:$Y$319,23,FALSE)</f>
        <v>223261.21122847989</v>
      </c>
      <c r="F228">
        <f>VLOOKUP(A228,'Conc. HH'!$B$1:$Y$319,23,FALSE)</f>
        <v>49745.119925263476</v>
      </c>
      <c r="G228">
        <f>VLOOKUP(A228,'Targeted HH'!$B$1:$Y$319,23,FALSE)</f>
        <v>107700.54551424521</v>
      </c>
      <c r="H228">
        <f>VLOOKUP(A228,'EFIG HH'!$B$1:$Y$319,23,FALSE)</f>
        <v>146029.43879758642</v>
      </c>
      <c r="I228">
        <f t="shared" si="69"/>
        <v>526736.31546557508</v>
      </c>
      <c r="J228">
        <f t="shared" si="70"/>
        <v>0</v>
      </c>
      <c r="K228" s="43">
        <f t="shared" si="71"/>
        <v>526736.31546557508</v>
      </c>
      <c r="L228">
        <f t="shared" si="72"/>
        <v>0</v>
      </c>
      <c r="M228">
        <f t="shared" si="73"/>
        <v>0</v>
      </c>
      <c r="N228" s="43">
        <f t="shared" si="74"/>
        <v>526736.31546557508</v>
      </c>
      <c r="O228">
        <f t="shared" si="75"/>
        <v>0</v>
      </c>
      <c r="P228">
        <f t="shared" si="76"/>
        <v>0</v>
      </c>
      <c r="Q228" s="43">
        <f t="shared" si="77"/>
        <v>526736.31546557508</v>
      </c>
      <c r="R228">
        <f t="shared" si="78"/>
        <v>0</v>
      </c>
      <c r="S228">
        <f t="shared" si="79"/>
        <v>0</v>
      </c>
      <c r="T228" s="43">
        <f t="shared" si="80"/>
        <v>526736.31546557508</v>
      </c>
      <c r="U228">
        <f t="shared" si="81"/>
        <v>0</v>
      </c>
      <c r="V228">
        <f t="shared" si="82"/>
        <v>0</v>
      </c>
      <c r="W228" s="43">
        <f t="shared" si="83"/>
        <v>526736.31546557508</v>
      </c>
      <c r="X228" s="43">
        <f t="shared" si="84"/>
        <v>0</v>
      </c>
      <c r="Y228" s="27">
        <f t="shared" si="85"/>
        <v>4034.3905768515406</v>
      </c>
      <c r="Z228" s="27">
        <f t="shared" si="86"/>
        <v>522701.92488872353</v>
      </c>
      <c r="AA228">
        <f t="shared" si="87"/>
        <v>0</v>
      </c>
      <c r="AB228" s="27">
        <f t="shared" si="88"/>
        <v>522701.92488872353</v>
      </c>
      <c r="AD228" s="27">
        <f t="shared" si="89"/>
        <v>0</v>
      </c>
      <c r="AE228" s="27">
        <f t="shared" si="90"/>
        <v>522701.92488872353</v>
      </c>
      <c r="AF228" s="50"/>
      <c r="AG228" t="str">
        <f t="shared" si="91"/>
        <v>5307470</v>
      </c>
    </row>
    <row r="229" spans="1:33" hidden="1" x14ac:dyDescent="0.25">
      <c r="A229" s="7" t="s">
        <v>298</v>
      </c>
      <c r="B229" s="2" t="s">
        <v>1095</v>
      </c>
      <c r="C229" s="4" t="s">
        <v>1094</v>
      </c>
      <c r="D229">
        <f>_xlfn.IFNA(VLOOKUP(A229,'Prior Year data'!$A$1:$T$318,12,FALSE),0)</f>
        <v>1784.7061918380432</v>
      </c>
      <c r="E229">
        <f>VLOOKUP(A229,'Basic HH'!$B$1:$Y$319,23,FALSE)</f>
        <v>0</v>
      </c>
      <c r="F229">
        <f>VLOOKUP(A229,'Conc. HH'!$B$1:$Y$319,23,FALSE)</f>
        <v>1528.7970987972483</v>
      </c>
      <c r="G229">
        <f>VLOOKUP(A229,'Targeted HH'!$B$1:$Y$319,23,FALSE)</f>
        <v>0</v>
      </c>
      <c r="H229">
        <f>VLOOKUP(A229,'EFIG HH'!$B$1:$Y$319,23,FALSE)</f>
        <v>0</v>
      </c>
      <c r="I229">
        <f t="shared" si="69"/>
        <v>1528.7970987972483</v>
      </c>
      <c r="J229">
        <f t="shared" si="70"/>
        <v>0</v>
      </c>
      <c r="K229" s="43">
        <f t="shared" si="71"/>
        <v>1528.7970987972483</v>
      </c>
      <c r="L229">
        <f t="shared" si="72"/>
        <v>0</v>
      </c>
      <c r="M229">
        <f t="shared" si="73"/>
        <v>0</v>
      </c>
      <c r="N229" s="43">
        <f t="shared" si="74"/>
        <v>1528.7970987972483</v>
      </c>
      <c r="O229">
        <f t="shared" si="75"/>
        <v>0</v>
      </c>
      <c r="P229">
        <f t="shared" si="76"/>
        <v>0</v>
      </c>
      <c r="Q229" s="43">
        <f t="shared" si="77"/>
        <v>1528.7970987972483</v>
      </c>
      <c r="R229">
        <f t="shared" si="78"/>
        <v>0</v>
      </c>
      <c r="S229">
        <f t="shared" si="79"/>
        <v>0</v>
      </c>
      <c r="T229" s="43">
        <f t="shared" si="80"/>
        <v>1528.7970987972483</v>
      </c>
      <c r="U229">
        <f t="shared" si="81"/>
        <v>0</v>
      </c>
      <c r="V229">
        <f t="shared" si="82"/>
        <v>0</v>
      </c>
      <c r="W229" s="43">
        <f t="shared" si="83"/>
        <v>1528.7970987972483</v>
      </c>
      <c r="X229" s="43">
        <f t="shared" si="84"/>
        <v>0</v>
      </c>
      <c r="Y229" s="27">
        <f t="shared" si="85"/>
        <v>11.709396956718255</v>
      </c>
      <c r="Z229" s="27">
        <f t="shared" si="86"/>
        <v>1517.0877018405299</v>
      </c>
      <c r="AA229">
        <f t="shared" si="87"/>
        <v>0</v>
      </c>
      <c r="AB229" s="27">
        <f t="shared" si="88"/>
        <v>1517.0877018405299</v>
      </c>
      <c r="AD229" s="27">
        <f t="shared" si="89"/>
        <v>0</v>
      </c>
      <c r="AE229" s="27">
        <f t="shared" si="90"/>
        <v>1517.0877018405299</v>
      </c>
      <c r="AF229" s="50"/>
      <c r="AG229" t="str">
        <f t="shared" si="91"/>
        <v>5307530</v>
      </c>
    </row>
    <row r="230" spans="1:33" hidden="1" x14ac:dyDescent="0.25">
      <c r="A230" t="s">
        <v>1422</v>
      </c>
      <c r="B230" t="s">
        <v>1423</v>
      </c>
      <c r="C230" t="s">
        <v>1429</v>
      </c>
      <c r="D230">
        <f>_xlfn.IFNA(VLOOKUP(A230,'Prior Year data'!$A$1:$T$318,12,FALSE),0)</f>
        <v>26047.921873118485</v>
      </c>
      <c r="E230">
        <f>VLOOKUP(A230,'Basic HH'!$B$1:$Y$319,23,FALSE)</f>
        <v>14451.405207031155</v>
      </c>
      <c r="F230">
        <f>VLOOKUP(A230,'Conc. HH'!$B$1:$Y$319,23,FALSE)</f>
        <v>0</v>
      </c>
      <c r="G230">
        <f>VLOOKUP(A230,'Targeted HH'!$B$1:$Y$319,23,FALSE)</f>
        <v>10207.81624267748</v>
      </c>
      <c r="H230">
        <f>VLOOKUP(A230,'EFIG HH'!$B$1:$Y$319,23,FALSE)</f>
        <v>13840.613992711083</v>
      </c>
      <c r="I230">
        <f t="shared" si="69"/>
        <v>38499.835442419717</v>
      </c>
      <c r="J230">
        <f t="shared" si="70"/>
        <v>38499.835442419717</v>
      </c>
      <c r="K230" s="43">
        <f t="shared" si="71"/>
        <v>35003.623268221294</v>
      </c>
      <c r="L230">
        <f t="shared" si="72"/>
        <v>0</v>
      </c>
      <c r="M230">
        <f t="shared" si="73"/>
        <v>8955.7013951028093</v>
      </c>
      <c r="N230" s="43">
        <f t="shared" si="74"/>
        <v>33723.614397459511</v>
      </c>
      <c r="O230">
        <f t="shared" si="75"/>
        <v>0</v>
      </c>
      <c r="P230">
        <f t="shared" si="76"/>
        <v>7675.692524341026</v>
      </c>
      <c r="Q230" s="43">
        <f t="shared" si="77"/>
        <v>33723.614397459511</v>
      </c>
      <c r="R230">
        <f t="shared" si="78"/>
        <v>0</v>
      </c>
      <c r="S230">
        <f t="shared" si="79"/>
        <v>7675.692524341026</v>
      </c>
      <c r="T230" s="43">
        <f t="shared" si="80"/>
        <v>33723.614397459511</v>
      </c>
      <c r="U230">
        <f t="shared" si="81"/>
        <v>0</v>
      </c>
      <c r="V230">
        <f t="shared" si="82"/>
        <v>7675.692524341026</v>
      </c>
      <c r="W230" s="43">
        <f t="shared" si="83"/>
        <v>33723.614397459511</v>
      </c>
      <c r="X230" s="43">
        <f t="shared" si="84"/>
        <v>4776.2210449602062</v>
      </c>
      <c r="Y230" s="27">
        <f t="shared" si="85"/>
        <v>258.2966621965852</v>
      </c>
      <c r="Z230" s="27">
        <f t="shared" si="86"/>
        <v>33465.317735262928</v>
      </c>
      <c r="AA230">
        <f t="shared" si="87"/>
        <v>0</v>
      </c>
      <c r="AB230" s="27">
        <f t="shared" si="88"/>
        <v>33465.317735262928</v>
      </c>
      <c r="AD230" s="27">
        <f t="shared" si="89"/>
        <v>0</v>
      </c>
      <c r="AE230" s="27">
        <f t="shared" si="90"/>
        <v>33465.317735262928</v>
      </c>
      <c r="AF230" s="50"/>
      <c r="AG230" t="str">
        <f t="shared" si="91"/>
        <v>5307795</v>
      </c>
    </row>
    <row r="231" spans="1:33" hidden="1" x14ac:dyDescent="0.25">
      <c r="A231" s="7" t="s">
        <v>568</v>
      </c>
      <c r="B231" s="2" t="s">
        <v>1097</v>
      </c>
      <c r="C231" s="4" t="s">
        <v>1096</v>
      </c>
      <c r="D231">
        <f>_xlfn.IFNA(VLOOKUP(A231,'Prior Year data'!$A$1:$T$318,12,FALSE),0)</f>
        <v>65449.091901415748</v>
      </c>
      <c r="E231">
        <f>VLOOKUP(A231,'Basic HH'!$B$1:$Y$319,23,FALSE)</f>
        <v>40829.871314157805</v>
      </c>
      <c r="F231">
        <f>VLOOKUP(A231,'Conc. HH'!$B$1:$Y$319,23,FALSE)</f>
        <v>10985.69938405201</v>
      </c>
      <c r="G231">
        <f>VLOOKUP(A231,'Targeted HH'!$B$1:$Y$319,23,FALSE)</f>
        <v>22373.23777798365</v>
      </c>
      <c r="H231">
        <f>VLOOKUP(A231,'EFIG HH'!$B$1:$Y$319,23,FALSE)</f>
        <v>30335.51354084623</v>
      </c>
      <c r="I231">
        <f t="shared" si="69"/>
        <v>104524.3220170397</v>
      </c>
      <c r="J231">
        <f t="shared" si="70"/>
        <v>104524.3220170397</v>
      </c>
      <c r="K231" s="43">
        <f t="shared" si="71"/>
        <v>95032.353988179908</v>
      </c>
      <c r="L231">
        <f t="shared" si="72"/>
        <v>0</v>
      </c>
      <c r="M231">
        <f t="shared" si="73"/>
        <v>29583.26208676416</v>
      </c>
      <c r="N231" s="43">
        <f t="shared" si="74"/>
        <v>90804.115883028775</v>
      </c>
      <c r="O231">
        <f t="shared" si="75"/>
        <v>0</v>
      </c>
      <c r="P231">
        <f t="shared" si="76"/>
        <v>25355.023981613027</v>
      </c>
      <c r="Q231" s="43">
        <f t="shared" si="77"/>
        <v>90804.115883028775</v>
      </c>
      <c r="R231">
        <f t="shared" si="78"/>
        <v>0</v>
      </c>
      <c r="S231">
        <f t="shared" si="79"/>
        <v>25355.023981613027</v>
      </c>
      <c r="T231" s="43">
        <f t="shared" si="80"/>
        <v>90804.115883028775</v>
      </c>
      <c r="U231">
        <f t="shared" si="81"/>
        <v>0</v>
      </c>
      <c r="V231">
        <f t="shared" si="82"/>
        <v>25355.023981613027</v>
      </c>
      <c r="W231" s="43">
        <f t="shared" si="83"/>
        <v>90804.115883028775</v>
      </c>
      <c r="X231" s="43">
        <f t="shared" si="84"/>
        <v>13720.206134010921</v>
      </c>
      <c r="Y231" s="27">
        <f t="shared" si="85"/>
        <v>695.48891675339348</v>
      </c>
      <c r="Z231" s="27">
        <f t="shared" si="86"/>
        <v>90108.626966275377</v>
      </c>
      <c r="AA231">
        <f t="shared" si="87"/>
        <v>0</v>
      </c>
      <c r="AB231" s="27">
        <f t="shared" si="88"/>
        <v>90108.626966275377</v>
      </c>
      <c r="AD231" s="27">
        <f t="shared" si="89"/>
        <v>0</v>
      </c>
      <c r="AE231" s="27">
        <f t="shared" si="90"/>
        <v>90108.626966275377</v>
      </c>
      <c r="AF231" s="50"/>
      <c r="AG231" t="str">
        <f t="shared" si="91"/>
        <v>5307560</v>
      </c>
    </row>
    <row r="232" spans="1:33" hidden="1" x14ac:dyDescent="0.25">
      <c r="A232" s="7" t="s">
        <v>570</v>
      </c>
      <c r="B232" s="2" t="s">
        <v>1099</v>
      </c>
      <c r="C232" s="4" t="s">
        <v>1098</v>
      </c>
      <c r="D232">
        <f>_xlfn.IFNA(VLOOKUP(A232,'Prior Year data'!$A$1:$T$318,12,FALSE),0)</f>
        <v>584743.26457960741</v>
      </c>
      <c r="E232">
        <f>VLOOKUP(A232,'Basic HH'!$B$1:$Y$319,23,FALSE)</f>
        <v>206755.518569565</v>
      </c>
      <c r="F232">
        <f>VLOOKUP(A232,'Conc. HH'!$B$1:$Y$319,23,FALSE)</f>
        <v>52370.564365381637</v>
      </c>
      <c r="G232">
        <f>VLOOKUP(A232,'Targeted HH'!$B$1:$Y$319,23,FALSE)</f>
        <v>104555.24047984883</v>
      </c>
      <c r="H232">
        <f>VLOOKUP(A232,'EFIG HH'!$B$1:$Y$319,23,FALSE)</f>
        <v>137771.62268479104</v>
      </c>
      <c r="I232">
        <f t="shared" si="69"/>
        <v>501452.94609958649</v>
      </c>
      <c r="J232">
        <f t="shared" si="70"/>
        <v>0</v>
      </c>
      <c r="K232" s="43">
        <f t="shared" si="71"/>
        <v>501452.94609958649</v>
      </c>
      <c r="L232">
        <f t="shared" si="72"/>
        <v>0</v>
      </c>
      <c r="M232">
        <f t="shared" si="73"/>
        <v>0</v>
      </c>
      <c r="N232" s="43">
        <f t="shared" si="74"/>
        <v>501452.94609958649</v>
      </c>
      <c r="O232">
        <f t="shared" si="75"/>
        <v>0</v>
      </c>
      <c r="P232">
        <f t="shared" si="76"/>
        <v>0</v>
      </c>
      <c r="Q232" s="43">
        <f t="shared" si="77"/>
        <v>501452.94609958649</v>
      </c>
      <c r="R232">
        <f t="shared" si="78"/>
        <v>0</v>
      </c>
      <c r="S232">
        <f t="shared" si="79"/>
        <v>0</v>
      </c>
      <c r="T232" s="43">
        <f t="shared" si="80"/>
        <v>501452.94609958649</v>
      </c>
      <c r="U232">
        <f t="shared" si="81"/>
        <v>0</v>
      </c>
      <c r="V232">
        <f t="shared" si="82"/>
        <v>0</v>
      </c>
      <c r="W232" s="43">
        <f t="shared" si="83"/>
        <v>501452.94609958649</v>
      </c>
      <c r="X232" s="43">
        <f t="shared" si="84"/>
        <v>0</v>
      </c>
      <c r="Y232" s="27">
        <f t="shared" si="85"/>
        <v>3840.7396283099683</v>
      </c>
      <c r="Z232" s="27">
        <f t="shared" si="86"/>
        <v>497612.20647127653</v>
      </c>
      <c r="AA232">
        <f t="shared" si="87"/>
        <v>0</v>
      </c>
      <c r="AB232" s="27">
        <f t="shared" si="88"/>
        <v>497612.20647127653</v>
      </c>
      <c r="AD232" s="27">
        <f t="shared" si="89"/>
        <v>0</v>
      </c>
      <c r="AE232" s="27">
        <f t="shared" si="90"/>
        <v>497612.20647127653</v>
      </c>
      <c r="AF232" s="50"/>
      <c r="AG232" t="str">
        <f t="shared" si="91"/>
        <v>5307620</v>
      </c>
    </row>
    <row r="233" spans="1:33" hidden="1" x14ac:dyDescent="0.25">
      <c r="A233" s="7" t="s">
        <v>207</v>
      </c>
      <c r="B233" s="2" t="s">
        <v>1101</v>
      </c>
      <c r="C233" s="4" t="s">
        <v>1100</v>
      </c>
      <c r="D233">
        <f>_xlfn.IFNA(VLOOKUP(A233,'Prior Year data'!$A$1:$T$318,12,FALSE),0)</f>
        <v>176331.48742304288</v>
      </c>
      <c r="E233">
        <f>VLOOKUP(A233,'Basic HH'!$B$1:$Y$319,23,FALSE)</f>
        <v>74709.977298246187</v>
      </c>
      <c r="F233">
        <f>VLOOKUP(A233,'Conc. HH'!$B$1:$Y$319,23,FALSE)</f>
        <v>0</v>
      </c>
      <c r="G233">
        <f>VLOOKUP(A233,'Targeted HH'!$B$1:$Y$319,23,FALSE)</f>
        <v>36039.871261576212</v>
      </c>
      <c r="H233">
        <f>VLOOKUP(A233,'EFIG HH'!$B$1:$Y$319,23,FALSE)</f>
        <v>48865.882243550324</v>
      </c>
      <c r="I233">
        <f t="shared" si="69"/>
        <v>159615.73080337272</v>
      </c>
      <c r="J233">
        <f t="shared" si="70"/>
        <v>0</v>
      </c>
      <c r="K233" s="43">
        <f t="shared" si="71"/>
        <v>159615.73080337272</v>
      </c>
      <c r="L233">
        <f t="shared" si="72"/>
        <v>0</v>
      </c>
      <c r="M233">
        <f t="shared" si="73"/>
        <v>0</v>
      </c>
      <c r="N233" s="43">
        <f t="shared" si="74"/>
        <v>159615.73080337272</v>
      </c>
      <c r="O233">
        <f t="shared" si="75"/>
        <v>0</v>
      </c>
      <c r="P233">
        <f t="shared" si="76"/>
        <v>0</v>
      </c>
      <c r="Q233" s="43">
        <f t="shared" si="77"/>
        <v>159615.73080337272</v>
      </c>
      <c r="R233">
        <f t="shared" si="78"/>
        <v>0</v>
      </c>
      <c r="S233">
        <f t="shared" si="79"/>
        <v>0</v>
      </c>
      <c r="T233" s="43">
        <f t="shared" si="80"/>
        <v>159615.73080337272</v>
      </c>
      <c r="U233">
        <f t="shared" si="81"/>
        <v>0</v>
      </c>
      <c r="V233">
        <f t="shared" si="82"/>
        <v>0</v>
      </c>
      <c r="W233" s="43">
        <f t="shared" si="83"/>
        <v>159615.73080337272</v>
      </c>
      <c r="X233" s="43">
        <f t="shared" si="84"/>
        <v>0</v>
      </c>
      <c r="Y233" s="27">
        <f t="shared" si="85"/>
        <v>1222.5323778961747</v>
      </c>
      <c r="Z233" s="27">
        <f t="shared" si="86"/>
        <v>158393.19842547656</v>
      </c>
      <c r="AA233">
        <f t="shared" si="87"/>
        <v>0</v>
      </c>
      <c r="AB233" s="27">
        <f t="shared" si="88"/>
        <v>158393.19842547656</v>
      </c>
      <c r="AD233" s="27">
        <f t="shared" si="89"/>
        <v>0</v>
      </c>
      <c r="AE233" s="27">
        <f t="shared" si="90"/>
        <v>158393.19842547656</v>
      </c>
      <c r="AF233" s="50"/>
      <c r="AG233" t="str">
        <f t="shared" si="91"/>
        <v>5307650</v>
      </c>
    </row>
    <row r="234" spans="1:33" hidden="1" x14ac:dyDescent="0.25">
      <c r="A234" s="7" t="s">
        <v>572</v>
      </c>
      <c r="B234" s="2" t="s">
        <v>1103</v>
      </c>
      <c r="C234" s="4" t="s">
        <v>1102</v>
      </c>
      <c r="D234">
        <f>_xlfn.IFNA(VLOOKUP(A234,'Prior Year data'!$A$1:$T$318,12,FALSE),0)</f>
        <v>40470.578656581223</v>
      </c>
      <c r="E234">
        <f>VLOOKUP(A234,'Basic HH'!$B$1:$Y$319,23,FALSE)</f>
        <v>13597.261156452951</v>
      </c>
      <c r="F234">
        <f>VLOOKUP(A234,'Conc. HH'!$B$1:$Y$319,23,FALSE)</f>
        <v>3561.1979477865334</v>
      </c>
      <c r="G234">
        <f>VLOOKUP(A234,'Targeted HH'!$B$1:$Y$319,23,FALSE)</f>
        <v>7634.8743479050181</v>
      </c>
      <c r="H234">
        <f>VLOOKUP(A234,'EFIG HH'!$B$1:$Y$319,23,FALSE)</f>
        <v>10527.985249291687</v>
      </c>
      <c r="I234">
        <f t="shared" si="69"/>
        <v>35321.31870143619</v>
      </c>
      <c r="J234">
        <f t="shared" si="70"/>
        <v>0</v>
      </c>
      <c r="K234" s="43">
        <f t="shared" si="71"/>
        <v>35321.31870143619</v>
      </c>
      <c r="L234">
        <f t="shared" si="72"/>
        <v>0</v>
      </c>
      <c r="M234">
        <f t="shared" si="73"/>
        <v>0</v>
      </c>
      <c r="N234" s="43">
        <f t="shared" si="74"/>
        <v>35321.31870143619</v>
      </c>
      <c r="O234">
        <f t="shared" si="75"/>
        <v>0</v>
      </c>
      <c r="P234">
        <f t="shared" si="76"/>
        <v>0</v>
      </c>
      <c r="Q234" s="43">
        <f t="shared" si="77"/>
        <v>35321.31870143619</v>
      </c>
      <c r="R234">
        <f t="shared" si="78"/>
        <v>0</v>
      </c>
      <c r="S234">
        <f t="shared" si="79"/>
        <v>0</v>
      </c>
      <c r="T234" s="43">
        <f t="shared" si="80"/>
        <v>35321.31870143619</v>
      </c>
      <c r="U234">
        <f t="shared" si="81"/>
        <v>0</v>
      </c>
      <c r="V234">
        <f t="shared" si="82"/>
        <v>0</v>
      </c>
      <c r="W234" s="43">
        <f t="shared" si="83"/>
        <v>35321.31870143619</v>
      </c>
      <c r="X234" s="43">
        <f t="shared" si="84"/>
        <v>0</v>
      </c>
      <c r="Y234" s="27">
        <f t="shared" si="85"/>
        <v>270.53383476149816</v>
      </c>
      <c r="Z234" s="27">
        <f t="shared" si="86"/>
        <v>35050.784866674694</v>
      </c>
      <c r="AA234">
        <f t="shared" si="87"/>
        <v>0</v>
      </c>
      <c r="AB234" s="27">
        <f t="shared" si="88"/>
        <v>35050.784866674694</v>
      </c>
      <c r="AD234" s="27">
        <f t="shared" si="89"/>
        <v>0</v>
      </c>
      <c r="AE234" s="27">
        <f t="shared" si="90"/>
        <v>35050.784866674694</v>
      </c>
      <c r="AF234" s="50"/>
      <c r="AG234" t="str">
        <f t="shared" si="91"/>
        <v>5307680</v>
      </c>
    </row>
    <row r="235" spans="1:33" x14ac:dyDescent="0.25">
      <c r="A235" s="7" t="s">
        <v>82</v>
      </c>
      <c r="B235" s="2" t="s">
        <v>1104</v>
      </c>
      <c r="C235" s="8" t="s">
        <v>50</v>
      </c>
      <c r="D235">
        <f>_xlfn.IFNA(VLOOKUP(A235,'Prior Year data'!$A$1:$T$318,12,FALSE),0)</f>
        <v>44166.276055897761</v>
      </c>
      <c r="E235">
        <f>VLOOKUP(A235,'Basic HH'!$B$1:$Y$319,23,FALSE)</f>
        <v>17383.574379472255</v>
      </c>
      <c r="F235">
        <f>VLOOKUP(A235,'Conc. HH'!$B$1:$Y$319,23,FALSE)</f>
        <v>0</v>
      </c>
      <c r="G235">
        <f>VLOOKUP(A235,'Targeted HH'!$B$1:$Y$319,23,FALSE)</f>
        <v>12278.967364380151</v>
      </c>
      <c r="H235">
        <f>VLOOKUP(A235,'EFIG HH'!$B$1:$Y$319,23,FALSE)</f>
        <v>16648.854512971298</v>
      </c>
      <c r="I235">
        <f t="shared" si="69"/>
        <v>46311.396256823704</v>
      </c>
      <c r="J235">
        <f t="shared" si="70"/>
        <v>46311.396256823704</v>
      </c>
      <c r="K235" s="43">
        <f t="shared" si="71"/>
        <v>42105.807699454585</v>
      </c>
      <c r="L235">
        <f t="shared" si="72"/>
        <v>2060.4683564431762</v>
      </c>
      <c r="M235">
        <f t="shared" si="73"/>
        <v>0</v>
      </c>
      <c r="N235" s="43">
        <f t="shared" si="74"/>
        <v>44166.276055897761</v>
      </c>
      <c r="O235">
        <f t="shared" si="75"/>
        <v>0</v>
      </c>
      <c r="P235">
        <f t="shared" si="76"/>
        <v>0</v>
      </c>
      <c r="Q235" s="43">
        <f t="shared" si="77"/>
        <v>44166.276055897761</v>
      </c>
      <c r="R235">
        <f t="shared" si="78"/>
        <v>0</v>
      </c>
      <c r="S235">
        <f t="shared" si="79"/>
        <v>0</v>
      </c>
      <c r="T235" s="43">
        <f t="shared" si="80"/>
        <v>44166.276055897761</v>
      </c>
      <c r="U235">
        <f t="shared" si="81"/>
        <v>0</v>
      </c>
      <c r="V235">
        <f t="shared" si="82"/>
        <v>0</v>
      </c>
      <c r="W235" s="43">
        <f t="shared" si="83"/>
        <v>44166.276055897761</v>
      </c>
      <c r="X235" s="43">
        <f t="shared" si="84"/>
        <v>2145.1202009259432</v>
      </c>
      <c r="Y235" s="27">
        <f t="shared" si="85"/>
        <v>338.27933009905217</v>
      </c>
      <c r="Z235" s="27">
        <f t="shared" si="86"/>
        <v>43827.996725798708</v>
      </c>
      <c r="AA235">
        <f t="shared" si="87"/>
        <v>0</v>
      </c>
      <c r="AB235" s="27">
        <f t="shared" si="88"/>
        <v>43827.996725798708</v>
      </c>
      <c r="AD235" s="27">
        <f t="shared" si="89"/>
        <v>0</v>
      </c>
      <c r="AE235" s="27">
        <f t="shared" si="90"/>
        <v>43827.996725798708</v>
      </c>
      <c r="AF235" s="50"/>
      <c r="AG235" t="str">
        <f t="shared" si="91"/>
        <v>5307700</v>
      </c>
    </row>
    <row r="236" spans="1:33" hidden="1" x14ac:dyDescent="0.25">
      <c r="A236" s="7" t="s">
        <v>81</v>
      </c>
      <c r="B236" s="2" t="s">
        <v>1105</v>
      </c>
      <c r="C236" s="4" t="s">
        <v>46</v>
      </c>
      <c r="D236">
        <f>_xlfn.IFNA(VLOOKUP(A236,'Prior Year data'!$A$1:$T$318,12,FALSE),0)</f>
        <v>0</v>
      </c>
      <c r="E236">
        <f>VLOOKUP(A236,'Basic HH'!$B$1:$Y$319,23,FALSE)</f>
        <v>0</v>
      </c>
      <c r="F236">
        <f>VLOOKUP(A236,'Conc. HH'!$B$1:$Y$319,23,FALSE)</f>
        <v>0</v>
      </c>
      <c r="G236">
        <f>VLOOKUP(A236,'Targeted HH'!$B$1:$Y$319,23,FALSE)</f>
        <v>0</v>
      </c>
      <c r="H236">
        <f>VLOOKUP(A236,'EFIG HH'!$B$1:$Y$319,23,FALSE)</f>
        <v>0</v>
      </c>
      <c r="I236">
        <f t="shared" si="69"/>
        <v>0</v>
      </c>
      <c r="J236">
        <f t="shared" si="70"/>
        <v>0</v>
      </c>
      <c r="K236" s="43">
        <f t="shared" si="71"/>
        <v>0</v>
      </c>
      <c r="L236">
        <f t="shared" si="72"/>
        <v>0</v>
      </c>
      <c r="M236">
        <f t="shared" si="73"/>
        <v>0</v>
      </c>
      <c r="N236" s="43">
        <f t="shared" si="74"/>
        <v>0</v>
      </c>
      <c r="O236">
        <f t="shared" si="75"/>
        <v>0</v>
      </c>
      <c r="P236">
        <f t="shared" si="76"/>
        <v>0</v>
      </c>
      <c r="Q236" s="43">
        <f t="shared" si="77"/>
        <v>0</v>
      </c>
      <c r="R236">
        <f t="shared" si="78"/>
        <v>0</v>
      </c>
      <c r="S236">
        <f t="shared" si="79"/>
        <v>0</v>
      </c>
      <c r="T236" s="43">
        <f t="shared" si="80"/>
        <v>0</v>
      </c>
      <c r="U236">
        <f t="shared" si="81"/>
        <v>0</v>
      </c>
      <c r="V236">
        <f t="shared" si="82"/>
        <v>0</v>
      </c>
      <c r="W236" s="43">
        <f t="shared" si="83"/>
        <v>0</v>
      </c>
      <c r="X236" s="43">
        <f t="shared" si="84"/>
        <v>0</v>
      </c>
      <c r="Y236" s="27">
        <f t="shared" si="85"/>
        <v>0</v>
      </c>
      <c r="Z236" s="27">
        <f t="shared" si="86"/>
        <v>0</v>
      </c>
      <c r="AA236">
        <f t="shared" si="87"/>
        <v>0</v>
      </c>
      <c r="AB236" s="27">
        <f t="shared" si="88"/>
        <v>0</v>
      </c>
      <c r="AD236" s="27">
        <f t="shared" si="89"/>
        <v>0</v>
      </c>
      <c r="AE236" s="27">
        <f t="shared" si="90"/>
        <v>0</v>
      </c>
      <c r="AF236" s="50"/>
      <c r="AG236" t="str">
        <f t="shared" si="91"/>
        <v>5307690</v>
      </c>
    </row>
    <row r="237" spans="1:33" hidden="1" x14ac:dyDescent="0.25">
      <c r="A237" s="7" t="s">
        <v>59</v>
      </c>
      <c r="B237" s="2" t="s">
        <v>1106</v>
      </c>
      <c r="C237" s="4" t="s">
        <v>24</v>
      </c>
      <c r="D237">
        <f>_xlfn.IFNA(VLOOKUP(A237,'Prior Year data'!$A$1:$T$318,12,FALSE),0)</f>
        <v>16341721.785394616</v>
      </c>
      <c r="E237">
        <f>VLOOKUP(A237,'Basic HH'!$B$1:$Y$319,23,FALSE)</f>
        <v>5648295.1890692059</v>
      </c>
      <c r="F237">
        <f>VLOOKUP(A237,'Conc. HH'!$B$1:$Y$319,23,FALSE)</f>
        <v>1519732.269104297</v>
      </c>
      <c r="G237">
        <f>VLOOKUP(A237,'Targeted HH'!$B$1:$Y$319,23,FALSE)</f>
        <v>4845652.0324518336</v>
      </c>
      <c r="H237">
        <f>VLOOKUP(A237,'EFIG HH'!$B$1:$Y$319,23,FALSE)</f>
        <v>6570141.7158906804</v>
      </c>
      <c r="I237">
        <f t="shared" si="69"/>
        <v>18583821.206516016</v>
      </c>
      <c r="J237">
        <f t="shared" si="70"/>
        <v>18583821.206516016</v>
      </c>
      <c r="K237" s="43">
        <f t="shared" si="71"/>
        <v>16896204.072605882</v>
      </c>
      <c r="L237">
        <f t="shared" si="72"/>
        <v>0</v>
      </c>
      <c r="M237">
        <f t="shared" si="73"/>
        <v>554482.28721126541</v>
      </c>
      <c r="N237" s="43">
        <f t="shared" si="74"/>
        <v>16816953.747589596</v>
      </c>
      <c r="O237">
        <f t="shared" si="75"/>
        <v>0</v>
      </c>
      <c r="P237">
        <f t="shared" si="76"/>
        <v>475231.96219497919</v>
      </c>
      <c r="Q237" s="43">
        <f t="shared" si="77"/>
        <v>16816953.747589596</v>
      </c>
      <c r="R237">
        <f t="shared" si="78"/>
        <v>0</v>
      </c>
      <c r="S237">
        <f t="shared" si="79"/>
        <v>475231.96219497919</v>
      </c>
      <c r="T237" s="43">
        <f t="shared" si="80"/>
        <v>16816953.747589596</v>
      </c>
      <c r="U237">
        <f t="shared" si="81"/>
        <v>0</v>
      </c>
      <c r="V237">
        <f t="shared" si="82"/>
        <v>475231.96219497919</v>
      </c>
      <c r="W237" s="43">
        <f t="shared" si="83"/>
        <v>16816953.747589596</v>
      </c>
      <c r="X237" s="43">
        <f t="shared" si="84"/>
        <v>1766867.4589264207</v>
      </c>
      <c r="Y237" s="27">
        <f t="shared" si="85"/>
        <v>128804.78854140779</v>
      </c>
      <c r="Z237" s="27">
        <f t="shared" si="86"/>
        <v>16688148.959048187</v>
      </c>
      <c r="AA237">
        <f t="shared" si="87"/>
        <v>0</v>
      </c>
      <c r="AB237" s="27">
        <f t="shared" si="88"/>
        <v>16688148.959048187</v>
      </c>
      <c r="AD237" s="27">
        <f t="shared" si="89"/>
        <v>0</v>
      </c>
      <c r="AE237" s="27">
        <f t="shared" si="90"/>
        <v>16688148.959048187</v>
      </c>
      <c r="AF237" s="50"/>
      <c r="AG237" t="str">
        <f t="shared" si="91"/>
        <v>5307710</v>
      </c>
    </row>
    <row r="238" spans="1:33" x14ac:dyDescent="0.25">
      <c r="A238" s="7" t="s">
        <v>300</v>
      </c>
      <c r="B238" s="2" t="s">
        <v>1108</v>
      </c>
      <c r="C238" s="4" t="s">
        <v>1107</v>
      </c>
      <c r="D238">
        <f>_xlfn.IFNA(VLOOKUP(A238,'Prior Year data'!$A$1:$T$318,12,FALSE),0)</f>
        <v>1011398.6581744819</v>
      </c>
      <c r="E238">
        <f>VLOOKUP(A238,'Basic HH'!$B$1:$Y$319,23,FALSE)</f>
        <v>496908.22109996318</v>
      </c>
      <c r="F238">
        <f>VLOOKUP(A238,'Conc. HH'!$B$1:$Y$319,23,FALSE)</f>
        <v>0</v>
      </c>
      <c r="G238">
        <f>VLOOKUP(A238,'Targeted HH'!$B$1:$Y$319,23,FALSE)</f>
        <v>239707.05071653018</v>
      </c>
      <c r="H238">
        <f>VLOOKUP(A238,'EFIG HH'!$B$1:$Y$319,23,FALSE)</f>
        <v>325014.93771291611</v>
      </c>
      <c r="I238">
        <f t="shared" si="69"/>
        <v>1061630.2095294094</v>
      </c>
      <c r="J238">
        <f t="shared" si="70"/>
        <v>1061630.2095294094</v>
      </c>
      <c r="K238" s="43">
        <f t="shared" si="71"/>
        <v>965222.40881024173</v>
      </c>
      <c r="L238">
        <f t="shared" si="72"/>
        <v>46176.249364240211</v>
      </c>
      <c r="M238">
        <f t="shared" si="73"/>
        <v>0</v>
      </c>
      <c r="N238" s="43">
        <f t="shared" si="74"/>
        <v>1011398.6581744819</v>
      </c>
      <c r="O238">
        <f t="shared" si="75"/>
        <v>0</v>
      </c>
      <c r="P238">
        <f t="shared" si="76"/>
        <v>0</v>
      </c>
      <c r="Q238" s="43">
        <f t="shared" si="77"/>
        <v>1011398.6581744819</v>
      </c>
      <c r="R238">
        <f t="shared" si="78"/>
        <v>0</v>
      </c>
      <c r="S238">
        <f t="shared" si="79"/>
        <v>0</v>
      </c>
      <c r="T238" s="43">
        <f t="shared" si="80"/>
        <v>1011398.6581744819</v>
      </c>
      <c r="U238">
        <f t="shared" si="81"/>
        <v>0</v>
      </c>
      <c r="V238">
        <f t="shared" si="82"/>
        <v>0</v>
      </c>
      <c r="W238" s="43">
        <f t="shared" si="83"/>
        <v>1011398.6581744819</v>
      </c>
      <c r="X238" s="43">
        <f t="shared" si="84"/>
        <v>50231.551354927476</v>
      </c>
      <c r="Y238" s="27">
        <f t="shared" si="85"/>
        <v>7746.5272398635207</v>
      </c>
      <c r="Z238" s="27">
        <f t="shared" si="86"/>
        <v>1003652.1309346184</v>
      </c>
      <c r="AA238">
        <f t="shared" si="87"/>
        <v>0</v>
      </c>
      <c r="AB238" s="27">
        <f t="shared" si="88"/>
        <v>1003652.1309346184</v>
      </c>
      <c r="AD238" s="27">
        <f t="shared" si="89"/>
        <v>0</v>
      </c>
      <c r="AE238" s="27">
        <f t="shared" si="90"/>
        <v>1003652.1309346184</v>
      </c>
      <c r="AF238" s="50"/>
      <c r="AG238" t="str">
        <f t="shared" si="91"/>
        <v>5307740</v>
      </c>
    </row>
    <row r="239" spans="1:33" hidden="1" x14ac:dyDescent="0.25">
      <c r="A239" s="7" t="s">
        <v>574</v>
      </c>
      <c r="B239" s="2" t="s">
        <v>1110</v>
      </c>
      <c r="C239" s="4" t="s">
        <v>1109</v>
      </c>
      <c r="D239">
        <f>_xlfn.IFNA(VLOOKUP(A239,'Prior Year data'!$A$1:$T$318,12,FALSE),0)</f>
        <v>769653.14238854474</v>
      </c>
      <c r="E239">
        <f>VLOOKUP(A239,'Basic HH'!$B$1:$Y$319,23,FALSE)</f>
        <v>439572.65712689044</v>
      </c>
      <c r="F239">
        <f>VLOOKUP(A239,'Conc. HH'!$B$1:$Y$319,23,FALSE)</f>
        <v>0</v>
      </c>
      <c r="G239">
        <f>VLOOKUP(A239,'Targeted HH'!$B$1:$Y$319,23,FALSE)</f>
        <v>212048.54486462288</v>
      </c>
      <c r="H239">
        <f>VLOOKUP(A239,'EFIG HH'!$B$1:$Y$319,23,FALSE)</f>
        <v>287513.2141306565</v>
      </c>
      <c r="I239">
        <f t="shared" si="69"/>
        <v>939134.41612216993</v>
      </c>
      <c r="J239">
        <f t="shared" si="70"/>
        <v>939134.41612216993</v>
      </c>
      <c r="K239" s="43">
        <f t="shared" si="71"/>
        <v>853850.5924090601</v>
      </c>
      <c r="L239">
        <f t="shared" si="72"/>
        <v>0</v>
      </c>
      <c r="M239">
        <f t="shared" si="73"/>
        <v>84197.45002051536</v>
      </c>
      <c r="N239" s="43">
        <f t="shared" si="74"/>
        <v>841816.5285019367</v>
      </c>
      <c r="O239">
        <f t="shared" si="75"/>
        <v>0</v>
      </c>
      <c r="P239">
        <f t="shared" si="76"/>
        <v>72163.386113391956</v>
      </c>
      <c r="Q239" s="43">
        <f t="shared" si="77"/>
        <v>841816.5285019367</v>
      </c>
      <c r="R239">
        <f t="shared" si="78"/>
        <v>0</v>
      </c>
      <c r="S239">
        <f t="shared" si="79"/>
        <v>72163.386113391956</v>
      </c>
      <c r="T239" s="43">
        <f t="shared" si="80"/>
        <v>841816.5285019367</v>
      </c>
      <c r="U239">
        <f t="shared" si="81"/>
        <v>0</v>
      </c>
      <c r="V239">
        <f t="shared" si="82"/>
        <v>72163.386113391956</v>
      </c>
      <c r="W239" s="43">
        <f t="shared" si="83"/>
        <v>841816.5285019367</v>
      </c>
      <c r="X239" s="43">
        <f t="shared" si="84"/>
        <v>97317.887620233232</v>
      </c>
      <c r="Y239" s="27">
        <f t="shared" si="85"/>
        <v>6447.6599966801605</v>
      </c>
      <c r="Z239" s="27">
        <f t="shared" si="86"/>
        <v>835368.86850525648</v>
      </c>
      <c r="AA239">
        <f t="shared" si="87"/>
        <v>0</v>
      </c>
      <c r="AB239" s="27">
        <f t="shared" si="88"/>
        <v>835368.86850525648</v>
      </c>
      <c r="AD239" s="27">
        <f t="shared" si="89"/>
        <v>0</v>
      </c>
      <c r="AE239" s="27">
        <f t="shared" si="90"/>
        <v>835368.86850525648</v>
      </c>
      <c r="AF239" s="50"/>
      <c r="AG239" t="str">
        <f t="shared" si="91"/>
        <v>5307770</v>
      </c>
    </row>
    <row r="240" spans="1:33" hidden="1" x14ac:dyDescent="0.25">
      <c r="A240" s="7" t="s">
        <v>576</v>
      </c>
      <c r="B240" s="2" t="s">
        <v>1112</v>
      </c>
      <c r="C240" s="4" t="s">
        <v>1111</v>
      </c>
      <c r="D240">
        <f>_xlfn.IFNA(VLOOKUP(A240,'Prior Year data'!$A$1:$T$318,12,FALSE),0)</f>
        <v>185708.24659134899</v>
      </c>
      <c r="E240">
        <f>VLOOKUP(A240,'Basic HH'!$B$1:$Y$319,23,FALSE)</f>
        <v>72103.815299470123</v>
      </c>
      <c r="F240">
        <f>VLOOKUP(A240,'Conc. HH'!$B$1:$Y$319,23,FALSE)</f>
        <v>19400.277635666309</v>
      </c>
      <c r="G240">
        <f>VLOOKUP(A240,'Targeted HH'!$B$1:$Y$319,23,FALSE)</f>
        <v>49049.426650464266</v>
      </c>
      <c r="H240">
        <f>VLOOKUP(A240,'EFIG HH'!$B$1:$Y$319,23,FALSE)</f>
        <v>66505.32931760588</v>
      </c>
      <c r="I240">
        <f t="shared" si="69"/>
        <v>207058.84890320658</v>
      </c>
      <c r="J240">
        <f t="shared" si="70"/>
        <v>207058.84890320658</v>
      </c>
      <c r="K240" s="43">
        <f t="shared" si="71"/>
        <v>188255.60831809812</v>
      </c>
      <c r="L240">
        <f t="shared" si="72"/>
        <v>0</v>
      </c>
      <c r="M240">
        <f t="shared" si="73"/>
        <v>2547.3617267491354</v>
      </c>
      <c r="N240" s="43">
        <f t="shared" si="74"/>
        <v>187891.52230591141</v>
      </c>
      <c r="O240">
        <f t="shared" si="75"/>
        <v>0</v>
      </c>
      <c r="P240">
        <f t="shared" si="76"/>
        <v>2183.27571456242</v>
      </c>
      <c r="Q240" s="43">
        <f t="shared" si="77"/>
        <v>187891.52230591141</v>
      </c>
      <c r="R240">
        <f t="shared" si="78"/>
        <v>0</v>
      </c>
      <c r="S240">
        <f t="shared" si="79"/>
        <v>2183.27571456242</v>
      </c>
      <c r="T240" s="43">
        <f t="shared" si="80"/>
        <v>187891.52230591141</v>
      </c>
      <c r="U240">
        <f t="shared" si="81"/>
        <v>0</v>
      </c>
      <c r="V240">
        <f t="shared" si="82"/>
        <v>2183.27571456242</v>
      </c>
      <c r="W240" s="43">
        <f t="shared" si="83"/>
        <v>187891.52230591141</v>
      </c>
      <c r="X240" s="43">
        <f t="shared" si="84"/>
        <v>19167.326597295178</v>
      </c>
      <c r="Y240" s="27">
        <f t="shared" si="85"/>
        <v>1439.1029530425476</v>
      </c>
      <c r="Z240" s="27">
        <f t="shared" si="86"/>
        <v>186452.41935286886</v>
      </c>
      <c r="AA240">
        <f t="shared" si="87"/>
        <v>0</v>
      </c>
      <c r="AB240" s="27">
        <f t="shared" si="88"/>
        <v>186452.41935286886</v>
      </c>
      <c r="AD240" s="27">
        <f t="shared" si="89"/>
        <v>0</v>
      </c>
      <c r="AE240" s="27">
        <f t="shared" si="90"/>
        <v>186452.41935286886</v>
      </c>
      <c r="AF240" s="50"/>
      <c r="AG240" t="str">
        <f t="shared" si="91"/>
        <v>5307800</v>
      </c>
    </row>
    <row r="241" spans="1:33" x14ac:dyDescent="0.25">
      <c r="A241" s="7" t="s">
        <v>578</v>
      </c>
      <c r="B241" s="2" t="s">
        <v>1114</v>
      </c>
      <c r="C241" s="4" t="s">
        <v>1113</v>
      </c>
      <c r="D241">
        <f>_xlfn.IFNA(VLOOKUP(A241,'Prior Year data'!$A$1:$T$318,12,FALSE),0)</f>
        <v>861981.98948200443</v>
      </c>
      <c r="E241">
        <f>VLOOKUP(A241,'Basic HH'!$B$1:$Y$319,23,FALSE)</f>
        <v>399611.50647899124</v>
      </c>
      <c r="F241">
        <f>VLOOKUP(A241,'Conc. HH'!$B$1:$Y$319,23,FALSE)</f>
        <v>76286.975229982709</v>
      </c>
      <c r="G241">
        <f>VLOOKUP(A241,'Targeted HH'!$B$1:$Y$319,23,FALSE)</f>
        <v>192771.40442238448</v>
      </c>
      <c r="H241">
        <f>VLOOKUP(A241,'EFIG HH'!$B$1:$Y$319,23,FALSE)</f>
        <v>261375.64920968775</v>
      </c>
      <c r="I241">
        <f t="shared" si="69"/>
        <v>930045.53534104617</v>
      </c>
      <c r="J241">
        <f t="shared" si="70"/>
        <v>930045.53534104617</v>
      </c>
      <c r="K241" s="43">
        <f t="shared" si="71"/>
        <v>845587.08283463481</v>
      </c>
      <c r="L241">
        <f t="shared" si="72"/>
        <v>16394.906647369615</v>
      </c>
      <c r="M241">
        <f t="shared" si="73"/>
        <v>0</v>
      </c>
      <c r="N241" s="43">
        <f t="shared" si="74"/>
        <v>861981.98948200443</v>
      </c>
      <c r="O241">
        <f t="shared" si="75"/>
        <v>0</v>
      </c>
      <c r="P241">
        <f t="shared" si="76"/>
        <v>0</v>
      </c>
      <c r="Q241" s="43">
        <f t="shared" si="77"/>
        <v>861981.98948200443</v>
      </c>
      <c r="R241">
        <f t="shared" si="78"/>
        <v>0</v>
      </c>
      <c r="S241">
        <f t="shared" si="79"/>
        <v>0</v>
      </c>
      <c r="T241" s="43">
        <f t="shared" si="80"/>
        <v>861981.98948200443</v>
      </c>
      <c r="U241">
        <f t="shared" si="81"/>
        <v>0</v>
      </c>
      <c r="V241">
        <f t="shared" si="82"/>
        <v>0</v>
      </c>
      <c r="W241" s="43">
        <f t="shared" si="83"/>
        <v>861981.98948200443</v>
      </c>
      <c r="X241" s="43">
        <f t="shared" si="84"/>
        <v>68063.54585904174</v>
      </c>
      <c r="Y241" s="27">
        <f t="shared" si="85"/>
        <v>6602.1117467630147</v>
      </c>
      <c r="Z241" s="27">
        <f t="shared" si="86"/>
        <v>855379.87773524143</v>
      </c>
      <c r="AA241">
        <f t="shared" si="87"/>
        <v>0</v>
      </c>
      <c r="AB241" s="27">
        <f t="shared" si="88"/>
        <v>855379.87773524143</v>
      </c>
      <c r="AD241" s="27">
        <f t="shared" si="89"/>
        <v>0</v>
      </c>
      <c r="AE241" s="27">
        <f t="shared" si="90"/>
        <v>855379.87773524143</v>
      </c>
      <c r="AF241" s="50"/>
      <c r="AG241" t="str">
        <f t="shared" si="91"/>
        <v>5307830</v>
      </c>
    </row>
    <row r="242" spans="1:33" hidden="1" x14ac:dyDescent="0.25">
      <c r="A242" s="7" t="s">
        <v>209</v>
      </c>
      <c r="B242" s="2" t="s">
        <v>1116</v>
      </c>
      <c r="C242" s="4" t="s">
        <v>1115</v>
      </c>
      <c r="D242">
        <f>_xlfn.IFNA(VLOOKUP(A242,'Prior Year data'!$A$1:$T$318,12,FALSE),0)</f>
        <v>0</v>
      </c>
      <c r="E242">
        <f>VLOOKUP(A242,'Basic HH'!$B$1:$Y$319,23,FALSE)</f>
        <v>0</v>
      </c>
      <c r="F242">
        <f>VLOOKUP(A242,'Conc. HH'!$B$1:$Y$319,23,FALSE)</f>
        <v>0</v>
      </c>
      <c r="G242">
        <f>VLOOKUP(A242,'Targeted HH'!$B$1:$Y$319,23,FALSE)</f>
        <v>0</v>
      </c>
      <c r="H242">
        <f>VLOOKUP(A242,'EFIG HH'!$B$1:$Y$319,23,FALSE)</f>
        <v>0</v>
      </c>
      <c r="I242">
        <f t="shared" si="69"/>
        <v>0</v>
      </c>
      <c r="J242">
        <f t="shared" si="70"/>
        <v>0</v>
      </c>
      <c r="K242" s="43">
        <f t="shared" si="71"/>
        <v>0</v>
      </c>
      <c r="L242">
        <f t="shared" si="72"/>
        <v>0</v>
      </c>
      <c r="M242">
        <f t="shared" si="73"/>
        <v>0</v>
      </c>
      <c r="N242" s="43">
        <f t="shared" si="74"/>
        <v>0</v>
      </c>
      <c r="O242">
        <f t="shared" si="75"/>
        <v>0</v>
      </c>
      <c r="P242">
        <f t="shared" si="76"/>
        <v>0</v>
      </c>
      <c r="Q242" s="43">
        <f t="shared" si="77"/>
        <v>0</v>
      </c>
      <c r="R242">
        <f t="shared" si="78"/>
        <v>0</v>
      </c>
      <c r="S242">
        <f t="shared" si="79"/>
        <v>0</v>
      </c>
      <c r="T242" s="43">
        <f t="shared" si="80"/>
        <v>0</v>
      </c>
      <c r="U242">
        <f t="shared" si="81"/>
        <v>0</v>
      </c>
      <c r="V242">
        <f t="shared" si="82"/>
        <v>0</v>
      </c>
      <c r="W242" s="43">
        <f t="shared" si="83"/>
        <v>0</v>
      </c>
      <c r="X242" s="43">
        <f t="shared" si="84"/>
        <v>0</v>
      </c>
      <c r="Y242" s="27">
        <f t="shared" si="85"/>
        <v>0</v>
      </c>
      <c r="Z242" s="27">
        <f t="shared" si="86"/>
        <v>0</v>
      </c>
      <c r="AA242">
        <f t="shared" si="87"/>
        <v>0</v>
      </c>
      <c r="AB242" s="27">
        <f t="shared" si="88"/>
        <v>0</v>
      </c>
      <c r="AD242" s="27">
        <f t="shared" si="89"/>
        <v>0</v>
      </c>
      <c r="AE242" s="27">
        <f t="shared" si="90"/>
        <v>0</v>
      </c>
      <c r="AF242" s="50"/>
      <c r="AG242" t="str">
        <f t="shared" si="91"/>
        <v>5307860</v>
      </c>
    </row>
    <row r="243" spans="1:33" x14ac:dyDescent="0.25">
      <c r="A243" s="7" t="s">
        <v>580</v>
      </c>
      <c r="B243" s="2" t="s">
        <v>1118</v>
      </c>
      <c r="C243" s="4" t="s">
        <v>1117</v>
      </c>
      <c r="D243">
        <f>_xlfn.IFNA(VLOOKUP(A243,'Prior Year data'!$A$1:$T$318,12,FALSE),0)</f>
        <v>1617313.1914887053</v>
      </c>
      <c r="E243">
        <f>VLOOKUP(A243,'Basic HH'!$B$1:$Y$319,23,FALSE)</f>
        <v>657621.5443578182</v>
      </c>
      <c r="F243">
        <f>VLOOKUP(A243,'Conc. HH'!$B$1:$Y$319,23,FALSE)</f>
        <v>176939.88156866748</v>
      </c>
      <c r="G243">
        <f>VLOOKUP(A243,'Targeted HH'!$B$1:$Y$319,23,FALSE)</f>
        <v>350375.98251109081</v>
      </c>
      <c r="H243">
        <f>VLOOKUP(A243,'EFIG HH'!$B$1:$Y$319,23,FALSE)</f>
        <v>475069.16376277874</v>
      </c>
      <c r="I243">
        <f t="shared" si="69"/>
        <v>1660006.5722003554</v>
      </c>
      <c r="J243">
        <f t="shared" si="70"/>
        <v>1660006.5722003554</v>
      </c>
      <c r="K243" s="43">
        <f t="shared" si="71"/>
        <v>1509259.559381136</v>
      </c>
      <c r="L243">
        <f t="shared" si="72"/>
        <v>108053.63210756937</v>
      </c>
      <c r="M243">
        <f t="shared" si="73"/>
        <v>0</v>
      </c>
      <c r="N243" s="43">
        <f t="shared" si="74"/>
        <v>1617313.1914887053</v>
      </c>
      <c r="O243">
        <f t="shared" si="75"/>
        <v>0</v>
      </c>
      <c r="P243">
        <f t="shared" si="76"/>
        <v>0</v>
      </c>
      <c r="Q243" s="43">
        <f t="shared" si="77"/>
        <v>1617313.1914887053</v>
      </c>
      <c r="R243">
        <f t="shared" si="78"/>
        <v>0</v>
      </c>
      <c r="S243">
        <f t="shared" si="79"/>
        <v>0</v>
      </c>
      <c r="T243" s="43">
        <f t="shared" si="80"/>
        <v>1617313.1914887053</v>
      </c>
      <c r="U243">
        <f t="shared" si="81"/>
        <v>0</v>
      </c>
      <c r="V243">
        <f t="shared" si="82"/>
        <v>0</v>
      </c>
      <c r="W243" s="43">
        <f t="shared" si="83"/>
        <v>1617313.1914887053</v>
      </c>
      <c r="X243" s="43">
        <f t="shared" si="84"/>
        <v>42693.38071165001</v>
      </c>
      <c r="Y243" s="27">
        <f t="shared" si="85"/>
        <v>12387.361395032118</v>
      </c>
      <c r="Z243" s="27">
        <f t="shared" si="86"/>
        <v>1604925.8300936732</v>
      </c>
      <c r="AA243">
        <f t="shared" si="87"/>
        <v>0</v>
      </c>
      <c r="AB243" s="27">
        <f t="shared" si="88"/>
        <v>1604925.8300936732</v>
      </c>
      <c r="AD243" s="27">
        <f t="shared" si="89"/>
        <v>0</v>
      </c>
      <c r="AE243" s="27">
        <f t="shared" si="90"/>
        <v>1604925.8300936732</v>
      </c>
      <c r="AF243" s="50"/>
      <c r="AG243" t="str">
        <f t="shared" si="91"/>
        <v>5307900</v>
      </c>
    </row>
    <row r="244" spans="1:33" x14ac:dyDescent="0.25">
      <c r="A244" s="7" t="s">
        <v>211</v>
      </c>
      <c r="B244" s="2" t="s">
        <v>1120</v>
      </c>
      <c r="C244" s="4" t="s">
        <v>1119</v>
      </c>
      <c r="D244">
        <f>_xlfn.IFNA(VLOOKUP(A244,'Prior Year data'!$A$1:$T$318,12,FALSE),0)</f>
        <v>1237123.4090968166</v>
      </c>
      <c r="E244">
        <f>VLOOKUP(A244,'Basic HH'!$B$1:$Y$319,23,FALSE)</f>
        <v>585517.72905834811</v>
      </c>
      <c r="F244">
        <f>VLOOKUP(A244,'Conc. HH'!$B$1:$Y$319,23,FALSE)</f>
        <v>0</v>
      </c>
      <c r="G244">
        <f>VLOOKUP(A244,'Targeted HH'!$B$1:$Y$319,23,FALSE)</f>
        <v>282452.01430584147</v>
      </c>
      <c r="H244">
        <f>VLOOKUP(A244,'EFIG HH'!$B$1:$Y$319,23,FALSE)</f>
        <v>382972.14688549907</v>
      </c>
      <c r="I244">
        <f t="shared" si="69"/>
        <v>1250941.8902496886</v>
      </c>
      <c r="J244">
        <f t="shared" si="70"/>
        <v>1250941.8902496886</v>
      </c>
      <c r="K244" s="43">
        <f t="shared" si="71"/>
        <v>1137342.4887029771</v>
      </c>
      <c r="L244">
        <f t="shared" si="72"/>
        <v>99780.920393839478</v>
      </c>
      <c r="M244">
        <f t="shared" si="73"/>
        <v>0</v>
      </c>
      <c r="N244" s="43">
        <f t="shared" si="74"/>
        <v>1237123.4090968166</v>
      </c>
      <c r="O244">
        <f t="shared" si="75"/>
        <v>0</v>
      </c>
      <c r="P244">
        <f t="shared" si="76"/>
        <v>0</v>
      </c>
      <c r="Q244" s="43">
        <f t="shared" si="77"/>
        <v>1237123.4090968166</v>
      </c>
      <c r="R244">
        <f t="shared" si="78"/>
        <v>0</v>
      </c>
      <c r="S244">
        <f t="shared" si="79"/>
        <v>0</v>
      </c>
      <c r="T244" s="43">
        <f t="shared" si="80"/>
        <v>1237123.4090968166</v>
      </c>
      <c r="U244">
        <f t="shared" si="81"/>
        <v>0</v>
      </c>
      <c r="V244">
        <f t="shared" si="82"/>
        <v>0</v>
      </c>
      <c r="W244" s="43">
        <f t="shared" si="83"/>
        <v>1237123.4090968166</v>
      </c>
      <c r="X244" s="43">
        <f t="shared" si="84"/>
        <v>13818.481152872089</v>
      </c>
      <c r="Y244" s="27">
        <f t="shared" si="85"/>
        <v>9475.4033043101244</v>
      </c>
      <c r="Z244" s="27">
        <f t="shared" si="86"/>
        <v>1227648.0057925065</v>
      </c>
      <c r="AA244">
        <f t="shared" si="87"/>
        <v>0</v>
      </c>
      <c r="AB244" s="27">
        <f t="shared" si="88"/>
        <v>1227648.0057925065</v>
      </c>
      <c r="AD244" s="27">
        <f t="shared" si="89"/>
        <v>0</v>
      </c>
      <c r="AE244" s="27">
        <f t="shared" si="90"/>
        <v>1227648.0057925065</v>
      </c>
      <c r="AF244" s="50"/>
      <c r="AG244" t="str">
        <f t="shared" si="91"/>
        <v>5307920</v>
      </c>
    </row>
    <row r="245" spans="1:33" hidden="1" x14ac:dyDescent="0.25">
      <c r="A245" s="7" t="s">
        <v>302</v>
      </c>
      <c r="B245" s="2" t="s">
        <v>1122</v>
      </c>
      <c r="C245" s="4" t="s">
        <v>1121</v>
      </c>
      <c r="D245">
        <f>_xlfn.IFNA(VLOOKUP(A245,'Prior Year data'!$A$1:$T$318,12,FALSE),0)</f>
        <v>21482.910638257221</v>
      </c>
      <c r="E245">
        <f>VLOOKUP(A245,'Basic HH'!$B$1:$Y$319,23,FALSE)</f>
        <v>13899.530660138833</v>
      </c>
      <c r="F245">
        <f>VLOOKUP(A245,'Conc. HH'!$B$1:$Y$319,23,FALSE)</f>
        <v>0</v>
      </c>
      <c r="G245">
        <f>VLOOKUP(A245,'Targeted HH'!$B$1:$Y$319,23,FALSE)</f>
        <v>6705.0923277351094</v>
      </c>
      <c r="H245">
        <f>VLOOKUP(A245,'EFIG HH'!$B$1:$Y$319,23,FALSE)</f>
        <v>9091.3269290326189</v>
      </c>
      <c r="I245">
        <f t="shared" si="69"/>
        <v>29695.94991690656</v>
      </c>
      <c r="J245">
        <f t="shared" si="70"/>
        <v>29695.94991690656</v>
      </c>
      <c r="K245" s="43">
        <f t="shared" si="71"/>
        <v>26999.228218468303</v>
      </c>
      <c r="L245">
        <f t="shared" si="72"/>
        <v>0</v>
      </c>
      <c r="M245">
        <f t="shared" si="73"/>
        <v>5516.3175802110818</v>
      </c>
      <c r="N245" s="43">
        <f t="shared" si="74"/>
        <v>26210.799135686419</v>
      </c>
      <c r="O245">
        <f t="shared" si="75"/>
        <v>0</v>
      </c>
      <c r="P245">
        <f t="shared" si="76"/>
        <v>4727.8884974291977</v>
      </c>
      <c r="Q245" s="43">
        <f t="shared" si="77"/>
        <v>26210.799135686419</v>
      </c>
      <c r="R245">
        <f t="shared" si="78"/>
        <v>0</v>
      </c>
      <c r="S245">
        <f t="shared" si="79"/>
        <v>4727.8884974291977</v>
      </c>
      <c r="T245" s="43">
        <f t="shared" si="80"/>
        <v>26210.799135686419</v>
      </c>
      <c r="U245">
        <f t="shared" si="81"/>
        <v>0</v>
      </c>
      <c r="V245">
        <f t="shared" si="82"/>
        <v>4727.8884974291977</v>
      </c>
      <c r="W245" s="43">
        <f t="shared" si="83"/>
        <v>26210.799135686419</v>
      </c>
      <c r="X245" s="43">
        <f t="shared" si="84"/>
        <v>3485.1507812201417</v>
      </c>
      <c r="Y245" s="27">
        <f t="shared" si="85"/>
        <v>200.75433939141934</v>
      </c>
      <c r="Z245" s="27">
        <f t="shared" si="86"/>
        <v>26010.044796294998</v>
      </c>
      <c r="AA245">
        <f t="shared" si="87"/>
        <v>0</v>
      </c>
      <c r="AB245" s="27">
        <f t="shared" si="88"/>
        <v>26010.044796294998</v>
      </c>
      <c r="AD245" s="27">
        <f t="shared" si="89"/>
        <v>0</v>
      </c>
      <c r="AE245" s="27">
        <f t="shared" si="90"/>
        <v>26010.044796294998</v>
      </c>
      <c r="AF245" s="50"/>
      <c r="AG245" t="str">
        <f t="shared" si="91"/>
        <v>5307950</v>
      </c>
    </row>
    <row r="246" spans="1:33" hidden="1" x14ac:dyDescent="0.25">
      <c r="A246" s="7" t="s">
        <v>213</v>
      </c>
      <c r="B246" s="2" t="s">
        <v>1124</v>
      </c>
      <c r="C246" s="4" t="s">
        <v>1123</v>
      </c>
      <c r="D246">
        <f>_xlfn.IFNA(VLOOKUP(A246,'Prior Year data'!$A$1:$T$318,12,FALSE),0)</f>
        <v>0</v>
      </c>
      <c r="E246">
        <f>VLOOKUP(A246,'Basic HH'!$B$1:$Y$319,23,FALSE)</f>
        <v>0</v>
      </c>
      <c r="F246">
        <f>VLOOKUP(A246,'Conc. HH'!$B$1:$Y$319,23,FALSE)</f>
        <v>0</v>
      </c>
      <c r="G246">
        <f>VLOOKUP(A246,'Targeted HH'!$B$1:$Y$319,23,FALSE)</f>
        <v>0</v>
      </c>
      <c r="H246">
        <f>VLOOKUP(A246,'EFIG HH'!$B$1:$Y$319,23,FALSE)</f>
        <v>0</v>
      </c>
      <c r="I246">
        <f t="shared" si="69"/>
        <v>0</v>
      </c>
      <c r="J246">
        <f t="shared" si="70"/>
        <v>0</v>
      </c>
      <c r="K246" s="43">
        <f t="shared" si="71"/>
        <v>0</v>
      </c>
      <c r="L246">
        <f t="shared" si="72"/>
        <v>0</v>
      </c>
      <c r="M246">
        <f t="shared" si="73"/>
        <v>0</v>
      </c>
      <c r="N246" s="43">
        <f t="shared" si="74"/>
        <v>0</v>
      </c>
      <c r="O246">
        <f t="shared" si="75"/>
        <v>0</v>
      </c>
      <c r="P246">
        <f t="shared" si="76"/>
        <v>0</v>
      </c>
      <c r="Q246" s="43">
        <f t="shared" si="77"/>
        <v>0</v>
      </c>
      <c r="R246">
        <f t="shared" si="78"/>
        <v>0</v>
      </c>
      <c r="S246">
        <f t="shared" si="79"/>
        <v>0</v>
      </c>
      <c r="T246" s="43">
        <f t="shared" si="80"/>
        <v>0</v>
      </c>
      <c r="U246">
        <f t="shared" si="81"/>
        <v>0</v>
      </c>
      <c r="V246">
        <f t="shared" si="82"/>
        <v>0</v>
      </c>
      <c r="W246" s="43">
        <f t="shared" si="83"/>
        <v>0</v>
      </c>
      <c r="X246" s="43">
        <f t="shared" si="84"/>
        <v>0</v>
      </c>
      <c r="Y246" s="27">
        <f t="shared" si="85"/>
        <v>0</v>
      </c>
      <c r="Z246" s="27">
        <f t="shared" si="86"/>
        <v>0</v>
      </c>
      <c r="AA246">
        <f t="shared" si="87"/>
        <v>0</v>
      </c>
      <c r="AB246" s="27">
        <f t="shared" si="88"/>
        <v>0</v>
      </c>
      <c r="AD246" s="27">
        <f t="shared" si="89"/>
        <v>0</v>
      </c>
      <c r="AE246" s="27">
        <f t="shared" si="90"/>
        <v>0</v>
      </c>
      <c r="AF246" s="50"/>
      <c r="AG246" t="str">
        <f t="shared" si="91"/>
        <v>5307980</v>
      </c>
    </row>
    <row r="247" spans="1:33" hidden="1" x14ac:dyDescent="0.25">
      <c r="A247" s="7" t="s">
        <v>215</v>
      </c>
      <c r="B247" s="2" t="s">
        <v>1126</v>
      </c>
      <c r="C247" s="4" t="s">
        <v>1125</v>
      </c>
      <c r="D247">
        <f>_xlfn.IFNA(VLOOKUP(A247,'Prior Year data'!$A$1:$T$318,12,FALSE),0)</f>
        <v>762585.95671752479</v>
      </c>
      <c r="E247">
        <f>VLOOKUP(A247,'Basic HH'!$B$1:$Y$319,23,FALSE)</f>
        <v>500383.10376499768</v>
      </c>
      <c r="F247">
        <f>VLOOKUP(A247,'Conc. HH'!$B$1:$Y$319,23,FALSE)</f>
        <v>0</v>
      </c>
      <c r="G247">
        <f>VLOOKUP(A247,'Targeted HH'!$B$1:$Y$319,23,FALSE)</f>
        <v>241383.32379846394</v>
      </c>
      <c r="H247">
        <f>VLOOKUP(A247,'EFIG HH'!$B$1:$Y$319,23,FALSE)</f>
        <v>327287.7694451742</v>
      </c>
      <c r="I247">
        <f t="shared" si="69"/>
        <v>1069054.1970086358</v>
      </c>
      <c r="J247">
        <f t="shared" si="70"/>
        <v>1069054.1970086358</v>
      </c>
      <c r="K247" s="43">
        <f t="shared" si="71"/>
        <v>971972.21586485871</v>
      </c>
      <c r="L247">
        <f t="shared" si="72"/>
        <v>0</v>
      </c>
      <c r="M247">
        <f t="shared" si="73"/>
        <v>209386.25914733391</v>
      </c>
      <c r="N247" s="43">
        <f t="shared" si="74"/>
        <v>942045.32825438399</v>
      </c>
      <c r="O247">
        <f t="shared" si="75"/>
        <v>0</v>
      </c>
      <c r="P247">
        <f t="shared" si="76"/>
        <v>179459.37153685919</v>
      </c>
      <c r="Q247" s="43">
        <f t="shared" si="77"/>
        <v>942045.32825438399</v>
      </c>
      <c r="R247">
        <f t="shared" si="78"/>
        <v>0</v>
      </c>
      <c r="S247">
        <f t="shared" si="79"/>
        <v>179459.37153685919</v>
      </c>
      <c r="T247" s="43">
        <f t="shared" si="80"/>
        <v>942045.32825438399</v>
      </c>
      <c r="U247">
        <f t="shared" si="81"/>
        <v>0</v>
      </c>
      <c r="V247">
        <f t="shared" si="82"/>
        <v>179459.37153685919</v>
      </c>
      <c r="W247" s="43">
        <f t="shared" si="83"/>
        <v>942045.32825438399</v>
      </c>
      <c r="X247" s="43">
        <f t="shared" si="84"/>
        <v>127008.86875425186</v>
      </c>
      <c r="Y247" s="27">
        <f t="shared" si="85"/>
        <v>7215.3346630699325</v>
      </c>
      <c r="Z247" s="27">
        <f t="shared" si="86"/>
        <v>934829.99359131407</v>
      </c>
      <c r="AA247">
        <f t="shared" si="87"/>
        <v>0</v>
      </c>
      <c r="AB247" s="27">
        <f t="shared" si="88"/>
        <v>934829.99359131407</v>
      </c>
      <c r="AD247" s="27">
        <f t="shared" si="89"/>
        <v>0</v>
      </c>
      <c r="AE247" s="27">
        <f t="shared" si="90"/>
        <v>934829.99359131407</v>
      </c>
      <c r="AF247" s="50"/>
      <c r="AG247" t="str">
        <f t="shared" si="91"/>
        <v>5308020</v>
      </c>
    </row>
    <row r="248" spans="1:33" hidden="1" x14ac:dyDescent="0.25">
      <c r="A248" s="7" t="s">
        <v>217</v>
      </c>
      <c r="B248" s="2" t="s">
        <v>1128</v>
      </c>
      <c r="C248" s="8" t="s">
        <v>1127</v>
      </c>
      <c r="D248">
        <f>_xlfn.IFNA(VLOOKUP(A248,'Prior Year data'!$A$1:$T$318,12,FALSE),0)</f>
        <v>269846.78041964298</v>
      </c>
      <c r="E248">
        <f>VLOOKUP(A248,'Basic HH'!$B$1:$Y$319,23,FALSE)</f>
        <v>231153.43965970015</v>
      </c>
      <c r="F248">
        <f>VLOOKUP(A248,'Conc. HH'!$B$1:$Y$319,23,FALSE)</f>
        <v>0</v>
      </c>
      <c r="G248">
        <f>VLOOKUP(A248,'Targeted HH'!$B$1:$Y$319,23,FALSE)</f>
        <v>0</v>
      </c>
      <c r="H248">
        <f>VLOOKUP(A248,'EFIG HH'!$B$1:$Y$319,23,FALSE)</f>
        <v>0</v>
      </c>
      <c r="I248">
        <f t="shared" si="69"/>
        <v>231153.43965970015</v>
      </c>
      <c r="J248">
        <f t="shared" si="70"/>
        <v>0</v>
      </c>
      <c r="K248" s="43">
        <f t="shared" si="71"/>
        <v>231153.43965970015</v>
      </c>
      <c r="L248">
        <f t="shared" si="72"/>
        <v>0</v>
      </c>
      <c r="M248">
        <f t="shared" si="73"/>
        <v>0</v>
      </c>
      <c r="N248" s="43">
        <f t="shared" si="74"/>
        <v>231153.43965970015</v>
      </c>
      <c r="O248">
        <f t="shared" si="75"/>
        <v>0</v>
      </c>
      <c r="P248">
        <f t="shared" si="76"/>
        <v>0</v>
      </c>
      <c r="Q248" s="43">
        <f t="shared" si="77"/>
        <v>231153.43965970015</v>
      </c>
      <c r="R248">
        <f t="shared" si="78"/>
        <v>0</v>
      </c>
      <c r="S248">
        <f t="shared" si="79"/>
        <v>0</v>
      </c>
      <c r="T248" s="43">
        <f t="shared" si="80"/>
        <v>231153.43965970015</v>
      </c>
      <c r="U248">
        <f t="shared" si="81"/>
        <v>0</v>
      </c>
      <c r="V248">
        <f t="shared" si="82"/>
        <v>0</v>
      </c>
      <c r="W248" s="43">
        <f t="shared" si="83"/>
        <v>231153.43965970015</v>
      </c>
      <c r="X248" s="43">
        <f t="shared" si="84"/>
        <v>0</v>
      </c>
      <c r="Y248" s="27">
        <f t="shared" si="85"/>
        <v>1770.4555987290062</v>
      </c>
      <c r="Z248" s="27">
        <f t="shared" si="86"/>
        <v>229382.98406097115</v>
      </c>
      <c r="AA248">
        <f t="shared" si="87"/>
        <v>0</v>
      </c>
      <c r="AB248" s="27">
        <f t="shared" si="88"/>
        <v>229382.98406097115</v>
      </c>
      <c r="AD248" s="27">
        <f t="shared" si="89"/>
        <v>0</v>
      </c>
      <c r="AE248" s="27">
        <f t="shared" si="90"/>
        <v>229382.98406097115</v>
      </c>
      <c r="AF248" s="50"/>
      <c r="AG248" t="str">
        <f t="shared" si="91"/>
        <v>5308040</v>
      </c>
    </row>
    <row r="249" spans="1:33" hidden="1" x14ac:dyDescent="0.25">
      <c r="A249" s="7" t="s">
        <v>582</v>
      </c>
      <c r="B249" s="2" t="s">
        <v>1130</v>
      </c>
      <c r="C249" s="4" t="s">
        <v>1129</v>
      </c>
      <c r="D249">
        <f>_xlfn.IFNA(VLOOKUP(A249,'Prior Year data'!$A$1:$T$318,12,FALSE),0)</f>
        <v>338353.40098108188</v>
      </c>
      <c r="E249">
        <f>VLOOKUP(A249,'Basic HH'!$B$1:$Y$319,23,FALSE)</f>
        <v>178087.73658302875</v>
      </c>
      <c r="F249">
        <f>VLOOKUP(A249,'Conc. HH'!$B$1:$Y$319,23,FALSE)</f>
        <v>47916.34837724812</v>
      </c>
      <c r="G249">
        <f>VLOOKUP(A249,'Targeted HH'!$B$1:$Y$319,23,FALSE)</f>
        <v>149119.68186281456</v>
      </c>
      <c r="H249">
        <f>VLOOKUP(A249,'EFIG HH'!$B$1:$Y$319,23,FALSE)</f>
        <v>202188.98012193647</v>
      </c>
      <c r="I249">
        <f t="shared" si="69"/>
        <v>577312.74694502796</v>
      </c>
      <c r="J249">
        <f t="shared" si="70"/>
        <v>577312.74694502796</v>
      </c>
      <c r="K249" s="43">
        <f t="shared" si="71"/>
        <v>524886.34483201453</v>
      </c>
      <c r="L249">
        <f t="shared" si="72"/>
        <v>0</v>
      </c>
      <c r="M249">
        <f t="shared" si="73"/>
        <v>186532.94385093264</v>
      </c>
      <c r="N249" s="43">
        <f t="shared" si="74"/>
        <v>498225.80622260255</v>
      </c>
      <c r="O249">
        <f t="shared" si="75"/>
        <v>0</v>
      </c>
      <c r="P249">
        <f t="shared" si="76"/>
        <v>159872.40524152067</v>
      </c>
      <c r="Q249" s="43">
        <f t="shared" si="77"/>
        <v>498225.80622260255</v>
      </c>
      <c r="R249">
        <f t="shared" si="78"/>
        <v>0</v>
      </c>
      <c r="S249">
        <f t="shared" si="79"/>
        <v>159872.40524152067</v>
      </c>
      <c r="T249" s="43">
        <f t="shared" si="80"/>
        <v>498225.80622260255</v>
      </c>
      <c r="U249">
        <f t="shared" si="81"/>
        <v>0</v>
      </c>
      <c r="V249">
        <f t="shared" si="82"/>
        <v>159872.40524152067</v>
      </c>
      <c r="W249" s="43">
        <f t="shared" si="83"/>
        <v>498225.80622260255</v>
      </c>
      <c r="X249" s="43">
        <f t="shared" si="84"/>
        <v>79086.94072242541</v>
      </c>
      <c r="Y249" s="27">
        <f t="shared" si="85"/>
        <v>3816.0222463341729</v>
      </c>
      <c r="Z249" s="27">
        <f t="shared" si="86"/>
        <v>494409.78397626837</v>
      </c>
      <c r="AA249">
        <f t="shared" si="87"/>
        <v>0</v>
      </c>
      <c r="AB249" s="27">
        <f t="shared" si="88"/>
        <v>494409.78397626837</v>
      </c>
      <c r="AD249" s="27">
        <f t="shared" si="89"/>
        <v>0</v>
      </c>
      <c r="AE249" s="27">
        <f t="shared" si="90"/>
        <v>494409.78397626837</v>
      </c>
      <c r="AF249" s="50"/>
      <c r="AG249" t="str">
        <f t="shared" si="91"/>
        <v>5308070</v>
      </c>
    </row>
    <row r="250" spans="1:33" x14ac:dyDescent="0.25">
      <c r="A250" s="7" t="s">
        <v>584</v>
      </c>
      <c r="B250" s="2" t="s">
        <v>1132</v>
      </c>
      <c r="C250" s="4" t="s">
        <v>1131</v>
      </c>
      <c r="D250">
        <f>_xlfn.IFNA(VLOOKUP(A250,'Prior Year data'!$A$1:$T$318,12,FALSE),0)</f>
        <v>188679.65461310957</v>
      </c>
      <c r="E250">
        <f>VLOOKUP(A250,'Basic HH'!$B$1:$Y$319,23,FALSE)</f>
        <v>71237.024177676998</v>
      </c>
      <c r="F250">
        <f>VLOOKUP(A250,'Conc. HH'!$B$1:$Y$319,23,FALSE)</f>
        <v>18769.781824691938</v>
      </c>
      <c r="G250">
        <f>VLOOKUP(A250,'Targeted HH'!$B$1:$Y$319,23,FALSE)</f>
        <v>44986.60796766854</v>
      </c>
      <c r="H250">
        <f>VLOOKUP(A250,'EFIG HH'!$B$1:$Y$319,23,FALSE)</f>
        <v>61834.904512131849</v>
      </c>
      <c r="I250">
        <f t="shared" si="69"/>
        <v>196828.31848216933</v>
      </c>
      <c r="J250">
        <f t="shared" si="70"/>
        <v>196828.31848216933</v>
      </c>
      <c r="K250" s="43">
        <f t="shared" si="71"/>
        <v>178954.12355649058</v>
      </c>
      <c r="L250">
        <f t="shared" si="72"/>
        <v>9725.5310566189873</v>
      </c>
      <c r="M250">
        <f t="shared" si="73"/>
        <v>0</v>
      </c>
      <c r="N250" s="43">
        <f t="shared" si="74"/>
        <v>188679.65461310957</v>
      </c>
      <c r="O250">
        <f t="shared" si="75"/>
        <v>0</v>
      </c>
      <c r="P250">
        <f t="shared" si="76"/>
        <v>0</v>
      </c>
      <c r="Q250" s="43">
        <f t="shared" si="77"/>
        <v>188679.65461310957</v>
      </c>
      <c r="R250">
        <f t="shared" si="78"/>
        <v>0</v>
      </c>
      <c r="S250">
        <f t="shared" si="79"/>
        <v>0</v>
      </c>
      <c r="T250" s="43">
        <f t="shared" si="80"/>
        <v>188679.65461310957</v>
      </c>
      <c r="U250">
        <f t="shared" si="81"/>
        <v>0</v>
      </c>
      <c r="V250">
        <f t="shared" si="82"/>
        <v>0</v>
      </c>
      <c r="W250" s="43">
        <f t="shared" si="83"/>
        <v>188679.65461310957</v>
      </c>
      <c r="X250" s="43">
        <f t="shared" si="84"/>
        <v>8148.6638690597611</v>
      </c>
      <c r="Y250" s="27">
        <f t="shared" si="85"/>
        <v>1445.1394336498552</v>
      </c>
      <c r="Z250" s="27">
        <f t="shared" si="86"/>
        <v>187234.5151794597</v>
      </c>
      <c r="AA250">
        <f t="shared" si="87"/>
        <v>0</v>
      </c>
      <c r="AB250" s="27">
        <f t="shared" si="88"/>
        <v>187234.5151794597</v>
      </c>
      <c r="AD250" s="27">
        <f t="shared" si="89"/>
        <v>0</v>
      </c>
      <c r="AE250" s="27">
        <f t="shared" si="90"/>
        <v>187234.5151794597</v>
      </c>
      <c r="AF250" s="50"/>
      <c r="AG250" t="str">
        <f t="shared" si="91"/>
        <v>5308100</v>
      </c>
    </row>
    <row r="251" spans="1:33" hidden="1" x14ac:dyDescent="0.25">
      <c r="A251" s="7" t="s">
        <v>219</v>
      </c>
      <c r="B251" s="2" t="s">
        <v>1134</v>
      </c>
      <c r="C251" s="4" t="s">
        <v>1133</v>
      </c>
      <c r="D251">
        <f>_xlfn.IFNA(VLOOKUP(A251,'Prior Year data'!$A$1:$T$318,12,FALSE),0)</f>
        <v>2083277.0255695162</v>
      </c>
      <c r="E251">
        <f>VLOOKUP(A251,'Basic HH'!$B$1:$Y$319,23,FALSE)</f>
        <v>860902.18026234885</v>
      </c>
      <c r="F251">
        <f>VLOOKUP(A251,'Conc. HH'!$B$1:$Y$319,23,FALSE)</f>
        <v>0</v>
      </c>
      <c r="G251">
        <f>VLOOKUP(A251,'Targeted HH'!$B$1:$Y$319,23,FALSE)</f>
        <v>483109.76008647622</v>
      </c>
      <c r="H251">
        <f>VLOOKUP(A251,'EFIG HH'!$B$1:$Y$319,23,FALSE)</f>
        <v>664043.08378385974</v>
      </c>
      <c r="I251">
        <f t="shared" si="69"/>
        <v>2008055.0241326848</v>
      </c>
      <c r="J251">
        <f t="shared" si="70"/>
        <v>0</v>
      </c>
      <c r="K251" s="43">
        <f t="shared" si="71"/>
        <v>2008055.0241326848</v>
      </c>
      <c r="L251">
        <f t="shared" si="72"/>
        <v>0</v>
      </c>
      <c r="M251">
        <f t="shared" si="73"/>
        <v>0</v>
      </c>
      <c r="N251" s="43">
        <f t="shared" si="74"/>
        <v>2008055.0241326848</v>
      </c>
      <c r="O251">
        <f t="shared" si="75"/>
        <v>0</v>
      </c>
      <c r="P251">
        <f t="shared" si="76"/>
        <v>0</v>
      </c>
      <c r="Q251" s="43">
        <f t="shared" si="77"/>
        <v>2008055.0241326848</v>
      </c>
      <c r="R251">
        <f t="shared" si="78"/>
        <v>0</v>
      </c>
      <c r="S251">
        <f t="shared" si="79"/>
        <v>0</v>
      </c>
      <c r="T251" s="43">
        <f t="shared" si="80"/>
        <v>2008055.0241326848</v>
      </c>
      <c r="U251">
        <f t="shared" si="81"/>
        <v>0</v>
      </c>
      <c r="V251">
        <f t="shared" si="82"/>
        <v>0</v>
      </c>
      <c r="W251" s="43">
        <f t="shared" si="83"/>
        <v>2008055.0241326848</v>
      </c>
      <c r="X251" s="43">
        <f t="shared" si="84"/>
        <v>0</v>
      </c>
      <c r="Y251" s="27">
        <f t="shared" si="85"/>
        <v>15380.139985221422</v>
      </c>
      <c r="Z251" s="27">
        <f t="shared" si="86"/>
        <v>1992674.8841474634</v>
      </c>
      <c r="AA251">
        <f t="shared" si="87"/>
        <v>0</v>
      </c>
      <c r="AB251" s="27">
        <f t="shared" si="88"/>
        <v>1992674.8841474634</v>
      </c>
      <c r="AD251" s="27">
        <f t="shared" si="89"/>
        <v>0</v>
      </c>
      <c r="AE251" s="27">
        <f t="shared" si="90"/>
        <v>1992674.8841474634</v>
      </c>
      <c r="AF251" s="50"/>
      <c r="AG251" t="str">
        <f t="shared" si="91"/>
        <v>5308160</v>
      </c>
    </row>
    <row r="252" spans="1:33" x14ac:dyDescent="0.25">
      <c r="A252" s="7" t="s">
        <v>221</v>
      </c>
      <c r="B252" s="2" t="s">
        <v>1136</v>
      </c>
      <c r="C252" s="4" t="s">
        <v>1135</v>
      </c>
      <c r="D252">
        <f>_xlfn.IFNA(VLOOKUP(A252,'Prior Year data'!$A$1:$T$318,12,FALSE),0)</f>
        <v>263027.80207270564</v>
      </c>
      <c r="E252">
        <f>VLOOKUP(A252,'Basic HH'!$B$1:$Y$319,23,FALSE)</f>
        <v>130308.09993880148</v>
      </c>
      <c r="F252">
        <f>VLOOKUP(A252,'Conc. HH'!$B$1:$Y$319,23,FALSE)</f>
        <v>0</v>
      </c>
      <c r="G252">
        <f>VLOOKUP(A252,'Targeted HH'!$B$1:$Y$319,23,FALSE)</f>
        <v>62860.240572516661</v>
      </c>
      <c r="H252">
        <f>VLOOKUP(A252,'EFIG HH'!$B$1:$Y$319,23,FALSE)</f>
        <v>85231.189959680793</v>
      </c>
      <c r="I252">
        <f t="shared" si="69"/>
        <v>278399.5304709989</v>
      </c>
      <c r="J252">
        <f t="shared" si="70"/>
        <v>278399.5304709989</v>
      </c>
      <c r="K252" s="43">
        <f t="shared" si="71"/>
        <v>253117.76454814026</v>
      </c>
      <c r="L252">
        <f t="shared" si="72"/>
        <v>9910.037524565385</v>
      </c>
      <c r="M252">
        <f t="shared" si="73"/>
        <v>0</v>
      </c>
      <c r="N252" s="43">
        <f t="shared" si="74"/>
        <v>263027.80207270564</v>
      </c>
      <c r="O252">
        <f t="shared" si="75"/>
        <v>0</v>
      </c>
      <c r="P252">
        <f t="shared" si="76"/>
        <v>0</v>
      </c>
      <c r="Q252" s="43">
        <f t="shared" si="77"/>
        <v>263027.80207270564</v>
      </c>
      <c r="R252">
        <f t="shared" si="78"/>
        <v>0</v>
      </c>
      <c r="S252">
        <f t="shared" si="79"/>
        <v>0</v>
      </c>
      <c r="T252" s="43">
        <f t="shared" si="80"/>
        <v>263027.80207270564</v>
      </c>
      <c r="U252">
        <f t="shared" si="81"/>
        <v>0</v>
      </c>
      <c r="V252">
        <f t="shared" si="82"/>
        <v>0</v>
      </c>
      <c r="W252" s="43">
        <f t="shared" si="83"/>
        <v>263027.80207270564</v>
      </c>
      <c r="X252" s="43">
        <f t="shared" si="84"/>
        <v>15371.728398293257</v>
      </c>
      <c r="Y252" s="27">
        <f t="shared" si="85"/>
        <v>2014.5884287362142</v>
      </c>
      <c r="Z252" s="27">
        <f t="shared" si="86"/>
        <v>261013.21364396941</v>
      </c>
      <c r="AA252">
        <f t="shared" si="87"/>
        <v>0</v>
      </c>
      <c r="AB252" s="27">
        <f t="shared" si="88"/>
        <v>261013.21364396941</v>
      </c>
      <c r="AD252" s="27">
        <f t="shared" si="89"/>
        <v>0</v>
      </c>
      <c r="AE252" s="27">
        <f t="shared" si="90"/>
        <v>261013.21364396941</v>
      </c>
      <c r="AF252" s="50"/>
      <c r="AG252" t="str">
        <f t="shared" si="91"/>
        <v>5308190</v>
      </c>
    </row>
    <row r="253" spans="1:33" hidden="1" x14ac:dyDescent="0.25">
      <c r="A253" s="7" t="s">
        <v>586</v>
      </c>
      <c r="B253" s="2" t="s">
        <v>1138</v>
      </c>
      <c r="C253" s="4" t="s">
        <v>1137</v>
      </c>
      <c r="D253">
        <f>_xlfn.IFNA(VLOOKUP(A253,'Prior Year data'!$A$1:$T$318,12,FALSE),0)</f>
        <v>111997.97367246494</v>
      </c>
      <c r="E253">
        <f>VLOOKUP(A253,'Basic HH'!$B$1:$Y$319,23,FALSE)</f>
        <v>59941.725971848675</v>
      </c>
      <c r="F253">
        <f>VLOOKUP(A253,'Conc. HH'!$B$1:$Y$319,23,FALSE)</f>
        <v>16127.941648927421</v>
      </c>
      <c r="G253">
        <f>VLOOKUP(A253,'Targeted HH'!$B$1:$Y$319,23,FALSE)</f>
        <v>33120.872176937322</v>
      </c>
      <c r="H253">
        <f>VLOOKUP(A253,'EFIG HH'!$B$1:$Y$319,23,FALSE)</f>
        <v>44908.058296185962</v>
      </c>
      <c r="I253">
        <f t="shared" si="69"/>
        <v>154098.59809389937</v>
      </c>
      <c r="J253">
        <f t="shared" si="70"/>
        <v>154098.59809389937</v>
      </c>
      <c r="K253" s="43">
        <f t="shared" si="71"/>
        <v>140104.73582171975</v>
      </c>
      <c r="L253">
        <f t="shared" si="72"/>
        <v>0</v>
      </c>
      <c r="M253">
        <f t="shared" si="73"/>
        <v>28106.762149254806</v>
      </c>
      <c r="N253" s="43">
        <f t="shared" si="74"/>
        <v>136087.52898417259</v>
      </c>
      <c r="O253">
        <f t="shared" si="75"/>
        <v>0</v>
      </c>
      <c r="P253">
        <f t="shared" si="76"/>
        <v>24089.555311707649</v>
      </c>
      <c r="Q253" s="43">
        <f t="shared" si="77"/>
        <v>136087.52898417259</v>
      </c>
      <c r="R253">
        <f t="shared" si="78"/>
        <v>0</v>
      </c>
      <c r="S253">
        <f t="shared" si="79"/>
        <v>24089.555311707649</v>
      </c>
      <c r="T253" s="43">
        <f t="shared" si="80"/>
        <v>136087.52898417259</v>
      </c>
      <c r="U253">
        <f t="shared" si="81"/>
        <v>0</v>
      </c>
      <c r="V253">
        <f t="shared" si="82"/>
        <v>24089.555311707649</v>
      </c>
      <c r="W253" s="43">
        <f t="shared" si="83"/>
        <v>136087.52898417259</v>
      </c>
      <c r="X253" s="43">
        <f t="shared" si="84"/>
        <v>18011.069109726785</v>
      </c>
      <c r="Y253" s="27">
        <f t="shared" si="85"/>
        <v>1042.3246479132094</v>
      </c>
      <c r="Z253" s="27">
        <f t="shared" si="86"/>
        <v>135045.20433625937</v>
      </c>
      <c r="AA253">
        <f t="shared" si="87"/>
        <v>0</v>
      </c>
      <c r="AB253" s="27">
        <f t="shared" si="88"/>
        <v>135045.20433625937</v>
      </c>
      <c r="AD253" s="27">
        <f t="shared" si="89"/>
        <v>0</v>
      </c>
      <c r="AE253" s="27">
        <f t="shared" si="90"/>
        <v>135045.20433625937</v>
      </c>
      <c r="AF253" s="50"/>
      <c r="AG253" t="str">
        <f t="shared" si="91"/>
        <v>5308220</v>
      </c>
    </row>
    <row r="254" spans="1:33" hidden="1" x14ac:dyDescent="0.25">
      <c r="A254" s="7" t="s">
        <v>61</v>
      </c>
      <c r="B254" s="2" t="s">
        <v>1139</v>
      </c>
      <c r="C254" s="4" t="s">
        <v>32</v>
      </c>
      <c r="D254">
        <f>_xlfn.IFNA(VLOOKUP(A254,'Prior Year data'!$A$1:$T$318,12,FALSE),0)</f>
        <v>14790695.760387417</v>
      </c>
      <c r="E254">
        <f>VLOOKUP(A254,'Basic HH'!$B$1:$Y$319,23,FALSE)</f>
        <v>4414351.4288582904</v>
      </c>
      <c r="F254">
        <f>VLOOKUP(A254,'Conc. HH'!$B$1:$Y$319,23,FALSE)</f>
        <v>1162432.4418311948</v>
      </c>
      <c r="G254">
        <f>VLOOKUP(A254,'Targeted HH'!$B$1:$Y$319,23,FALSE)</f>
        <v>3719856.6752735386</v>
      </c>
      <c r="H254">
        <f>VLOOKUP(A254,'EFIG HH'!$B$1:$Y$319,23,FALSE)</f>
        <v>5112897.4537948482</v>
      </c>
      <c r="I254">
        <f t="shared" si="69"/>
        <v>14409537.999757871</v>
      </c>
      <c r="J254">
        <f t="shared" si="70"/>
        <v>0</v>
      </c>
      <c r="K254" s="43">
        <f t="shared" si="71"/>
        <v>14409537.999757871</v>
      </c>
      <c r="L254">
        <f t="shared" si="72"/>
        <v>0</v>
      </c>
      <c r="M254">
        <f t="shared" si="73"/>
        <v>0</v>
      </c>
      <c r="N254" s="43">
        <f t="shared" si="74"/>
        <v>14409537.999757871</v>
      </c>
      <c r="O254">
        <f t="shared" si="75"/>
        <v>0</v>
      </c>
      <c r="P254">
        <f t="shared" si="76"/>
        <v>0</v>
      </c>
      <c r="Q254" s="43">
        <f t="shared" si="77"/>
        <v>14409537.999757871</v>
      </c>
      <c r="R254">
        <f t="shared" si="78"/>
        <v>0</v>
      </c>
      <c r="S254">
        <f t="shared" si="79"/>
        <v>0</v>
      </c>
      <c r="T254" s="43">
        <f t="shared" si="80"/>
        <v>14409537.999757871</v>
      </c>
      <c r="U254">
        <f t="shared" si="81"/>
        <v>0</v>
      </c>
      <c r="V254">
        <f t="shared" si="82"/>
        <v>0</v>
      </c>
      <c r="W254" s="43">
        <f t="shared" si="83"/>
        <v>14409537.999757871</v>
      </c>
      <c r="X254" s="43">
        <f t="shared" si="84"/>
        <v>0</v>
      </c>
      <c r="Y254" s="27">
        <f t="shared" si="85"/>
        <v>110365.8559627197</v>
      </c>
      <c r="Z254" s="27">
        <f t="shared" si="86"/>
        <v>14299172.143795151</v>
      </c>
      <c r="AA254">
        <f t="shared" si="87"/>
        <v>0</v>
      </c>
      <c r="AB254" s="27">
        <f t="shared" si="88"/>
        <v>14299172.143795151</v>
      </c>
      <c r="AD254" s="27">
        <f t="shared" si="89"/>
        <v>0</v>
      </c>
      <c r="AE254" s="27">
        <f t="shared" si="90"/>
        <v>14299172.143795151</v>
      </c>
      <c r="AF254" s="50"/>
      <c r="AG254" t="str">
        <f t="shared" si="91"/>
        <v>5308250</v>
      </c>
    </row>
    <row r="255" spans="1:33" hidden="1" x14ac:dyDescent="0.25">
      <c r="A255" s="7" t="s">
        <v>78</v>
      </c>
      <c r="B255" s="2" t="s">
        <v>1140</v>
      </c>
      <c r="C255" s="4" t="s">
        <v>35</v>
      </c>
      <c r="D255">
        <f>_xlfn.IFNA(VLOOKUP(A255,'Prior Year data'!$A$1:$T$318,12,FALSE),0)</f>
        <v>263999.68786392419</v>
      </c>
      <c r="E255">
        <f>VLOOKUP(A255,'Basic HH'!$B$1:$Y$319,23,FALSE)</f>
        <v>86919.010837106835</v>
      </c>
      <c r="F255">
        <f>VLOOKUP(A255,'Conc. HH'!$B$1:$Y$319,23,FALSE)</f>
        <v>0</v>
      </c>
      <c r="G255">
        <f>VLOOKUP(A255,'Targeted HH'!$B$1:$Y$319,23,FALSE)</f>
        <v>73244.3412993534</v>
      </c>
      <c r="H255">
        <f>VLOOKUP(A255,'EFIG HH'!$B$1:$Y$319,23,FALSE)</f>
        <v>100673.45030351382</v>
      </c>
      <c r="I255">
        <f t="shared" si="69"/>
        <v>260836.80243997407</v>
      </c>
      <c r="J255">
        <f t="shared" si="70"/>
        <v>0</v>
      </c>
      <c r="K255" s="43">
        <f t="shared" si="71"/>
        <v>260836.80243997407</v>
      </c>
      <c r="L255">
        <f t="shared" si="72"/>
        <v>0</v>
      </c>
      <c r="M255">
        <f t="shared" si="73"/>
        <v>0</v>
      </c>
      <c r="N255" s="43">
        <f t="shared" si="74"/>
        <v>260836.80243997407</v>
      </c>
      <c r="O255">
        <f t="shared" si="75"/>
        <v>0</v>
      </c>
      <c r="P255">
        <f t="shared" si="76"/>
        <v>0</v>
      </c>
      <c r="Q255" s="43">
        <f t="shared" si="77"/>
        <v>260836.80243997407</v>
      </c>
      <c r="R255">
        <f t="shared" si="78"/>
        <v>0</v>
      </c>
      <c r="S255">
        <f t="shared" si="79"/>
        <v>0</v>
      </c>
      <c r="T255" s="43">
        <f t="shared" si="80"/>
        <v>260836.80243997407</v>
      </c>
      <c r="U255">
        <f t="shared" si="81"/>
        <v>0</v>
      </c>
      <c r="V255">
        <f t="shared" si="82"/>
        <v>0</v>
      </c>
      <c r="W255" s="43">
        <f t="shared" si="83"/>
        <v>260836.80243997407</v>
      </c>
      <c r="X255" s="43">
        <f t="shared" si="84"/>
        <v>0</v>
      </c>
      <c r="Y255" s="27">
        <f t="shared" si="85"/>
        <v>1997.807075310137</v>
      </c>
      <c r="Z255" s="27">
        <f t="shared" si="86"/>
        <v>258838.99536466392</v>
      </c>
      <c r="AA255">
        <f t="shared" si="87"/>
        <v>0</v>
      </c>
      <c r="AB255" s="27">
        <f t="shared" si="88"/>
        <v>258838.99536466392</v>
      </c>
      <c r="AD255" s="27">
        <f t="shared" si="89"/>
        <v>0</v>
      </c>
      <c r="AE255" s="27">
        <f t="shared" si="90"/>
        <v>258838.99536466392</v>
      </c>
      <c r="AF255" s="50"/>
      <c r="AG255" t="str">
        <f t="shared" si="91"/>
        <v>5308260</v>
      </c>
    </row>
    <row r="256" spans="1:33" x14ac:dyDescent="0.25">
      <c r="A256" s="7" t="s">
        <v>588</v>
      </c>
      <c r="B256" s="2" t="s">
        <v>1142</v>
      </c>
      <c r="C256" s="4" t="s">
        <v>1141</v>
      </c>
      <c r="D256">
        <f>_xlfn.IFNA(VLOOKUP(A256,'Prior Year data'!$A$1:$T$318,12,FALSE),0)</f>
        <v>41964.02507362717</v>
      </c>
      <c r="E256">
        <f>VLOOKUP(A256,'Basic HH'!$B$1:$Y$319,23,FALSE)</f>
        <v>17374.413325173526</v>
      </c>
      <c r="F256">
        <f>VLOOKUP(A256,'Conc. HH'!$B$1:$Y$319,23,FALSE)</f>
        <v>4674.7656953412798</v>
      </c>
      <c r="G256">
        <f>VLOOKUP(A256,'Targeted HH'!$B$1:$Y$319,23,FALSE)</f>
        <v>8677.2147168561896</v>
      </c>
      <c r="H256">
        <f>VLOOKUP(A256,'EFIG HH'!$B$1:$Y$319,23,FALSE)</f>
        <v>11926.988223554987</v>
      </c>
      <c r="I256">
        <f t="shared" si="69"/>
        <v>42653.381960925981</v>
      </c>
      <c r="J256">
        <f t="shared" si="70"/>
        <v>42653.381960925981</v>
      </c>
      <c r="K256" s="43">
        <f t="shared" si="71"/>
        <v>38779.981683525926</v>
      </c>
      <c r="L256">
        <f t="shared" si="72"/>
        <v>3184.0433901012439</v>
      </c>
      <c r="M256">
        <f t="shared" si="73"/>
        <v>0</v>
      </c>
      <c r="N256" s="43">
        <f t="shared" si="74"/>
        <v>41964.02507362717</v>
      </c>
      <c r="O256">
        <f t="shared" si="75"/>
        <v>0</v>
      </c>
      <c r="P256">
        <f t="shared" si="76"/>
        <v>0</v>
      </c>
      <c r="Q256" s="43">
        <f t="shared" si="77"/>
        <v>41964.02507362717</v>
      </c>
      <c r="R256">
        <f t="shared" si="78"/>
        <v>0</v>
      </c>
      <c r="S256">
        <f t="shared" si="79"/>
        <v>0</v>
      </c>
      <c r="T256" s="43">
        <f t="shared" si="80"/>
        <v>41964.02507362717</v>
      </c>
      <c r="U256">
        <f t="shared" si="81"/>
        <v>0</v>
      </c>
      <c r="V256">
        <f t="shared" si="82"/>
        <v>0</v>
      </c>
      <c r="W256" s="43">
        <f t="shared" si="83"/>
        <v>41964.02507362717</v>
      </c>
      <c r="X256" s="43">
        <f t="shared" si="84"/>
        <v>689.35688729881076</v>
      </c>
      <c r="Y256" s="27">
        <f t="shared" si="85"/>
        <v>321.4118000847576</v>
      </c>
      <c r="Z256" s="27">
        <f t="shared" si="86"/>
        <v>41642.613273542411</v>
      </c>
      <c r="AA256">
        <f t="shared" si="87"/>
        <v>0</v>
      </c>
      <c r="AB256" s="27">
        <f t="shared" si="88"/>
        <v>41642.613273542411</v>
      </c>
      <c r="AD256" s="27">
        <f t="shared" si="89"/>
        <v>0</v>
      </c>
      <c r="AE256" s="27">
        <f t="shared" si="90"/>
        <v>41642.613273542411</v>
      </c>
      <c r="AF256" s="50"/>
      <c r="AG256" t="str">
        <f t="shared" si="91"/>
        <v>5308280</v>
      </c>
    </row>
    <row r="257" spans="1:33" hidden="1" x14ac:dyDescent="0.25">
      <c r="A257" s="7" t="s">
        <v>590</v>
      </c>
      <c r="B257" s="2" t="s">
        <v>1144</v>
      </c>
      <c r="C257" s="4" t="s">
        <v>1143</v>
      </c>
      <c r="D257">
        <f>_xlfn.IFNA(VLOOKUP(A257,'Prior Year data'!$A$1:$T$318,12,FALSE),0)</f>
        <v>32812.860163130055</v>
      </c>
      <c r="E257">
        <f>VLOOKUP(A257,'Basic HH'!$B$1:$Y$319,23,FALSE)</f>
        <v>20849.295990208251</v>
      </c>
      <c r="F257">
        <f>VLOOKUP(A257,'Conc. HH'!$B$1:$Y$319,23,FALSE)</f>
        <v>0</v>
      </c>
      <c r="G257">
        <f>VLOOKUP(A257,'Targeted HH'!$B$1:$Y$319,23,FALSE)</f>
        <v>10057.638491602667</v>
      </c>
      <c r="H257">
        <f>VLOOKUP(A257,'EFIG HH'!$B$1:$Y$319,23,FALSE)</f>
        <v>13636.990393548929</v>
      </c>
      <c r="I257">
        <f t="shared" si="69"/>
        <v>44543.924875359844</v>
      </c>
      <c r="J257">
        <f t="shared" si="70"/>
        <v>44543.924875359844</v>
      </c>
      <c r="K257" s="43">
        <f t="shared" si="71"/>
        <v>40498.842327702463</v>
      </c>
      <c r="L257">
        <f t="shared" si="72"/>
        <v>0</v>
      </c>
      <c r="M257">
        <f t="shared" si="73"/>
        <v>7685.9821645724078</v>
      </c>
      <c r="N257" s="43">
        <f t="shared" si="74"/>
        <v>39400.31023991431</v>
      </c>
      <c r="O257">
        <f t="shared" si="75"/>
        <v>0</v>
      </c>
      <c r="P257">
        <f t="shared" si="76"/>
        <v>6587.4500767842546</v>
      </c>
      <c r="Q257" s="43">
        <f t="shared" si="77"/>
        <v>39400.31023991431</v>
      </c>
      <c r="R257">
        <f t="shared" si="78"/>
        <v>0</v>
      </c>
      <c r="S257">
        <f t="shared" si="79"/>
        <v>6587.4500767842546</v>
      </c>
      <c r="T257" s="43">
        <f t="shared" si="80"/>
        <v>39400.31023991431</v>
      </c>
      <c r="U257">
        <f t="shared" si="81"/>
        <v>0</v>
      </c>
      <c r="V257">
        <f t="shared" si="82"/>
        <v>6587.4500767842546</v>
      </c>
      <c r="W257" s="43">
        <f t="shared" si="83"/>
        <v>39400.31023991431</v>
      </c>
      <c r="X257" s="43">
        <f t="shared" si="84"/>
        <v>5143.6146354455341</v>
      </c>
      <c r="Y257" s="27">
        <f t="shared" si="85"/>
        <v>301.77573804919507</v>
      </c>
      <c r="Z257" s="27">
        <f t="shared" si="86"/>
        <v>39098.534501865113</v>
      </c>
      <c r="AA257">
        <f t="shared" si="87"/>
        <v>0</v>
      </c>
      <c r="AB257" s="27">
        <f t="shared" si="88"/>
        <v>39098.534501865113</v>
      </c>
      <c r="AD257" s="27">
        <f t="shared" si="89"/>
        <v>0</v>
      </c>
      <c r="AE257" s="27">
        <f t="shared" si="90"/>
        <v>39098.534501865113</v>
      </c>
      <c r="AF257" s="50"/>
      <c r="AG257" t="str">
        <f t="shared" si="91"/>
        <v>5308310</v>
      </c>
    </row>
    <row r="258" spans="1:33" hidden="1" x14ac:dyDescent="0.25">
      <c r="A258" s="7" t="s">
        <v>223</v>
      </c>
      <c r="B258" s="2" t="s">
        <v>1146</v>
      </c>
      <c r="C258" s="4" t="s">
        <v>1145</v>
      </c>
      <c r="D258">
        <f>_xlfn.IFNA(VLOOKUP(A258,'Prior Year data'!$A$1:$T$318,12,FALSE),0)</f>
        <v>660058.75866914412</v>
      </c>
      <c r="E258">
        <f>VLOOKUP(A258,'Basic HH'!$B$1:$Y$319,23,FALSE)</f>
        <v>371812.44515871361</v>
      </c>
      <c r="F258">
        <f>VLOOKUP(A258,'Conc. HH'!$B$1:$Y$319,23,FALSE)</f>
        <v>0</v>
      </c>
      <c r="G258">
        <f>VLOOKUP(A258,'Targeted HH'!$B$1:$Y$319,23,FALSE)</f>
        <v>179361.21976691426</v>
      </c>
      <c r="H258">
        <f>VLOOKUP(A258,'EFIG HH'!$B$1:$Y$319,23,FALSE)</f>
        <v>243192.99535162255</v>
      </c>
      <c r="I258">
        <f t="shared" si="69"/>
        <v>794366.66027725046</v>
      </c>
      <c r="J258">
        <f t="shared" si="70"/>
        <v>794366.66027725046</v>
      </c>
      <c r="K258" s="43">
        <f t="shared" si="71"/>
        <v>722229.35484402708</v>
      </c>
      <c r="L258">
        <f t="shared" si="72"/>
        <v>0</v>
      </c>
      <c r="M258">
        <f t="shared" si="73"/>
        <v>62170.596174882958</v>
      </c>
      <c r="N258" s="43">
        <f t="shared" si="74"/>
        <v>713343.51652789989</v>
      </c>
      <c r="O258">
        <f t="shared" si="75"/>
        <v>0</v>
      </c>
      <c r="P258">
        <f t="shared" si="76"/>
        <v>53284.757858755765</v>
      </c>
      <c r="Q258" s="43">
        <f t="shared" si="77"/>
        <v>713343.51652789989</v>
      </c>
      <c r="R258">
        <f t="shared" si="78"/>
        <v>0</v>
      </c>
      <c r="S258">
        <f t="shared" si="79"/>
        <v>53284.757858755765</v>
      </c>
      <c r="T258" s="43">
        <f t="shared" si="80"/>
        <v>713343.51652789989</v>
      </c>
      <c r="U258">
        <f t="shared" si="81"/>
        <v>0</v>
      </c>
      <c r="V258">
        <f t="shared" si="82"/>
        <v>53284.757858755765</v>
      </c>
      <c r="W258" s="43">
        <f t="shared" si="83"/>
        <v>713343.51652789989</v>
      </c>
      <c r="X258" s="43">
        <f t="shared" si="84"/>
        <v>81023.143749350565</v>
      </c>
      <c r="Y258" s="27">
        <f t="shared" si="85"/>
        <v>5463.6566278794699</v>
      </c>
      <c r="Z258" s="27">
        <f t="shared" si="86"/>
        <v>707879.85990002041</v>
      </c>
      <c r="AA258">
        <f t="shared" si="87"/>
        <v>0</v>
      </c>
      <c r="AB258" s="27">
        <f t="shared" si="88"/>
        <v>707879.85990002041</v>
      </c>
      <c r="AD258" s="27">
        <f t="shared" si="89"/>
        <v>0</v>
      </c>
      <c r="AE258" s="27">
        <f t="shared" si="90"/>
        <v>707879.85990002041</v>
      </c>
      <c r="AF258" s="50"/>
      <c r="AG258" t="str">
        <f t="shared" si="91"/>
        <v>5308340</v>
      </c>
    </row>
    <row r="259" spans="1:33" hidden="1" x14ac:dyDescent="0.25">
      <c r="A259" s="7" t="s">
        <v>225</v>
      </c>
      <c r="B259" s="2" t="s">
        <v>1148</v>
      </c>
      <c r="C259" s="4" t="s">
        <v>1147</v>
      </c>
      <c r="D259">
        <f>_xlfn.IFNA(VLOOKUP(A259,'Prior Year data'!$A$1:$T$318,12,FALSE),0)</f>
        <v>0</v>
      </c>
      <c r="E259">
        <f>VLOOKUP(A259,'Basic HH'!$B$1:$Y$319,23,FALSE)</f>
        <v>0</v>
      </c>
      <c r="F259">
        <f>VLOOKUP(A259,'Conc. HH'!$B$1:$Y$319,23,FALSE)</f>
        <v>0</v>
      </c>
      <c r="G259">
        <f>VLOOKUP(A259,'Targeted HH'!$B$1:$Y$319,23,FALSE)</f>
        <v>0</v>
      </c>
      <c r="H259">
        <f>VLOOKUP(A259,'EFIG HH'!$B$1:$Y$319,23,FALSE)</f>
        <v>0</v>
      </c>
      <c r="I259">
        <f t="shared" si="69"/>
        <v>0</v>
      </c>
      <c r="J259">
        <f t="shared" si="70"/>
        <v>0</v>
      </c>
      <c r="K259" s="43">
        <f t="shared" si="71"/>
        <v>0</v>
      </c>
      <c r="L259">
        <f t="shared" si="72"/>
        <v>0</v>
      </c>
      <c r="M259">
        <f t="shared" si="73"/>
        <v>0</v>
      </c>
      <c r="N259" s="43">
        <f t="shared" si="74"/>
        <v>0</v>
      </c>
      <c r="O259">
        <f t="shared" si="75"/>
        <v>0</v>
      </c>
      <c r="P259">
        <f t="shared" si="76"/>
        <v>0</v>
      </c>
      <c r="Q259" s="43">
        <f t="shared" si="77"/>
        <v>0</v>
      </c>
      <c r="R259">
        <f t="shared" si="78"/>
        <v>0</v>
      </c>
      <c r="S259">
        <f t="shared" si="79"/>
        <v>0</v>
      </c>
      <c r="T259" s="43">
        <f t="shared" si="80"/>
        <v>0</v>
      </c>
      <c r="U259">
        <f t="shared" si="81"/>
        <v>0</v>
      </c>
      <c r="V259">
        <f t="shared" si="82"/>
        <v>0</v>
      </c>
      <c r="W259" s="43">
        <f t="shared" si="83"/>
        <v>0</v>
      </c>
      <c r="X259" s="43">
        <f t="shared" si="84"/>
        <v>0</v>
      </c>
      <c r="Y259" s="27">
        <f t="shared" si="85"/>
        <v>0</v>
      </c>
      <c r="Z259" s="27">
        <f t="shared" si="86"/>
        <v>0</v>
      </c>
      <c r="AA259">
        <f t="shared" si="87"/>
        <v>0</v>
      </c>
      <c r="AB259" s="27">
        <f t="shared" si="88"/>
        <v>0</v>
      </c>
      <c r="AD259" s="27">
        <f t="shared" si="89"/>
        <v>0</v>
      </c>
      <c r="AE259" s="27">
        <f t="shared" si="90"/>
        <v>0</v>
      </c>
      <c r="AF259" s="50"/>
      <c r="AG259" t="str">
        <f t="shared" si="91"/>
        <v>5308370</v>
      </c>
    </row>
    <row r="260" spans="1:33" hidden="1" x14ac:dyDescent="0.25">
      <c r="A260" s="7" t="s">
        <v>592</v>
      </c>
      <c r="B260" s="2" t="s">
        <v>1150</v>
      </c>
      <c r="C260" s="4" t="s">
        <v>1149</v>
      </c>
      <c r="D260">
        <f>_xlfn.IFNA(VLOOKUP(A260,'Prior Year data'!$A$1:$T$318,12,FALSE),0)</f>
        <v>41346.319342670227</v>
      </c>
      <c r="E260">
        <f>VLOOKUP(A260,'Basic HH'!$B$1:$Y$319,23,FALSE)</f>
        <v>0</v>
      </c>
      <c r="F260">
        <f>VLOOKUP(A260,'Conc. HH'!$B$1:$Y$319,23,FALSE)</f>
        <v>3230.306654611838</v>
      </c>
      <c r="G260">
        <f>VLOOKUP(A260,'Targeted HH'!$B$1:$Y$319,23,FALSE)</f>
        <v>0</v>
      </c>
      <c r="H260">
        <f>VLOOKUP(A260,'EFIG HH'!$B$1:$Y$319,23,FALSE)</f>
        <v>0</v>
      </c>
      <c r="I260">
        <f t="shared" ref="I260:I318" si="92">SUM(E260:H260)</f>
        <v>3230.306654611838</v>
      </c>
      <c r="J260">
        <f t="shared" ref="J260:J318" si="93">IF(I260&lt;D260,0,I260)</f>
        <v>0</v>
      </c>
      <c r="K260" s="43">
        <f t="shared" ref="K260:K318" si="94">IF(J260=0,I260,I260-$K$1*J260/$J$3)</f>
        <v>3230.306654611838</v>
      </c>
      <c r="L260">
        <f t="shared" ref="L260:L318" si="95">IF($J260=0,0,IF(K260&lt;$D260,$D260-K260,0))</f>
        <v>0</v>
      </c>
      <c r="M260">
        <f t="shared" ref="M260:M318" si="96">IF($J260=0,0,IF(L260&gt;0,0,K260-$D260))</f>
        <v>0</v>
      </c>
      <c r="N260" s="43">
        <f t="shared" ref="N260:N318" si="97">IF(L260&gt;0,L260+K260,K260-$L$3*M260/$M$3)</f>
        <v>3230.306654611838</v>
      </c>
      <c r="O260">
        <f t="shared" ref="O260:O318" si="98">IF($J260=0,0,IF(N260&lt;$D260,$D260-N260,0))</f>
        <v>0</v>
      </c>
      <c r="P260">
        <f t="shared" ref="P260:P318" si="99">IF($J260=0,0,IF(O260&gt;0,0,N260-$D260))</f>
        <v>0</v>
      </c>
      <c r="Q260" s="43">
        <f t="shared" ref="Q260:Q318" si="100">IF(O260&gt;0,O260+N260,N260-$O$3*P260/$P$3)</f>
        <v>3230.306654611838</v>
      </c>
      <c r="R260">
        <f t="shared" ref="R260:R318" si="101">IF($J260=0,0,IF(Q260&lt;$D260,$D260-Q260,0))</f>
        <v>0</v>
      </c>
      <c r="S260">
        <f t="shared" ref="S260:S318" si="102">IF($J260=0,0,IF(R260&gt;0,0,Q260-$D260))</f>
        <v>0</v>
      </c>
      <c r="T260" s="43">
        <f t="shared" ref="T260:T318" si="103">IF(R260&gt;0,R260+Q260,Q260-$R$3*S260/$S$3)</f>
        <v>3230.306654611838</v>
      </c>
      <c r="U260">
        <f t="shared" ref="U260:U318" si="104">IF($J260=0,0,IF(T260&lt;$D260,$D260-T260,0))</f>
        <v>0</v>
      </c>
      <c r="V260">
        <f t="shared" ref="V260:V318" si="105">IF($J260=0,0,IF(U260&gt;0,0,T260-$D260))</f>
        <v>0</v>
      </c>
      <c r="W260" s="43">
        <f t="shared" ref="W260:W318" si="106">IF(U260&gt;0,U260+T260,T260-$U$3*V260/$V$3)</f>
        <v>3230.306654611838</v>
      </c>
      <c r="X260" s="43">
        <f t="shared" ref="X260:X318" si="107">I260-W260</f>
        <v>0</v>
      </c>
      <c r="Y260" s="27">
        <f t="shared" ref="Y260:Y318" si="108">W260/$W$3*$Y$1</f>
        <v>24.74163702988227</v>
      </c>
      <c r="Z260" s="27">
        <f t="shared" ref="Z260:Z318" si="109">W260-Y260</f>
        <v>3205.5650175819555</v>
      </c>
      <c r="AA260">
        <f t="shared" ref="AA260:AA318" si="110">Z260/$Z$3*$AA$1</f>
        <v>0</v>
      </c>
      <c r="AB260" s="27">
        <f t="shared" ref="AB260:AB318" si="111">Z260-AA260</f>
        <v>3205.5650175819555</v>
      </c>
      <c r="AD260" s="27">
        <f t="shared" ref="AD260:AD318" si="112">IF(AC260&gt;0,AC260*AB260,0)</f>
        <v>0</v>
      </c>
      <c r="AE260" s="27">
        <f t="shared" ref="AE260:AE318" si="113">AB260-AD260</f>
        <v>3205.5650175819555</v>
      </c>
      <c r="AF260" s="50"/>
      <c r="AG260" t="str">
        <f t="shared" ref="AG260:AG316" si="114">A260</f>
        <v>5308400</v>
      </c>
    </row>
    <row r="261" spans="1:33" hidden="1" x14ac:dyDescent="0.25">
      <c r="A261" s="7" t="s">
        <v>227</v>
      </c>
      <c r="B261" s="2" t="s">
        <v>1152</v>
      </c>
      <c r="C261" s="4" t="s">
        <v>1151</v>
      </c>
      <c r="D261">
        <f>_xlfn.IFNA(VLOOKUP(A261,'Prior Year data'!$A$1:$T$318,12,FALSE),0)</f>
        <v>0</v>
      </c>
      <c r="E261">
        <f>VLOOKUP(A261,'Basic HH'!$B$1:$Y$319,23,FALSE)</f>
        <v>0</v>
      </c>
      <c r="F261">
        <f>VLOOKUP(A261,'Conc. HH'!$B$1:$Y$319,23,FALSE)</f>
        <v>0</v>
      </c>
      <c r="G261">
        <f>VLOOKUP(A261,'Targeted HH'!$B$1:$Y$319,23,FALSE)</f>
        <v>0</v>
      </c>
      <c r="H261">
        <f>VLOOKUP(A261,'EFIG HH'!$B$1:$Y$319,23,FALSE)</f>
        <v>0</v>
      </c>
      <c r="I261">
        <f t="shared" si="92"/>
        <v>0</v>
      </c>
      <c r="J261">
        <f t="shared" si="93"/>
        <v>0</v>
      </c>
      <c r="K261" s="43">
        <f t="shared" si="94"/>
        <v>0</v>
      </c>
      <c r="L261">
        <f t="shared" si="95"/>
        <v>0</v>
      </c>
      <c r="M261">
        <f t="shared" si="96"/>
        <v>0</v>
      </c>
      <c r="N261" s="43">
        <f t="shared" si="97"/>
        <v>0</v>
      </c>
      <c r="O261">
        <f t="shared" si="98"/>
        <v>0</v>
      </c>
      <c r="P261">
        <f t="shared" si="99"/>
        <v>0</v>
      </c>
      <c r="Q261" s="43">
        <f t="shared" si="100"/>
        <v>0</v>
      </c>
      <c r="R261">
        <f t="shared" si="101"/>
        <v>0</v>
      </c>
      <c r="S261">
        <f t="shared" si="102"/>
        <v>0</v>
      </c>
      <c r="T261" s="43">
        <f t="shared" si="103"/>
        <v>0</v>
      </c>
      <c r="U261">
        <f t="shared" si="104"/>
        <v>0</v>
      </c>
      <c r="V261">
        <f t="shared" si="105"/>
        <v>0</v>
      </c>
      <c r="W261" s="43">
        <f t="shared" si="106"/>
        <v>0</v>
      </c>
      <c r="X261" s="43">
        <f t="shared" si="107"/>
        <v>0</v>
      </c>
      <c r="Y261" s="27">
        <f t="shared" si="108"/>
        <v>0</v>
      </c>
      <c r="Z261" s="27">
        <f t="shared" si="109"/>
        <v>0</v>
      </c>
      <c r="AA261">
        <f t="shared" si="110"/>
        <v>0</v>
      </c>
      <c r="AB261" s="27">
        <f t="shared" si="111"/>
        <v>0</v>
      </c>
      <c r="AD261" s="27">
        <f t="shared" si="112"/>
        <v>0</v>
      </c>
      <c r="AE261" s="27">
        <f t="shared" si="113"/>
        <v>0</v>
      </c>
      <c r="AF261" s="50"/>
      <c r="AG261" t="str">
        <f t="shared" si="114"/>
        <v>5308430</v>
      </c>
    </row>
    <row r="262" spans="1:33" x14ac:dyDescent="0.25">
      <c r="A262" s="7" t="s">
        <v>229</v>
      </c>
      <c r="B262" s="2" t="s">
        <v>1154</v>
      </c>
      <c r="C262" s="4" t="s">
        <v>1153</v>
      </c>
      <c r="D262">
        <f>_xlfn.IFNA(VLOOKUP(A262,'Prior Year data'!$A$1:$T$318,12,FALSE),0)</f>
        <v>442179.93023526401</v>
      </c>
      <c r="E262">
        <f>VLOOKUP(A262,'Basic HH'!$B$1:$Y$319,23,FALSE)</f>
        <v>217180.1665646692</v>
      </c>
      <c r="F262">
        <f>VLOOKUP(A262,'Conc. HH'!$B$1:$Y$319,23,FALSE)</f>
        <v>0</v>
      </c>
      <c r="G262">
        <f>VLOOKUP(A262,'Targeted HH'!$B$1:$Y$319,23,FALSE)</f>
        <v>104767.06762086108</v>
      </c>
      <c r="H262">
        <f>VLOOKUP(A262,'EFIG HH'!$B$1:$Y$319,23,FALSE)</f>
        <v>142051.98326613466</v>
      </c>
      <c r="I262">
        <f t="shared" si="92"/>
        <v>463999.21745166497</v>
      </c>
      <c r="J262">
        <f t="shared" si="93"/>
        <v>463999.21745166497</v>
      </c>
      <c r="K262" s="43">
        <f t="shared" si="94"/>
        <v>421862.9409135672</v>
      </c>
      <c r="L262">
        <f t="shared" si="95"/>
        <v>20316.989321696805</v>
      </c>
      <c r="M262">
        <f t="shared" si="96"/>
        <v>0</v>
      </c>
      <c r="N262" s="43">
        <f t="shared" si="97"/>
        <v>442179.93023526401</v>
      </c>
      <c r="O262">
        <f t="shared" si="98"/>
        <v>0</v>
      </c>
      <c r="P262">
        <f t="shared" si="99"/>
        <v>0</v>
      </c>
      <c r="Q262" s="43">
        <f t="shared" si="100"/>
        <v>442179.93023526401</v>
      </c>
      <c r="R262">
        <f t="shared" si="101"/>
        <v>0</v>
      </c>
      <c r="S262">
        <f t="shared" si="102"/>
        <v>0</v>
      </c>
      <c r="T262" s="43">
        <f t="shared" si="103"/>
        <v>442179.93023526401</v>
      </c>
      <c r="U262">
        <f t="shared" si="104"/>
        <v>0</v>
      </c>
      <c r="V262">
        <f t="shared" si="105"/>
        <v>0</v>
      </c>
      <c r="W262" s="43">
        <f t="shared" si="106"/>
        <v>442179.93023526401</v>
      </c>
      <c r="X262" s="43">
        <f t="shared" si="107"/>
        <v>21819.28721640096</v>
      </c>
      <c r="Y262" s="27">
        <f t="shared" si="108"/>
        <v>3386.7544185504507</v>
      </c>
      <c r="Z262" s="27">
        <f t="shared" si="109"/>
        <v>438793.17581671354</v>
      </c>
      <c r="AA262">
        <f t="shared" si="110"/>
        <v>0</v>
      </c>
      <c r="AB262" s="27">
        <f t="shared" si="111"/>
        <v>438793.17581671354</v>
      </c>
      <c r="AD262" s="27">
        <f t="shared" si="112"/>
        <v>0</v>
      </c>
      <c r="AE262" s="27">
        <f t="shared" si="113"/>
        <v>438793.17581671354</v>
      </c>
      <c r="AF262" s="50"/>
      <c r="AG262" t="str">
        <f t="shared" si="114"/>
        <v>5308460</v>
      </c>
    </row>
    <row r="263" spans="1:33" hidden="1" x14ac:dyDescent="0.25">
      <c r="A263" s="7" t="s">
        <v>594</v>
      </c>
      <c r="B263" s="2" t="s">
        <v>1156</v>
      </c>
      <c r="C263" s="4" t="s">
        <v>1155</v>
      </c>
      <c r="D263">
        <f>_xlfn.IFNA(VLOOKUP(A263,'Prior Year data'!$A$1:$T$318,12,FALSE),0)</f>
        <v>1783.2006729242646</v>
      </c>
      <c r="E263">
        <f>VLOOKUP(A263,'Basic HH'!$B$1:$Y$319,23,FALSE)</f>
        <v>0</v>
      </c>
      <c r="F263">
        <f>VLOOKUP(A263,'Conc. HH'!$B$1:$Y$319,23,FALSE)</f>
        <v>1617.3608360838525</v>
      </c>
      <c r="G263">
        <f>VLOOKUP(A263,'Targeted HH'!$B$1:$Y$319,23,FALSE)</f>
        <v>0</v>
      </c>
      <c r="H263">
        <f>VLOOKUP(A263,'EFIG HH'!$B$1:$Y$319,23,FALSE)</f>
        <v>0</v>
      </c>
      <c r="I263">
        <f t="shared" si="92"/>
        <v>1617.3608360838525</v>
      </c>
      <c r="J263">
        <f t="shared" si="93"/>
        <v>0</v>
      </c>
      <c r="K263" s="43">
        <f t="shared" si="94"/>
        <v>1617.3608360838525</v>
      </c>
      <c r="L263">
        <f t="shared" si="95"/>
        <v>0</v>
      </c>
      <c r="M263">
        <f t="shared" si="96"/>
        <v>0</v>
      </c>
      <c r="N263" s="43">
        <f t="shared" si="97"/>
        <v>1617.3608360838525</v>
      </c>
      <c r="O263">
        <f t="shared" si="98"/>
        <v>0</v>
      </c>
      <c r="P263">
        <f t="shared" si="99"/>
        <v>0</v>
      </c>
      <c r="Q263" s="43">
        <f t="shared" si="100"/>
        <v>1617.3608360838525</v>
      </c>
      <c r="R263">
        <f t="shared" si="101"/>
        <v>0</v>
      </c>
      <c r="S263">
        <f t="shared" si="102"/>
        <v>0</v>
      </c>
      <c r="T263" s="43">
        <f t="shared" si="103"/>
        <v>1617.3608360838525</v>
      </c>
      <c r="U263">
        <f t="shared" si="104"/>
        <v>0</v>
      </c>
      <c r="V263">
        <f t="shared" si="105"/>
        <v>0</v>
      </c>
      <c r="W263" s="43">
        <f t="shared" si="106"/>
        <v>1617.3608360838525</v>
      </c>
      <c r="X263" s="43">
        <f t="shared" si="107"/>
        <v>0</v>
      </c>
      <c r="Y263" s="27">
        <f t="shared" si="108"/>
        <v>12.387726315581654</v>
      </c>
      <c r="Z263" s="27">
        <f t="shared" si="109"/>
        <v>1604.9731097682709</v>
      </c>
      <c r="AA263">
        <f t="shared" si="110"/>
        <v>0</v>
      </c>
      <c r="AB263" s="27">
        <f t="shared" si="111"/>
        <v>1604.9731097682709</v>
      </c>
      <c r="AD263" s="27">
        <f t="shared" si="112"/>
        <v>0</v>
      </c>
      <c r="AE263" s="27">
        <f t="shared" si="113"/>
        <v>1604.9731097682709</v>
      </c>
      <c r="AF263" s="50"/>
      <c r="AG263" t="str">
        <f t="shared" si="114"/>
        <v>5308490</v>
      </c>
    </row>
    <row r="264" spans="1:33" hidden="1" x14ac:dyDescent="0.25">
      <c r="A264" s="7" t="s">
        <v>596</v>
      </c>
      <c r="B264" s="2" t="s">
        <v>1158</v>
      </c>
      <c r="C264" s="4" t="s">
        <v>1157</v>
      </c>
      <c r="D264">
        <f>_xlfn.IFNA(VLOOKUP(A264,'Prior Year data'!$A$1:$T$318,12,FALSE),0)</f>
        <v>249597.92951023101</v>
      </c>
      <c r="E264">
        <f>VLOOKUP(A264,'Basic HH'!$B$1:$Y$319,23,FALSE)</f>
        <v>123358.33460873211</v>
      </c>
      <c r="F264">
        <f>VLOOKUP(A264,'Conc. HH'!$B$1:$Y$319,23,FALSE)</f>
        <v>33190.836436923069</v>
      </c>
      <c r="G264">
        <f>VLOOKUP(A264,'Targeted HH'!$B$1:$Y$319,23,FALSE)</f>
        <v>59577.469275684598</v>
      </c>
      <c r="H264">
        <f>VLOOKUP(A264,'EFIG HH'!$B$1:$Y$319,23,FALSE)</f>
        <v>80780.133116019759</v>
      </c>
      <c r="I264">
        <f t="shared" si="92"/>
        <v>296906.77343735954</v>
      </c>
      <c r="J264">
        <f t="shared" si="93"/>
        <v>296906.77343735954</v>
      </c>
      <c r="K264" s="43">
        <f t="shared" si="94"/>
        <v>269944.34453435359</v>
      </c>
      <c r="L264">
        <f t="shared" si="95"/>
        <v>0</v>
      </c>
      <c r="M264">
        <f t="shared" si="96"/>
        <v>20346.415024122573</v>
      </c>
      <c r="N264" s="43">
        <f t="shared" si="97"/>
        <v>267036.29852320376</v>
      </c>
      <c r="O264">
        <f t="shared" si="98"/>
        <v>0</v>
      </c>
      <c r="P264">
        <f t="shared" si="99"/>
        <v>17438.369012972747</v>
      </c>
      <c r="Q264" s="43">
        <f t="shared" si="100"/>
        <v>267036.29852320376</v>
      </c>
      <c r="R264">
        <f t="shared" si="101"/>
        <v>0</v>
      </c>
      <c r="S264">
        <f t="shared" si="102"/>
        <v>17438.369012972747</v>
      </c>
      <c r="T264" s="43">
        <f t="shared" si="103"/>
        <v>267036.29852320376</v>
      </c>
      <c r="U264">
        <f t="shared" si="104"/>
        <v>0</v>
      </c>
      <c r="V264">
        <f t="shared" si="105"/>
        <v>17438.369012972747</v>
      </c>
      <c r="W264" s="43">
        <f t="shared" si="106"/>
        <v>267036.29852320376</v>
      </c>
      <c r="X264" s="43">
        <f t="shared" si="107"/>
        <v>29870.474914155784</v>
      </c>
      <c r="Y264" s="27">
        <f t="shared" si="108"/>
        <v>2045.29039446823</v>
      </c>
      <c r="Z264" s="27">
        <f t="shared" si="109"/>
        <v>264991.00812873553</v>
      </c>
      <c r="AA264">
        <f t="shared" si="110"/>
        <v>0</v>
      </c>
      <c r="AB264" s="27">
        <f t="shared" si="111"/>
        <v>264991.00812873553</v>
      </c>
      <c r="AD264" s="27">
        <f t="shared" si="112"/>
        <v>0</v>
      </c>
      <c r="AE264" s="27">
        <f t="shared" si="113"/>
        <v>264991.00812873553</v>
      </c>
      <c r="AF264" s="50"/>
      <c r="AG264" t="str">
        <f t="shared" si="114"/>
        <v>5308520</v>
      </c>
    </row>
    <row r="265" spans="1:33" x14ac:dyDescent="0.25">
      <c r="A265" s="7" t="s">
        <v>231</v>
      </c>
      <c r="B265" s="2" t="s">
        <v>1160</v>
      </c>
      <c r="C265" s="4" t="s">
        <v>1159</v>
      </c>
      <c r="D265">
        <f>_xlfn.IFNA(VLOOKUP(A265,'Prior Year data'!$A$1:$T$318,12,FALSE),0)</f>
        <v>386394.27315218165</v>
      </c>
      <c r="E265">
        <f>VLOOKUP(A265,'Basic HH'!$B$1:$Y$319,23,FALSE)</f>
        <v>187643.66391187409</v>
      </c>
      <c r="F265">
        <f>VLOOKUP(A265,'Conc. HH'!$B$1:$Y$319,23,FALSE)</f>
        <v>0</v>
      </c>
      <c r="G265">
        <f>VLOOKUP(A265,'Targeted HH'!$B$1:$Y$319,23,FALSE)</f>
        <v>90518.746424424011</v>
      </c>
      <c r="H265">
        <f>VLOOKUP(A265,'EFIG HH'!$B$1:$Y$319,23,FALSE)</f>
        <v>122732.91354194035</v>
      </c>
      <c r="I265">
        <f t="shared" si="92"/>
        <v>400895.32387823844</v>
      </c>
      <c r="J265">
        <f t="shared" si="93"/>
        <v>400895.32387823844</v>
      </c>
      <c r="K265" s="43">
        <f t="shared" si="94"/>
        <v>364489.58094932197</v>
      </c>
      <c r="L265">
        <f t="shared" si="95"/>
        <v>21904.692202859675</v>
      </c>
      <c r="M265">
        <f t="shared" si="96"/>
        <v>0</v>
      </c>
      <c r="N265" s="43">
        <f t="shared" si="97"/>
        <v>386394.27315218165</v>
      </c>
      <c r="O265">
        <f t="shared" si="98"/>
        <v>0</v>
      </c>
      <c r="P265">
        <f t="shared" si="99"/>
        <v>0</v>
      </c>
      <c r="Q265" s="43">
        <f t="shared" si="100"/>
        <v>386394.27315218165</v>
      </c>
      <c r="R265">
        <f t="shared" si="101"/>
        <v>0</v>
      </c>
      <c r="S265">
        <f t="shared" si="102"/>
        <v>0</v>
      </c>
      <c r="T265" s="43">
        <f t="shared" si="103"/>
        <v>386394.27315218165</v>
      </c>
      <c r="U265">
        <f t="shared" si="104"/>
        <v>0</v>
      </c>
      <c r="V265">
        <f t="shared" si="105"/>
        <v>0</v>
      </c>
      <c r="W265" s="43">
        <f t="shared" si="106"/>
        <v>386394.27315218165</v>
      </c>
      <c r="X265" s="43">
        <f t="shared" si="107"/>
        <v>14501.050726056797</v>
      </c>
      <c r="Y265" s="27">
        <f t="shared" si="108"/>
        <v>2959.4796652224404</v>
      </c>
      <c r="Z265" s="27">
        <f t="shared" si="109"/>
        <v>383434.79348695918</v>
      </c>
      <c r="AA265">
        <f t="shared" si="110"/>
        <v>0</v>
      </c>
      <c r="AB265" s="27">
        <f t="shared" si="111"/>
        <v>383434.79348695918</v>
      </c>
      <c r="AD265" s="27">
        <f t="shared" si="112"/>
        <v>0</v>
      </c>
      <c r="AE265" s="27">
        <f t="shared" si="113"/>
        <v>383434.79348695918</v>
      </c>
      <c r="AF265" s="50"/>
      <c r="AG265" t="str">
        <f t="shared" si="114"/>
        <v>5308550</v>
      </c>
    </row>
    <row r="266" spans="1:33" hidden="1" x14ac:dyDescent="0.25">
      <c r="A266" s="7" t="s">
        <v>72</v>
      </c>
      <c r="B266" s="2" t="s">
        <v>1161</v>
      </c>
      <c r="C266" s="4" t="s">
        <v>25</v>
      </c>
      <c r="D266">
        <f>_xlfn.IFNA(VLOOKUP(A266,'Prior Year data'!$A$1:$T$318,12,FALSE),0)</f>
        <v>257435.32594975817</v>
      </c>
      <c r="E266">
        <f>VLOOKUP(A266,'Basic HH'!$B$1:$Y$319,23,FALSE)</f>
        <v>87858.690263483775</v>
      </c>
      <c r="F266">
        <f>VLOOKUP(A266,'Conc. HH'!$B$1:$Y$319,23,FALSE)</f>
        <v>23639.289775975598</v>
      </c>
      <c r="G266">
        <f>VLOOKUP(A266,'Targeted HH'!$B$1:$Y$319,23,FALSE)</f>
        <v>75373.652897550419</v>
      </c>
      <c r="H266">
        <f>VLOOKUP(A266,'EFIG HH'!$B$1:$Y$319,23,FALSE)</f>
        <v>102197.92462701625</v>
      </c>
      <c r="I266">
        <f t="shared" si="92"/>
        <v>289069.55756402604</v>
      </c>
      <c r="J266">
        <f t="shared" si="93"/>
        <v>289069.55756402604</v>
      </c>
      <c r="K266" s="43">
        <f t="shared" si="94"/>
        <v>262818.83480815805</v>
      </c>
      <c r="L266">
        <f t="shared" si="95"/>
        <v>0</v>
      </c>
      <c r="M266">
        <f t="shared" si="96"/>
        <v>5383.5088583998731</v>
      </c>
      <c r="N266" s="43">
        <f t="shared" si="97"/>
        <v>262049.38763807435</v>
      </c>
      <c r="O266">
        <f t="shared" si="98"/>
        <v>0</v>
      </c>
      <c r="P266">
        <f t="shared" si="99"/>
        <v>4614.0616883161711</v>
      </c>
      <c r="Q266" s="43">
        <f t="shared" si="100"/>
        <v>262049.38763807435</v>
      </c>
      <c r="R266">
        <f t="shared" si="101"/>
        <v>0</v>
      </c>
      <c r="S266">
        <f t="shared" si="102"/>
        <v>4614.0616883161711</v>
      </c>
      <c r="T266" s="43">
        <f t="shared" si="103"/>
        <v>262049.38763807435</v>
      </c>
      <c r="U266">
        <f t="shared" si="104"/>
        <v>0</v>
      </c>
      <c r="V266">
        <f t="shared" si="105"/>
        <v>4614.0616883161711</v>
      </c>
      <c r="W266" s="43">
        <f t="shared" si="106"/>
        <v>262049.38763807435</v>
      </c>
      <c r="X266" s="43">
        <f t="shared" si="107"/>
        <v>27020.16992595169</v>
      </c>
      <c r="Y266" s="27">
        <f t="shared" si="108"/>
        <v>2007.094534999567</v>
      </c>
      <c r="Z266" s="27">
        <f t="shared" si="109"/>
        <v>260042.29310307477</v>
      </c>
      <c r="AA266">
        <f t="shared" si="110"/>
        <v>0</v>
      </c>
      <c r="AB266" s="27">
        <f t="shared" si="111"/>
        <v>260042.29310307477</v>
      </c>
      <c r="AD266" s="27">
        <f t="shared" si="112"/>
        <v>0</v>
      </c>
      <c r="AE266" s="27">
        <f t="shared" si="113"/>
        <v>260042.29310307477</v>
      </c>
      <c r="AF266" s="50"/>
      <c r="AG266" t="str">
        <f t="shared" si="114"/>
        <v>5308290</v>
      </c>
    </row>
    <row r="267" spans="1:33" x14ac:dyDescent="0.25">
      <c r="A267" s="7" t="s">
        <v>73</v>
      </c>
      <c r="B267" s="2" t="s">
        <v>1163</v>
      </c>
      <c r="C267" s="4" t="s">
        <v>27</v>
      </c>
      <c r="D267">
        <f>_xlfn.IFNA(VLOOKUP(A267,'Prior Year data'!$A$1:$T$318,12,FALSE),0)</f>
        <v>92384.336504161402</v>
      </c>
      <c r="E267">
        <f>VLOOKUP(A267,'Basic HH'!$B$1:$Y$319,23,FALSE)</f>
        <v>31495.345883755865</v>
      </c>
      <c r="F267">
        <f>VLOOKUP(A267,'Conc. HH'!$B$1:$Y$319,23,FALSE)</f>
        <v>0</v>
      </c>
      <c r="G267">
        <f>VLOOKUP(A267,'Targeted HH'!$B$1:$Y$319,23,FALSE)</f>
        <v>26584.068449343482</v>
      </c>
      <c r="H267">
        <f>VLOOKUP(A267,'EFIG HH'!$B$1:$Y$319,23,FALSE)</f>
        <v>36461.089314891666</v>
      </c>
      <c r="I267">
        <f t="shared" si="92"/>
        <v>94540.50364799102</v>
      </c>
      <c r="J267">
        <f t="shared" si="93"/>
        <v>94540.50364799102</v>
      </c>
      <c r="K267" s="43">
        <f t="shared" si="94"/>
        <v>85955.17708722422</v>
      </c>
      <c r="L267">
        <f t="shared" si="95"/>
        <v>6429.159416937182</v>
      </c>
      <c r="M267">
        <f t="shared" si="96"/>
        <v>0</v>
      </c>
      <c r="N267" s="43">
        <f t="shared" si="97"/>
        <v>92384.336504161402</v>
      </c>
      <c r="O267">
        <f t="shared" si="98"/>
        <v>0</v>
      </c>
      <c r="P267">
        <f t="shared" si="99"/>
        <v>0</v>
      </c>
      <c r="Q267" s="43">
        <f t="shared" si="100"/>
        <v>92384.336504161402</v>
      </c>
      <c r="R267">
        <f t="shared" si="101"/>
        <v>0</v>
      </c>
      <c r="S267">
        <f t="shared" si="102"/>
        <v>0</v>
      </c>
      <c r="T267" s="43">
        <f t="shared" si="103"/>
        <v>92384.336504161402</v>
      </c>
      <c r="U267">
        <f t="shared" si="104"/>
        <v>0</v>
      </c>
      <c r="V267">
        <f t="shared" si="105"/>
        <v>0</v>
      </c>
      <c r="W267" s="43">
        <f t="shared" si="106"/>
        <v>92384.336504161402</v>
      </c>
      <c r="X267" s="43">
        <f t="shared" si="107"/>
        <v>2156.167143829618</v>
      </c>
      <c r="Y267" s="27">
        <f t="shared" si="108"/>
        <v>707.59217790334674</v>
      </c>
      <c r="Z267" s="27">
        <f t="shared" si="109"/>
        <v>91676.744326258049</v>
      </c>
      <c r="AA267">
        <f t="shared" si="110"/>
        <v>0</v>
      </c>
      <c r="AB267" s="27">
        <f t="shared" si="111"/>
        <v>91676.744326258049</v>
      </c>
      <c r="AD267" s="27">
        <f t="shared" si="112"/>
        <v>0</v>
      </c>
      <c r="AE267" s="27">
        <f t="shared" si="113"/>
        <v>91676.744326258049</v>
      </c>
      <c r="AF267" s="50"/>
      <c r="AG267" t="str">
        <f t="shared" si="114"/>
        <v>5308240</v>
      </c>
    </row>
    <row r="268" spans="1:33" hidden="1" x14ac:dyDescent="0.25">
      <c r="A268" s="7" t="s">
        <v>598</v>
      </c>
      <c r="B268" s="2" t="s">
        <v>1165</v>
      </c>
      <c r="C268" s="4" t="s">
        <v>1164</v>
      </c>
      <c r="D268">
        <f>_xlfn.IFNA(VLOOKUP(A268,'Prior Year data'!$A$1:$T$318,12,FALSE),0)</f>
        <v>52784.022570365159</v>
      </c>
      <c r="E268">
        <f>VLOOKUP(A268,'Basic HH'!$B$1:$Y$319,23,FALSE)</f>
        <v>22586.737322725596</v>
      </c>
      <c r="F268">
        <f>VLOOKUP(A268,'Conc. HH'!$B$1:$Y$319,23,FALSE)</f>
        <v>6077.1954039436632</v>
      </c>
      <c r="G268">
        <f>VLOOKUP(A268,'Targeted HH'!$B$1:$Y$319,23,FALSE)</f>
        <v>13734.983518508408</v>
      </c>
      <c r="H268">
        <f>VLOOKUP(A268,'EFIG HH'!$B$1:$Y$319,23,FALSE)</f>
        <v>18623.043416586908</v>
      </c>
      <c r="I268">
        <f t="shared" si="92"/>
        <v>61021.959661764573</v>
      </c>
      <c r="J268">
        <f t="shared" si="93"/>
        <v>61021.959661764573</v>
      </c>
      <c r="K268" s="43">
        <f t="shared" si="94"/>
        <v>55480.488748674929</v>
      </c>
      <c r="L268">
        <f t="shared" si="95"/>
        <v>0</v>
      </c>
      <c r="M268">
        <f t="shared" si="96"/>
        <v>2696.466178309769</v>
      </c>
      <c r="N268" s="43">
        <f t="shared" si="97"/>
        <v>55095.091728868865</v>
      </c>
      <c r="O268">
        <f t="shared" si="98"/>
        <v>0</v>
      </c>
      <c r="P268">
        <f t="shared" si="99"/>
        <v>2311.0691585037057</v>
      </c>
      <c r="Q268" s="43">
        <f t="shared" si="100"/>
        <v>55095.091728868865</v>
      </c>
      <c r="R268">
        <f t="shared" si="101"/>
        <v>0</v>
      </c>
      <c r="S268">
        <f t="shared" si="102"/>
        <v>2311.0691585037057</v>
      </c>
      <c r="T268" s="43">
        <f t="shared" si="103"/>
        <v>55095.091728868865</v>
      </c>
      <c r="U268">
        <f t="shared" si="104"/>
        <v>0</v>
      </c>
      <c r="V268">
        <f t="shared" si="105"/>
        <v>2311.0691585037057</v>
      </c>
      <c r="W268" s="43">
        <f t="shared" si="106"/>
        <v>55095.091728868865</v>
      </c>
      <c r="X268" s="43">
        <f t="shared" si="107"/>
        <v>5926.8679328957078</v>
      </c>
      <c r="Y268" s="27">
        <f t="shared" si="108"/>
        <v>421.98555971075172</v>
      </c>
      <c r="Z268" s="27">
        <f t="shared" si="109"/>
        <v>54673.106169158113</v>
      </c>
      <c r="AA268">
        <f t="shared" si="110"/>
        <v>0</v>
      </c>
      <c r="AB268" s="27">
        <f t="shared" si="111"/>
        <v>54673.106169158113</v>
      </c>
      <c r="AD268" s="27">
        <f t="shared" si="112"/>
        <v>0</v>
      </c>
      <c r="AE268" s="27">
        <f t="shared" si="113"/>
        <v>54673.106169158113</v>
      </c>
      <c r="AF268" s="50"/>
      <c r="AG268" t="str">
        <f t="shared" si="114"/>
        <v>5308580</v>
      </c>
    </row>
    <row r="269" spans="1:33" x14ac:dyDescent="0.25">
      <c r="A269" s="7" t="s">
        <v>233</v>
      </c>
      <c r="B269" s="2" t="s">
        <v>1167</v>
      </c>
      <c r="C269" s="4" t="s">
        <v>1166</v>
      </c>
      <c r="D269">
        <f>_xlfn.IFNA(VLOOKUP(A269,'Prior Year data'!$A$1:$T$318,12,FALSE),0)</f>
        <v>993500.48827254912</v>
      </c>
      <c r="E269">
        <f>VLOOKUP(A269,'Basic HH'!$B$1:$Y$319,23,FALSE)</f>
        <v>486483.57310485881</v>
      </c>
      <c r="F269">
        <f>VLOOKUP(A269,'Conc. HH'!$B$1:$Y$319,23,FALSE)</f>
        <v>0</v>
      </c>
      <c r="G269">
        <f>VLOOKUP(A269,'Targeted HH'!$B$1:$Y$319,23,FALSE)</f>
        <v>234678.23147072885</v>
      </c>
      <c r="H269">
        <f>VLOOKUP(A269,'EFIG HH'!$B$1:$Y$319,23,FALSE)</f>
        <v>318196.44251614169</v>
      </c>
      <c r="I269">
        <f t="shared" si="92"/>
        <v>1039358.2470917293</v>
      </c>
      <c r="J269">
        <f t="shared" si="93"/>
        <v>1039358.2470917293</v>
      </c>
      <c r="K269" s="43">
        <f t="shared" si="94"/>
        <v>944972.98764639033</v>
      </c>
      <c r="L269">
        <f t="shared" si="95"/>
        <v>48527.500626158784</v>
      </c>
      <c r="M269">
        <f t="shared" si="96"/>
        <v>0</v>
      </c>
      <c r="N269" s="43">
        <f t="shared" si="97"/>
        <v>993500.48827254912</v>
      </c>
      <c r="O269">
        <f t="shared" si="98"/>
        <v>0</v>
      </c>
      <c r="P269">
        <f t="shared" si="99"/>
        <v>0</v>
      </c>
      <c r="Q269" s="43">
        <f t="shared" si="100"/>
        <v>993500.48827254912</v>
      </c>
      <c r="R269">
        <f t="shared" si="101"/>
        <v>0</v>
      </c>
      <c r="S269">
        <f t="shared" si="102"/>
        <v>0</v>
      </c>
      <c r="T269" s="43">
        <f t="shared" si="103"/>
        <v>993500.48827254912</v>
      </c>
      <c r="U269">
        <f t="shared" si="104"/>
        <v>0</v>
      </c>
      <c r="V269">
        <f t="shared" si="105"/>
        <v>0</v>
      </c>
      <c r="W269" s="43">
        <f t="shared" si="106"/>
        <v>993500.48827254912</v>
      </c>
      <c r="X269" s="43">
        <f t="shared" si="107"/>
        <v>45857.758819180191</v>
      </c>
      <c r="Y269" s="27">
        <f t="shared" si="108"/>
        <v>7609.4411763529351</v>
      </c>
      <c r="Z269" s="27">
        <f t="shared" si="109"/>
        <v>985891.04709619621</v>
      </c>
      <c r="AA269">
        <f t="shared" si="110"/>
        <v>0</v>
      </c>
      <c r="AB269" s="27">
        <f t="shared" si="111"/>
        <v>985891.04709619621</v>
      </c>
      <c r="AD269" s="27">
        <f t="shared" si="112"/>
        <v>0</v>
      </c>
      <c r="AE269" s="27">
        <f t="shared" si="113"/>
        <v>985891.04709619621</v>
      </c>
      <c r="AF269" s="50"/>
      <c r="AG269" t="str">
        <f t="shared" si="114"/>
        <v>5308610</v>
      </c>
    </row>
    <row r="270" spans="1:33" hidden="1" x14ac:dyDescent="0.25">
      <c r="A270" s="7" t="s">
        <v>600</v>
      </c>
      <c r="B270" s="2" t="s">
        <v>1169</v>
      </c>
      <c r="C270" s="4" t="s">
        <v>1168</v>
      </c>
      <c r="D270">
        <f>_xlfn.IFNA(VLOOKUP(A270,'Prior Year data'!$A$1:$T$318,12,FALSE),0)</f>
        <v>2475669.0857468923</v>
      </c>
      <c r="E270">
        <f>VLOOKUP(A270,'Basic HH'!$B$1:$Y$319,23,FALSE)</f>
        <v>1139761.5141313833</v>
      </c>
      <c r="F270">
        <f>VLOOKUP(A270,'Conc. HH'!$B$1:$Y$319,23,FALSE)</f>
        <v>306664.62961438805</v>
      </c>
      <c r="G270">
        <f>VLOOKUP(A270,'Targeted HH'!$B$1:$Y$319,23,FALSE)</f>
        <v>679938.26885938831</v>
      </c>
      <c r="H270">
        <f>VLOOKUP(A270,'EFIG HH'!$B$1:$Y$319,23,FALSE)</f>
        <v>921917.37139721448</v>
      </c>
      <c r="I270">
        <f t="shared" si="92"/>
        <v>3048281.7840023744</v>
      </c>
      <c r="J270">
        <f t="shared" si="93"/>
        <v>3048281.7840023744</v>
      </c>
      <c r="K270" s="43">
        <f t="shared" si="94"/>
        <v>2771463.9804677167</v>
      </c>
      <c r="L270">
        <f t="shared" si="95"/>
        <v>0</v>
      </c>
      <c r="M270">
        <f t="shared" si="96"/>
        <v>295794.89472082444</v>
      </c>
      <c r="N270" s="43">
        <f t="shared" si="97"/>
        <v>2729186.9914899757</v>
      </c>
      <c r="O270">
        <f t="shared" si="98"/>
        <v>0</v>
      </c>
      <c r="P270">
        <f t="shared" si="99"/>
        <v>253517.90574308345</v>
      </c>
      <c r="Q270" s="43">
        <f t="shared" si="100"/>
        <v>2729186.9914899757</v>
      </c>
      <c r="R270">
        <f t="shared" si="101"/>
        <v>0</v>
      </c>
      <c r="S270">
        <f t="shared" si="102"/>
        <v>253517.90574308345</v>
      </c>
      <c r="T270" s="43">
        <f t="shared" si="103"/>
        <v>2729186.9914899757</v>
      </c>
      <c r="U270">
        <f t="shared" si="104"/>
        <v>0</v>
      </c>
      <c r="V270">
        <f t="shared" si="105"/>
        <v>253517.90574308345</v>
      </c>
      <c r="W270" s="43">
        <f t="shared" si="106"/>
        <v>2729186.9914899757</v>
      </c>
      <c r="X270" s="43">
        <f t="shared" si="107"/>
        <v>319094.79251239868</v>
      </c>
      <c r="Y270" s="27">
        <f t="shared" si="108"/>
        <v>20903.450090014845</v>
      </c>
      <c r="Z270" s="27">
        <f t="shared" si="109"/>
        <v>2708283.5413999609</v>
      </c>
      <c r="AA270">
        <f t="shared" si="110"/>
        <v>0</v>
      </c>
      <c r="AB270" s="27">
        <f t="shared" si="111"/>
        <v>2708283.5413999609</v>
      </c>
      <c r="AD270" s="27">
        <f t="shared" si="112"/>
        <v>0</v>
      </c>
      <c r="AE270" s="27">
        <f t="shared" si="113"/>
        <v>2708283.5413999609</v>
      </c>
      <c r="AF270" s="50"/>
      <c r="AG270" t="str">
        <f t="shared" si="114"/>
        <v>5308670</v>
      </c>
    </row>
    <row r="271" spans="1:33" x14ac:dyDescent="0.25">
      <c r="A271" s="7" t="s">
        <v>67</v>
      </c>
      <c r="B271" s="2" t="s">
        <v>1170</v>
      </c>
      <c r="C271" s="4" t="s">
        <v>11</v>
      </c>
      <c r="D271">
        <f>_xlfn.IFNA(VLOOKUP(A271,'Prior Year data'!$A$1:$T$318,12,FALSE),0)</f>
        <v>35253.301071581576</v>
      </c>
      <c r="E271">
        <f>VLOOKUP(A271,'Basic HH'!$B$1:$Y$319,23,FALSE)</f>
        <v>14813.680547419497</v>
      </c>
      <c r="F271">
        <f>VLOOKUP(A271,'Conc. HH'!$B$1:$Y$319,23,FALSE)</f>
        <v>3900.3354461838944</v>
      </c>
      <c r="G271">
        <f>VLOOKUP(A271,'Targeted HH'!$B$1:$Y$319,23,FALSE)</f>
        <v>8283.1491283636369</v>
      </c>
      <c r="H271">
        <f>VLOOKUP(A271,'EFIG HH'!$B$1:$Y$319,23,FALSE)</f>
        <v>11385.087057070345</v>
      </c>
      <c r="I271">
        <f t="shared" si="92"/>
        <v>38382.252179037372</v>
      </c>
      <c r="J271">
        <f t="shared" si="93"/>
        <v>38382.252179037372</v>
      </c>
      <c r="K271" s="43">
        <f t="shared" si="94"/>
        <v>34896.717869619279</v>
      </c>
      <c r="L271">
        <f t="shared" si="95"/>
        <v>356.58320196229761</v>
      </c>
      <c r="M271">
        <f t="shared" si="96"/>
        <v>0</v>
      </c>
      <c r="N271" s="43">
        <f t="shared" si="97"/>
        <v>35253.301071581576</v>
      </c>
      <c r="O271">
        <f t="shared" si="98"/>
        <v>0</v>
      </c>
      <c r="P271">
        <f t="shared" si="99"/>
        <v>0</v>
      </c>
      <c r="Q271" s="43">
        <f t="shared" si="100"/>
        <v>35253.301071581576</v>
      </c>
      <c r="R271">
        <f t="shared" si="101"/>
        <v>0</v>
      </c>
      <c r="S271">
        <f t="shared" si="102"/>
        <v>0</v>
      </c>
      <c r="T271" s="43">
        <f t="shared" si="103"/>
        <v>35253.301071581576</v>
      </c>
      <c r="U271">
        <f t="shared" si="104"/>
        <v>0</v>
      </c>
      <c r="V271">
        <f t="shared" si="105"/>
        <v>0</v>
      </c>
      <c r="W271" s="43">
        <f t="shared" si="106"/>
        <v>35253.301071581576</v>
      </c>
      <c r="X271" s="43">
        <f t="shared" si="107"/>
        <v>3128.9511074557959</v>
      </c>
      <c r="Y271" s="27">
        <f t="shared" si="108"/>
        <v>270.01287260854184</v>
      </c>
      <c r="Z271" s="27">
        <f t="shared" si="109"/>
        <v>34983.288198973038</v>
      </c>
      <c r="AA271">
        <f t="shared" si="110"/>
        <v>0</v>
      </c>
      <c r="AB271" s="27">
        <f t="shared" si="111"/>
        <v>34983.288198973038</v>
      </c>
      <c r="AD271" s="27">
        <f t="shared" si="112"/>
        <v>0</v>
      </c>
      <c r="AE271" s="27">
        <f t="shared" si="113"/>
        <v>34983.288198973038</v>
      </c>
      <c r="AF271" s="50"/>
      <c r="AG271" t="str">
        <f t="shared" si="114"/>
        <v>5308690</v>
      </c>
    </row>
    <row r="272" spans="1:33" x14ac:dyDescent="0.25">
      <c r="A272" s="7" t="s">
        <v>62</v>
      </c>
      <c r="B272" s="2" t="s">
        <v>1171</v>
      </c>
      <c r="C272" s="4" t="s">
        <v>39</v>
      </c>
      <c r="D272">
        <f>_xlfn.IFNA(VLOOKUP(A272,'Prior Year data'!$A$1:$T$318,12,FALSE),0)</f>
        <v>10236814.259084687</v>
      </c>
      <c r="E272">
        <f>VLOOKUP(A272,'Basic HH'!$B$1:$Y$319,23,FALSE)</f>
        <v>3827706.401617662</v>
      </c>
      <c r="F272">
        <f>VLOOKUP(A272,'Conc. HH'!$B$1:$Y$319,23,FALSE)</f>
        <v>0</v>
      </c>
      <c r="G272">
        <f>VLOOKUP(A272,'Targeted HH'!$B$1:$Y$319,23,FALSE)</f>
        <v>3080430.062824415</v>
      </c>
      <c r="H272">
        <f>VLOOKUP(A272,'EFIG HH'!$B$1:$Y$319,23,FALSE)</f>
        <v>4176705.6163143143</v>
      </c>
      <c r="I272">
        <f t="shared" si="92"/>
        <v>11084842.080756392</v>
      </c>
      <c r="J272">
        <f t="shared" si="93"/>
        <v>11084842.080756392</v>
      </c>
      <c r="K272" s="43">
        <f t="shared" si="94"/>
        <v>10078215.444916107</v>
      </c>
      <c r="L272">
        <f t="shared" si="95"/>
        <v>158598.81416857988</v>
      </c>
      <c r="M272">
        <f t="shared" si="96"/>
        <v>0</v>
      </c>
      <c r="N272" s="43">
        <f t="shared" si="97"/>
        <v>10236814.259084687</v>
      </c>
      <c r="O272">
        <f t="shared" si="98"/>
        <v>0</v>
      </c>
      <c r="P272">
        <f t="shared" si="99"/>
        <v>0</v>
      </c>
      <c r="Q272" s="43">
        <f t="shared" si="100"/>
        <v>10236814.259084687</v>
      </c>
      <c r="R272">
        <f t="shared" si="101"/>
        <v>0</v>
      </c>
      <c r="S272">
        <f t="shared" si="102"/>
        <v>0</v>
      </c>
      <c r="T272" s="43">
        <f t="shared" si="103"/>
        <v>10236814.259084687</v>
      </c>
      <c r="U272">
        <f t="shared" si="104"/>
        <v>0</v>
      </c>
      <c r="V272">
        <f t="shared" si="105"/>
        <v>0</v>
      </c>
      <c r="W272" s="43">
        <f t="shared" si="106"/>
        <v>10236814.259084687</v>
      </c>
      <c r="X272" s="43">
        <f t="shared" si="107"/>
        <v>848027.82167170569</v>
      </c>
      <c r="Y272" s="27">
        <f t="shared" si="108"/>
        <v>78406.036894051707</v>
      </c>
      <c r="Z272" s="27">
        <f t="shared" si="109"/>
        <v>10158408.222190635</v>
      </c>
      <c r="AA272">
        <f t="shared" si="110"/>
        <v>0</v>
      </c>
      <c r="AB272" s="27">
        <f t="shared" si="111"/>
        <v>10158408.222190635</v>
      </c>
      <c r="AD272" s="27">
        <f t="shared" si="112"/>
        <v>0</v>
      </c>
      <c r="AE272" s="27">
        <f t="shared" si="113"/>
        <v>10158408.222190635</v>
      </c>
      <c r="AF272" s="50"/>
      <c r="AG272" t="str">
        <f t="shared" si="114"/>
        <v>5308700</v>
      </c>
    </row>
    <row r="273" spans="1:33" x14ac:dyDescent="0.25">
      <c r="A273" s="7" t="s">
        <v>602</v>
      </c>
      <c r="B273" s="2" t="s">
        <v>1173</v>
      </c>
      <c r="C273" s="4" t="s">
        <v>1172</v>
      </c>
      <c r="D273">
        <f>_xlfn.IFNA(VLOOKUP(A273,'Prior Year data'!$A$1:$T$318,12,FALSE),0)</f>
        <v>175791.9873349345</v>
      </c>
      <c r="E273">
        <f>VLOOKUP(A273,'Basic HH'!$B$1:$Y$319,23,FALSE)</f>
        <v>67365.446776716301</v>
      </c>
      <c r="F273">
        <f>VLOOKUP(A273,'Conc. HH'!$B$1:$Y$319,23,FALSE)</f>
        <v>17749.684986393455</v>
      </c>
      <c r="G273">
        <f>VLOOKUP(A273,'Targeted HH'!$B$1:$Y$319,23,FALSE)</f>
        <v>44335.308021352357</v>
      </c>
      <c r="H273">
        <f>VLOOKUP(A273,'EFIG HH'!$B$1:$Y$319,23,FALSE)</f>
        <v>60939.680982094593</v>
      </c>
      <c r="I273">
        <f t="shared" si="92"/>
        <v>190390.12076655671</v>
      </c>
      <c r="J273">
        <f t="shared" si="93"/>
        <v>190390.12076655671</v>
      </c>
      <c r="K273" s="43">
        <f t="shared" si="94"/>
        <v>173100.58561862912</v>
      </c>
      <c r="L273">
        <f t="shared" si="95"/>
        <v>2691.4017163053795</v>
      </c>
      <c r="M273">
        <f t="shared" si="96"/>
        <v>0</v>
      </c>
      <c r="N273" s="43">
        <f t="shared" si="97"/>
        <v>175791.9873349345</v>
      </c>
      <c r="O273">
        <f t="shared" si="98"/>
        <v>0</v>
      </c>
      <c r="P273">
        <f t="shared" si="99"/>
        <v>0</v>
      </c>
      <c r="Q273" s="43">
        <f t="shared" si="100"/>
        <v>175791.9873349345</v>
      </c>
      <c r="R273">
        <f t="shared" si="101"/>
        <v>0</v>
      </c>
      <c r="S273">
        <f t="shared" si="102"/>
        <v>0</v>
      </c>
      <c r="T273" s="43">
        <f t="shared" si="103"/>
        <v>175791.9873349345</v>
      </c>
      <c r="U273">
        <f t="shared" si="104"/>
        <v>0</v>
      </c>
      <c r="V273">
        <f t="shared" si="105"/>
        <v>0</v>
      </c>
      <c r="W273" s="43">
        <f t="shared" si="106"/>
        <v>175791.9873349345</v>
      </c>
      <c r="X273" s="43">
        <f t="shared" si="107"/>
        <v>14598.133431622206</v>
      </c>
      <c r="Y273" s="27">
        <f t="shared" si="108"/>
        <v>1346.4299239804661</v>
      </c>
      <c r="Z273" s="27">
        <f t="shared" si="109"/>
        <v>174445.55741095403</v>
      </c>
      <c r="AA273">
        <f t="shared" si="110"/>
        <v>0</v>
      </c>
      <c r="AB273" s="27">
        <f t="shared" si="111"/>
        <v>174445.55741095403</v>
      </c>
      <c r="AD273" s="27">
        <f t="shared" si="112"/>
        <v>0</v>
      </c>
      <c r="AE273" s="27">
        <f t="shared" si="113"/>
        <v>174445.55741095403</v>
      </c>
      <c r="AF273" s="50"/>
      <c r="AG273" t="str">
        <f t="shared" si="114"/>
        <v>5308730</v>
      </c>
    </row>
    <row r="274" spans="1:33" hidden="1" x14ac:dyDescent="0.25">
      <c r="A274" s="7" t="s">
        <v>235</v>
      </c>
      <c r="B274" s="2" t="s">
        <v>1175</v>
      </c>
      <c r="C274" s="4" t="s">
        <v>1174</v>
      </c>
      <c r="D274">
        <f>_xlfn.IFNA(VLOOKUP(A274,'Prior Year data'!$A$1:$T$318,12,FALSE),0)</f>
        <v>318693.68618135189</v>
      </c>
      <c r="E274">
        <f>VLOOKUP(A274,'Basic HH'!$B$1:$Y$319,23,FALSE)</f>
        <v>361387.79716360953</v>
      </c>
      <c r="F274">
        <f>VLOOKUP(A274,'Conc. HH'!$B$1:$Y$319,23,FALSE)</f>
        <v>0</v>
      </c>
      <c r="G274">
        <f>VLOOKUP(A274,'Targeted HH'!$B$1:$Y$319,23,FALSE)</f>
        <v>0</v>
      </c>
      <c r="H274">
        <f>VLOOKUP(A274,'EFIG HH'!$B$1:$Y$319,23,FALSE)</f>
        <v>0</v>
      </c>
      <c r="I274">
        <f t="shared" si="92"/>
        <v>361387.79716360953</v>
      </c>
      <c r="J274">
        <f t="shared" si="93"/>
        <v>361387.79716360953</v>
      </c>
      <c r="K274" s="43">
        <f t="shared" si="94"/>
        <v>328569.77595570503</v>
      </c>
      <c r="L274">
        <f t="shared" si="95"/>
        <v>0</v>
      </c>
      <c r="M274">
        <f t="shared" si="96"/>
        <v>9876.0897743531386</v>
      </c>
      <c r="N274" s="43">
        <f t="shared" si="97"/>
        <v>327158.21900869423</v>
      </c>
      <c r="O274">
        <f t="shared" si="98"/>
        <v>0</v>
      </c>
      <c r="P274">
        <f t="shared" si="99"/>
        <v>8464.5328273423365</v>
      </c>
      <c r="Q274" s="43">
        <f t="shared" si="100"/>
        <v>327158.21900869423</v>
      </c>
      <c r="R274">
        <f t="shared" si="101"/>
        <v>0</v>
      </c>
      <c r="S274">
        <f t="shared" si="102"/>
        <v>8464.5328273423365</v>
      </c>
      <c r="T274" s="43">
        <f t="shared" si="103"/>
        <v>327158.21900869423</v>
      </c>
      <c r="U274">
        <f t="shared" si="104"/>
        <v>0</v>
      </c>
      <c r="V274">
        <f t="shared" si="105"/>
        <v>8464.5328273423365</v>
      </c>
      <c r="W274" s="43">
        <f t="shared" si="106"/>
        <v>327158.21900869423</v>
      </c>
      <c r="X274" s="43">
        <f t="shared" si="107"/>
        <v>34229.578154915303</v>
      </c>
      <c r="Y274" s="27">
        <f t="shared" si="108"/>
        <v>2505.7775535024216</v>
      </c>
      <c r="Z274" s="27">
        <f t="shared" si="109"/>
        <v>324652.44145519182</v>
      </c>
      <c r="AA274">
        <f t="shared" si="110"/>
        <v>0</v>
      </c>
      <c r="AB274" s="27">
        <f t="shared" si="111"/>
        <v>324652.44145519182</v>
      </c>
      <c r="AD274" s="27">
        <f t="shared" si="112"/>
        <v>0</v>
      </c>
      <c r="AE274" s="27">
        <f t="shared" si="113"/>
        <v>324652.44145519182</v>
      </c>
      <c r="AF274" s="50"/>
      <c r="AG274" t="str">
        <f t="shared" si="114"/>
        <v>5308760</v>
      </c>
    </row>
    <row r="275" spans="1:33" hidden="1" x14ac:dyDescent="0.25">
      <c r="A275" s="7" t="s">
        <v>237</v>
      </c>
      <c r="B275" s="2" t="s">
        <v>1177</v>
      </c>
      <c r="C275" s="4" t="s">
        <v>1176</v>
      </c>
      <c r="D275">
        <f>_xlfn.IFNA(VLOOKUP(A275,'Prior Year data'!$A$1:$T$318,12,FALSE),0)</f>
        <v>51893.907624737665</v>
      </c>
      <c r="E275">
        <f>VLOOKUP(A275,'Basic HH'!$B$1:$Y$319,23,FALSE)</f>
        <v>20476.342698414395</v>
      </c>
      <c r="F275">
        <f>VLOOKUP(A275,'Conc. HH'!$B$1:$Y$319,23,FALSE)</f>
        <v>5395.1788336674917</v>
      </c>
      <c r="G275">
        <f>VLOOKUP(A275,'Targeted HH'!$B$1:$Y$319,23,FALSE)</f>
        <v>10478.496772818438</v>
      </c>
      <c r="H275">
        <f>VLOOKUP(A275,'EFIG HH'!$B$1:$Y$319,23,FALSE)</f>
        <v>14402.882916702147</v>
      </c>
      <c r="I275">
        <f t="shared" si="92"/>
        <v>50752.901221602471</v>
      </c>
      <c r="J275">
        <f t="shared" si="93"/>
        <v>0</v>
      </c>
      <c r="K275" s="43">
        <f t="shared" si="94"/>
        <v>50752.901221602471</v>
      </c>
      <c r="L275">
        <f t="shared" si="95"/>
        <v>0</v>
      </c>
      <c r="M275">
        <f t="shared" si="96"/>
        <v>0</v>
      </c>
      <c r="N275" s="43">
        <f t="shared" si="97"/>
        <v>50752.901221602471</v>
      </c>
      <c r="O275">
        <f t="shared" si="98"/>
        <v>0</v>
      </c>
      <c r="P275">
        <f t="shared" si="99"/>
        <v>0</v>
      </c>
      <c r="Q275" s="43">
        <f t="shared" si="100"/>
        <v>50752.901221602471</v>
      </c>
      <c r="R275">
        <f t="shared" si="101"/>
        <v>0</v>
      </c>
      <c r="S275">
        <f t="shared" si="102"/>
        <v>0</v>
      </c>
      <c r="T275" s="43">
        <f t="shared" si="103"/>
        <v>50752.901221602471</v>
      </c>
      <c r="U275">
        <f t="shared" si="104"/>
        <v>0</v>
      </c>
      <c r="V275">
        <f t="shared" si="105"/>
        <v>0</v>
      </c>
      <c r="W275" s="43">
        <f t="shared" si="106"/>
        <v>50752.901221602471</v>
      </c>
      <c r="X275" s="43">
        <f t="shared" si="107"/>
        <v>0</v>
      </c>
      <c r="Y275" s="27">
        <f t="shared" si="108"/>
        <v>388.7277569903797</v>
      </c>
      <c r="Z275" s="27">
        <f t="shared" si="109"/>
        <v>50364.173464612089</v>
      </c>
      <c r="AA275">
        <f t="shared" si="110"/>
        <v>0</v>
      </c>
      <c r="AB275" s="27">
        <f t="shared" si="111"/>
        <v>50364.173464612089</v>
      </c>
      <c r="AD275" s="27">
        <f t="shared" si="112"/>
        <v>0</v>
      </c>
      <c r="AE275" s="27">
        <f t="shared" si="113"/>
        <v>50364.173464612089</v>
      </c>
      <c r="AF275" s="50"/>
      <c r="AG275" t="str">
        <f t="shared" si="114"/>
        <v>5308790</v>
      </c>
    </row>
    <row r="276" spans="1:33" hidden="1" x14ac:dyDescent="0.25">
      <c r="A276" s="7" t="s">
        <v>304</v>
      </c>
      <c r="B276" s="2" t="s">
        <v>1179</v>
      </c>
      <c r="C276" s="4" t="s">
        <v>1178</v>
      </c>
      <c r="D276">
        <f>_xlfn.IFNA(VLOOKUP(A276,'Prior Year data'!$A$1:$T$318,12,FALSE),0)</f>
        <v>328358.76967477892</v>
      </c>
      <c r="E276">
        <f>VLOOKUP(A276,'Basic HH'!$B$1:$Y$319,23,FALSE)</f>
        <v>142603.10093538597</v>
      </c>
      <c r="F276">
        <f>VLOOKUP(A276,'Conc. HH'!$B$1:$Y$319,23,FALSE)</f>
        <v>0</v>
      </c>
      <c r="G276">
        <f>VLOOKUP(A276,'Targeted HH'!$B$1:$Y$319,23,FALSE)</f>
        <v>68216.077637120121</v>
      </c>
      <c r="H276">
        <f>VLOOKUP(A276,'EFIG HH'!$B$1:$Y$319,23,FALSE)</f>
        <v>93764.229788452358</v>
      </c>
      <c r="I276">
        <f t="shared" si="92"/>
        <v>304583.40836095845</v>
      </c>
      <c r="J276">
        <f t="shared" si="93"/>
        <v>0</v>
      </c>
      <c r="K276" s="43">
        <f t="shared" si="94"/>
        <v>304583.40836095845</v>
      </c>
      <c r="L276">
        <f t="shared" si="95"/>
        <v>0</v>
      </c>
      <c r="M276">
        <f t="shared" si="96"/>
        <v>0</v>
      </c>
      <c r="N276" s="43">
        <f t="shared" si="97"/>
        <v>304583.40836095845</v>
      </c>
      <c r="O276">
        <f t="shared" si="98"/>
        <v>0</v>
      </c>
      <c r="P276">
        <f t="shared" si="99"/>
        <v>0</v>
      </c>
      <c r="Q276" s="43">
        <f t="shared" si="100"/>
        <v>304583.40836095845</v>
      </c>
      <c r="R276">
        <f t="shared" si="101"/>
        <v>0</v>
      </c>
      <c r="S276">
        <f t="shared" si="102"/>
        <v>0</v>
      </c>
      <c r="T276" s="43">
        <f t="shared" si="103"/>
        <v>304583.40836095845</v>
      </c>
      <c r="U276">
        <f t="shared" si="104"/>
        <v>0</v>
      </c>
      <c r="V276">
        <f t="shared" si="105"/>
        <v>0</v>
      </c>
      <c r="W276" s="43">
        <f t="shared" si="106"/>
        <v>304583.40836095845</v>
      </c>
      <c r="X276" s="43">
        <f t="shared" si="107"/>
        <v>0</v>
      </c>
      <c r="Y276" s="27">
        <f t="shared" si="108"/>
        <v>2332.8720585187834</v>
      </c>
      <c r="Z276" s="27">
        <f t="shared" si="109"/>
        <v>302250.53630243969</v>
      </c>
      <c r="AA276">
        <f t="shared" si="110"/>
        <v>0</v>
      </c>
      <c r="AB276" s="27">
        <f t="shared" si="111"/>
        <v>302250.53630243969</v>
      </c>
      <c r="AD276" s="27">
        <f t="shared" si="112"/>
        <v>0</v>
      </c>
      <c r="AE276" s="27">
        <f t="shared" si="113"/>
        <v>302250.53630243969</v>
      </c>
      <c r="AF276" s="50"/>
      <c r="AG276" t="str">
        <f t="shared" si="114"/>
        <v>5308820</v>
      </c>
    </row>
    <row r="277" spans="1:33" hidden="1" x14ac:dyDescent="0.25">
      <c r="A277" s="7" t="s">
        <v>239</v>
      </c>
      <c r="B277" s="2" t="s">
        <v>1181</v>
      </c>
      <c r="C277" s="4" t="s">
        <v>1180</v>
      </c>
      <c r="D277">
        <f>_xlfn.IFNA(VLOOKUP(A277,'Prior Year data'!$A$1:$T$318,12,FALSE),0)</f>
        <v>51298.608255417392</v>
      </c>
      <c r="E277">
        <f>VLOOKUP(A277,'Basic HH'!$B$1:$Y$319,23,FALSE)</f>
        <v>26930.340654018979</v>
      </c>
      <c r="F277">
        <f>VLOOKUP(A277,'Conc. HH'!$B$1:$Y$319,23,FALSE)</f>
        <v>4739.2710062714723</v>
      </c>
      <c r="G277">
        <f>VLOOKUP(A277,'Targeted HH'!$B$1:$Y$319,23,FALSE)</f>
        <v>12991.116384986773</v>
      </c>
      <c r="H277">
        <f>VLOOKUP(A277,'EFIG HH'!$B$1:$Y$319,23,FALSE)</f>
        <v>17614.445925000698</v>
      </c>
      <c r="I277">
        <f t="shared" si="92"/>
        <v>62275.173970277923</v>
      </c>
      <c r="J277">
        <f t="shared" si="93"/>
        <v>62275.173970277923</v>
      </c>
      <c r="K277" s="43">
        <f t="shared" si="94"/>
        <v>56619.897294853086</v>
      </c>
      <c r="L277">
        <f t="shared" si="95"/>
        <v>0</v>
      </c>
      <c r="M277">
        <f t="shared" si="96"/>
        <v>5321.2890394356946</v>
      </c>
      <c r="N277" s="43">
        <f t="shared" si="97"/>
        <v>55859.342998336491</v>
      </c>
      <c r="O277">
        <f t="shared" si="98"/>
        <v>0</v>
      </c>
      <c r="P277">
        <f t="shared" si="99"/>
        <v>4560.7347429190995</v>
      </c>
      <c r="Q277" s="43">
        <f t="shared" si="100"/>
        <v>55859.342998336491</v>
      </c>
      <c r="R277">
        <f t="shared" si="101"/>
        <v>0</v>
      </c>
      <c r="S277">
        <f t="shared" si="102"/>
        <v>4560.7347429190995</v>
      </c>
      <c r="T277" s="43">
        <f t="shared" si="103"/>
        <v>55859.342998336491</v>
      </c>
      <c r="U277">
        <f t="shared" si="104"/>
        <v>0</v>
      </c>
      <c r="V277">
        <f t="shared" si="105"/>
        <v>4560.7347429190995</v>
      </c>
      <c r="W277" s="43">
        <f t="shared" si="106"/>
        <v>55859.342998336491</v>
      </c>
      <c r="X277" s="43">
        <f t="shared" si="107"/>
        <v>6415.8309719414319</v>
      </c>
      <c r="Y277" s="27">
        <f t="shared" si="108"/>
        <v>427.83913013936694</v>
      </c>
      <c r="Z277" s="27">
        <f t="shared" si="109"/>
        <v>55431.503868197127</v>
      </c>
      <c r="AA277">
        <f t="shared" si="110"/>
        <v>0</v>
      </c>
      <c r="AB277" s="27">
        <f t="shared" si="111"/>
        <v>55431.503868197127</v>
      </c>
      <c r="AD277" s="27">
        <f t="shared" si="112"/>
        <v>0</v>
      </c>
      <c r="AE277" s="27">
        <f t="shared" si="113"/>
        <v>55431.503868197127</v>
      </c>
      <c r="AF277" s="50"/>
      <c r="AG277" t="str">
        <f t="shared" si="114"/>
        <v>5308850</v>
      </c>
    </row>
    <row r="278" spans="1:33" hidden="1" x14ac:dyDescent="0.25">
      <c r="A278" s="7" t="s">
        <v>241</v>
      </c>
      <c r="B278" s="2" t="s">
        <v>1183</v>
      </c>
      <c r="C278" s="4" t="s">
        <v>1182</v>
      </c>
      <c r="D278">
        <f>_xlfn.IFNA(VLOOKUP(A278,'Prior Year data'!$A$1:$T$318,12,FALSE),0)</f>
        <v>160418.42746419142</v>
      </c>
      <c r="E278">
        <f>VLOOKUP(A278,'Basic HH'!$B$1:$Y$319,23,FALSE)</f>
        <v>66022.770635659399</v>
      </c>
      <c r="F278">
        <f>VLOOKUP(A278,'Conc. HH'!$B$1:$Y$319,23,FALSE)</f>
        <v>0</v>
      </c>
      <c r="G278">
        <f>VLOOKUP(A278,'Targeted HH'!$B$1:$Y$319,23,FALSE)</f>
        <v>31849.18855674177</v>
      </c>
      <c r="H278">
        <f>VLOOKUP(A278,'EFIG HH'!$B$1:$Y$319,23,FALSE)</f>
        <v>43183.802912904939</v>
      </c>
      <c r="I278">
        <f t="shared" si="92"/>
        <v>141055.76210530612</v>
      </c>
      <c r="J278">
        <f t="shared" si="93"/>
        <v>0</v>
      </c>
      <c r="K278" s="43">
        <f t="shared" si="94"/>
        <v>141055.76210530612</v>
      </c>
      <c r="L278">
        <f t="shared" si="95"/>
        <v>0</v>
      </c>
      <c r="M278">
        <f t="shared" si="96"/>
        <v>0</v>
      </c>
      <c r="N278" s="43">
        <f t="shared" si="97"/>
        <v>141055.76210530612</v>
      </c>
      <c r="O278">
        <f t="shared" si="98"/>
        <v>0</v>
      </c>
      <c r="P278">
        <f t="shared" si="99"/>
        <v>0</v>
      </c>
      <c r="Q278" s="43">
        <f t="shared" si="100"/>
        <v>141055.76210530612</v>
      </c>
      <c r="R278">
        <f t="shared" si="101"/>
        <v>0</v>
      </c>
      <c r="S278">
        <f t="shared" si="102"/>
        <v>0</v>
      </c>
      <c r="T278" s="43">
        <f t="shared" si="103"/>
        <v>141055.76210530612</v>
      </c>
      <c r="U278">
        <f t="shared" si="104"/>
        <v>0</v>
      </c>
      <c r="V278">
        <f t="shared" si="105"/>
        <v>0</v>
      </c>
      <c r="W278" s="43">
        <f t="shared" si="106"/>
        <v>141055.76210530612</v>
      </c>
      <c r="X278" s="43">
        <f t="shared" si="107"/>
        <v>0</v>
      </c>
      <c r="Y278" s="27">
        <f t="shared" si="108"/>
        <v>1080.3774502338285</v>
      </c>
      <c r="Z278" s="27">
        <f t="shared" si="109"/>
        <v>139975.3846550723</v>
      </c>
      <c r="AA278">
        <f t="shared" si="110"/>
        <v>0</v>
      </c>
      <c r="AB278" s="27">
        <f t="shared" si="111"/>
        <v>139975.3846550723</v>
      </c>
      <c r="AD278" s="27">
        <f t="shared" si="112"/>
        <v>0</v>
      </c>
      <c r="AE278" s="27">
        <f t="shared" si="113"/>
        <v>139975.3846550723</v>
      </c>
      <c r="AF278" s="50"/>
      <c r="AG278" t="str">
        <f t="shared" si="114"/>
        <v>5308910</v>
      </c>
    </row>
    <row r="279" spans="1:33" hidden="1" x14ac:dyDescent="0.25">
      <c r="A279" s="7" t="s">
        <v>604</v>
      </c>
      <c r="B279" s="2" t="s">
        <v>1185</v>
      </c>
      <c r="C279" s="8" t="s">
        <v>1184</v>
      </c>
      <c r="D279">
        <f>_xlfn.IFNA(VLOOKUP(A279,'Prior Year data'!$A$1:$T$318,12,FALSE),0)</f>
        <v>761076.88853491261</v>
      </c>
      <c r="E279">
        <f>VLOOKUP(A279,'Basic HH'!$B$1:$Y$319,23,FALSE)</f>
        <v>233685.85922358403</v>
      </c>
      <c r="F279">
        <f>VLOOKUP(A279,'Conc. HH'!$B$1:$Y$319,23,FALSE)</f>
        <v>62875.598602340193</v>
      </c>
      <c r="G279">
        <f>VLOOKUP(A279,'Targeted HH'!$B$1:$Y$319,23,FALSE)</f>
        <v>171591.55535728298</v>
      </c>
      <c r="H279">
        <f>VLOOKUP(A279,'EFIG HH'!$B$1:$Y$319,23,FALSE)</f>
        <v>232394.48307314407</v>
      </c>
      <c r="I279">
        <f t="shared" si="92"/>
        <v>700547.49625635124</v>
      </c>
      <c r="J279">
        <f t="shared" si="93"/>
        <v>0</v>
      </c>
      <c r="K279" s="43">
        <f t="shared" si="94"/>
        <v>700547.49625635124</v>
      </c>
      <c r="L279">
        <f t="shared" si="95"/>
        <v>0</v>
      </c>
      <c r="M279">
        <f t="shared" si="96"/>
        <v>0</v>
      </c>
      <c r="N279" s="43">
        <f t="shared" si="97"/>
        <v>700547.49625635124</v>
      </c>
      <c r="O279">
        <f t="shared" si="98"/>
        <v>0</v>
      </c>
      <c r="P279">
        <f t="shared" si="99"/>
        <v>0</v>
      </c>
      <c r="Q279" s="43">
        <f t="shared" si="100"/>
        <v>700547.49625635124</v>
      </c>
      <c r="R279">
        <f t="shared" si="101"/>
        <v>0</v>
      </c>
      <c r="S279">
        <f t="shared" si="102"/>
        <v>0</v>
      </c>
      <c r="T279" s="43">
        <f t="shared" si="103"/>
        <v>700547.49625635124</v>
      </c>
      <c r="U279">
        <f t="shared" si="104"/>
        <v>0</v>
      </c>
      <c r="V279">
        <f t="shared" si="105"/>
        <v>0</v>
      </c>
      <c r="W279" s="43">
        <f t="shared" si="106"/>
        <v>700547.49625635124</v>
      </c>
      <c r="X279" s="43">
        <f t="shared" si="107"/>
        <v>0</v>
      </c>
      <c r="Y279" s="27">
        <f t="shared" si="108"/>
        <v>5365.6490630144817</v>
      </c>
      <c r="Z279" s="27">
        <f t="shared" si="109"/>
        <v>695181.84719333681</v>
      </c>
      <c r="AA279">
        <f t="shared" si="110"/>
        <v>0</v>
      </c>
      <c r="AB279" s="27">
        <f t="shared" si="111"/>
        <v>695181.84719333681</v>
      </c>
      <c r="AD279" s="27">
        <f t="shared" si="112"/>
        <v>0</v>
      </c>
      <c r="AE279" s="27">
        <f t="shared" si="113"/>
        <v>695181.84719333681</v>
      </c>
      <c r="AF279" s="50"/>
      <c r="AG279" t="str">
        <f t="shared" si="114"/>
        <v>5308940</v>
      </c>
    </row>
    <row r="280" spans="1:33" hidden="1" x14ac:dyDescent="0.25">
      <c r="A280" s="7" t="s">
        <v>606</v>
      </c>
      <c r="B280" s="2" t="s">
        <v>1187</v>
      </c>
      <c r="C280" s="4" t="s">
        <v>1186</v>
      </c>
      <c r="D280">
        <f>_xlfn.IFNA(VLOOKUP(A280,'Prior Year data'!$A$1:$T$318,12,FALSE),0)</f>
        <v>1610111.4013662986</v>
      </c>
      <c r="E280">
        <f>VLOOKUP(A280,'Basic HH'!$B$1:$Y$319,23,FALSE)</f>
        <v>585517.72905834811</v>
      </c>
      <c r="F280">
        <f>VLOOKUP(A280,'Conc. HH'!$B$1:$Y$319,23,FALSE)</f>
        <v>157539.60393300111</v>
      </c>
      <c r="G280">
        <f>VLOOKUP(A280,'Targeted HH'!$B$1:$Y$319,23,FALSE)</f>
        <v>324273.68668162363</v>
      </c>
      <c r="H280">
        <f>VLOOKUP(A280,'EFIG HH'!$B$1:$Y$319,23,FALSE)</f>
        <v>439677.48033995408</v>
      </c>
      <c r="I280">
        <f t="shared" si="92"/>
        <v>1507008.500012927</v>
      </c>
      <c r="J280">
        <f t="shared" si="93"/>
        <v>0</v>
      </c>
      <c r="K280" s="43">
        <f t="shared" si="94"/>
        <v>1507008.500012927</v>
      </c>
      <c r="L280">
        <f t="shared" si="95"/>
        <v>0</v>
      </c>
      <c r="M280">
        <f t="shared" si="96"/>
        <v>0</v>
      </c>
      <c r="N280" s="43">
        <f t="shared" si="97"/>
        <v>1507008.500012927</v>
      </c>
      <c r="O280">
        <f t="shared" si="98"/>
        <v>0</v>
      </c>
      <c r="P280">
        <f t="shared" si="99"/>
        <v>0</v>
      </c>
      <c r="Q280" s="43">
        <f t="shared" si="100"/>
        <v>1507008.500012927</v>
      </c>
      <c r="R280">
        <f t="shared" si="101"/>
        <v>0</v>
      </c>
      <c r="S280">
        <f t="shared" si="102"/>
        <v>0</v>
      </c>
      <c r="T280" s="43">
        <f t="shared" si="103"/>
        <v>1507008.500012927</v>
      </c>
      <c r="U280">
        <f t="shared" si="104"/>
        <v>0</v>
      </c>
      <c r="V280">
        <f t="shared" si="105"/>
        <v>0</v>
      </c>
      <c r="W280" s="43">
        <f t="shared" si="106"/>
        <v>1507008.500012927</v>
      </c>
      <c r="X280" s="43">
        <f t="shared" si="107"/>
        <v>0</v>
      </c>
      <c r="Y280" s="27">
        <f t="shared" si="108"/>
        <v>11542.513233235914</v>
      </c>
      <c r="Z280" s="27">
        <f t="shared" si="109"/>
        <v>1495465.9867796912</v>
      </c>
      <c r="AA280">
        <f t="shared" si="110"/>
        <v>0</v>
      </c>
      <c r="AB280" s="27">
        <f t="shared" si="111"/>
        <v>1495465.9867796912</v>
      </c>
      <c r="AD280" s="27">
        <f t="shared" si="112"/>
        <v>0</v>
      </c>
      <c r="AE280" s="27">
        <f t="shared" si="113"/>
        <v>1495465.9867796912</v>
      </c>
      <c r="AF280" s="50"/>
      <c r="AG280" t="str">
        <f t="shared" si="114"/>
        <v>5308970</v>
      </c>
    </row>
    <row r="281" spans="1:33" x14ac:dyDescent="0.25">
      <c r="A281" s="7" t="s">
        <v>243</v>
      </c>
      <c r="B281" s="2" t="s">
        <v>1189</v>
      </c>
      <c r="C281" s="4" t="s">
        <v>1188</v>
      </c>
      <c r="D281">
        <f>_xlfn.IFNA(VLOOKUP(A281,'Prior Year data'!$A$1:$T$318,12,FALSE),0)</f>
        <v>41863.459968998788</v>
      </c>
      <c r="E281">
        <f>VLOOKUP(A281,'Basic HH'!$B$1:$Y$319,23,FALSE)</f>
        <v>20849.295990208251</v>
      </c>
      <c r="F281">
        <f>VLOOKUP(A281,'Conc. HH'!$B$1:$Y$319,23,FALSE)</f>
        <v>0</v>
      </c>
      <c r="G281">
        <f>VLOOKUP(A281,'Targeted HH'!$B$1:$Y$319,23,FALSE)</f>
        <v>10057.638491602667</v>
      </c>
      <c r="H281">
        <f>VLOOKUP(A281,'EFIG HH'!$B$1:$Y$319,23,FALSE)</f>
        <v>13636.990393548929</v>
      </c>
      <c r="I281">
        <f t="shared" si="92"/>
        <v>44543.924875359844</v>
      </c>
      <c r="J281">
        <f t="shared" si="93"/>
        <v>44543.924875359844</v>
      </c>
      <c r="K281" s="43">
        <f t="shared" si="94"/>
        <v>40498.842327702463</v>
      </c>
      <c r="L281">
        <f t="shared" si="95"/>
        <v>1364.617641296325</v>
      </c>
      <c r="M281">
        <f t="shared" si="96"/>
        <v>0</v>
      </c>
      <c r="N281" s="43">
        <f t="shared" si="97"/>
        <v>41863.459968998788</v>
      </c>
      <c r="O281">
        <f t="shared" si="98"/>
        <v>0</v>
      </c>
      <c r="P281">
        <f t="shared" si="99"/>
        <v>0</v>
      </c>
      <c r="Q281" s="43">
        <f t="shared" si="100"/>
        <v>41863.459968998788</v>
      </c>
      <c r="R281">
        <f t="shared" si="101"/>
        <v>0</v>
      </c>
      <c r="S281">
        <f t="shared" si="102"/>
        <v>0</v>
      </c>
      <c r="T281" s="43">
        <f t="shared" si="103"/>
        <v>41863.459968998788</v>
      </c>
      <c r="U281">
        <f t="shared" si="104"/>
        <v>0</v>
      </c>
      <c r="V281">
        <f t="shared" si="105"/>
        <v>0</v>
      </c>
      <c r="W281" s="43">
        <f t="shared" si="106"/>
        <v>41863.459968998788</v>
      </c>
      <c r="X281" s="43">
        <f t="shared" si="107"/>
        <v>2680.4649063610559</v>
      </c>
      <c r="Y281" s="27">
        <f t="shared" si="108"/>
        <v>320.64154958453486</v>
      </c>
      <c r="Z281" s="27">
        <f t="shared" si="109"/>
        <v>41542.818419414252</v>
      </c>
      <c r="AA281">
        <f t="shared" si="110"/>
        <v>0</v>
      </c>
      <c r="AB281" s="27">
        <f t="shared" si="111"/>
        <v>41542.818419414252</v>
      </c>
      <c r="AD281" s="27">
        <f t="shared" si="112"/>
        <v>0</v>
      </c>
      <c r="AE281" s="27">
        <f t="shared" si="113"/>
        <v>41542.818419414252</v>
      </c>
      <c r="AF281" s="50"/>
      <c r="AG281" t="str">
        <f t="shared" si="114"/>
        <v>5309000</v>
      </c>
    </row>
    <row r="282" spans="1:33" x14ac:dyDescent="0.25">
      <c r="A282" s="7" t="s">
        <v>245</v>
      </c>
      <c r="B282" s="2" t="s">
        <v>1191</v>
      </c>
      <c r="C282" s="4" t="s">
        <v>1190</v>
      </c>
      <c r="D282">
        <f>_xlfn.IFNA(VLOOKUP(A282,'Prior Year data'!$A$1:$T$318,12,FALSE),0)</f>
        <v>132870.75796142218</v>
      </c>
      <c r="E282">
        <f>VLOOKUP(A282,'Basic HH'!$B$1:$Y$319,23,FALSE)</f>
        <v>63416.608636883408</v>
      </c>
      <c r="F282">
        <f>VLOOKUP(A282,'Conc. HH'!$B$1:$Y$319,23,FALSE)</f>
        <v>0</v>
      </c>
      <c r="G282">
        <f>VLOOKUP(A282,'Targeted HH'!$B$1:$Y$319,23,FALSE)</f>
        <v>30591.983745291436</v>
      </c>
      <c r="H282">
        <f>VLOOKUP(A282,'EFIG HH'!$B$1:$Y$319,23,FALSE)</f>
        <v>41479.179113711318</v>
      </c>
      <c r="I282">
        <f t="shared" si="92"/>
        <v>135487.77149588615</v>
      </c>
      <c r="J282">
        <f t="shared" si="93"/>
        <v>135487.77149588615</v>
      </c>
      <c r="K282" s="43">
        <f t="shared" si="94"/>
        <v>123183.97874676161</v>
      </c>
      <c r="L282">
        <f t="shared" si="95"/>
        <v>9686.7792146605643</v>
      </c>
      <c r="M282">
        <f t="shared" si="96"/>
        <v>0</v>
      </c>
      <c r="N282" s="43">
        <f t="shared" si="97"/>
        <v>132870.75796142218</v>
      </c>
      <c r="O282">
        <f t="shared" si="98"/>
        <v>0</v>
      </c>
      <c r="P282">
        <f t="shared" si="99"/>
        <v>0</v>
      </c>
      <c r="Q282" s="43">
        <f t="shared" si="100"/>
        <v>132870.75796142218</v>
      </c>
      <c r="R282">
        <f t="shared" si="101"/>
        <v>0</v>
      </c>
      <c r="S282">
        <f t="shared" si="102"/>
        <v>0</v>
      </c>
      <c r="T282" s="43">
        <f t="shared" si="103"/>
        <v>132870.75796142218</v>
      </c>
      <c r="U282">
        <f t="shared" si="104"/>
        <v>0</v>
      </c>
      <c r="V282">
        <f t="shared" si="105"/>
        <v>0</v>
      </c>
      <c r="W282" s="43">
        <f t="shared" si="106"/>
        <v>132870.75796142218</v>
      </c>
      <c r="X282" s="43">
        <f t="shared" si="107"/>
        <v>2617.0135344639712</v>
      </c>
      <c r="Y282" s="27">
        <f t="shared" si="108"/>
        <v>1017.6866832978354</v>
      </c>
      <c r="Z282" s="27">
        <f t="shared" si="109"/>
        <v>131853.07127812435</v>
      </c>
      <c r="AA282">
        <f t="shared" si="110"/>
        <v>0</v>
      </c>
      <c r="AB282" s="27">
        <f t="shared" si="111"/>
        <v>131853.07127812435</v>
      </c>
      <c r="AD282" s="27">
        <f t="shared" si="112"/>
        <v>0</v>
      </c>
      <c r="AE282" s="27">
        <f t="shared" si="113"/>
        <v>131853.07127812435</v>
      </c>
      <c r="AF282" s="50"/>
      <c r="AG282" t="str">
        <f t="shared" si="114"/>
        <v>5309030</v>
      </c>
    </row>
    <row r="283" spans="1:33" hidden="1" x14ac:dyDescent="0.25">
      <c r="A283" s="7" t="s">
        <v>608</v>
      </c>
      <c r="B283" s="2" t="s">
        <v>1193</v>
      </c>
      <c r="C283" s="4" t="s">
        <v>1192</v>
      </c>
      <c r="D283">
        <f>_xlfn.IFNA(VLOOKUP(A283,'Prior Year data'!$A$1:$T$318,12,FALSE),0)</f>
        <v>94404.206649515108</v>
      </c>
      <c r="E283">
        <f>VLOOKUP(A283,'Basic HH'!$B$1:$Y$319,23,FALSE)</f>
        <v>39092.429981640453</v>
      </c>
      <c r="F283">
        <f>VLOOKUP(A283,'Conc. HH'!$B$1:$Y$319,23,FALSE)</f>
        <v>10518.222814517878</v>
      </c>
      <c r="G283">
        <f>VLOOKUP(A283,'Targeted HH'!$B$1:$Y$319,23,FALSE)</f>
        <v>23216.235510888135</v>
      </c>
      <c r="H283">
        <f>VLOOKUP(A283,'EFIG HH'!$B$1:$Y$319,23,FALSE)</f>
        <v>31478.520618998864</v>
      </c>
      <c r="I283">
        <f t="shared" si="92"/>
        <v>104305.40892604533</v>
      </c>
      <c r="J283">
        <f t="shared" si="93"/>
        <v>104305.40892604533</v>
      </c>
      <c r="K283" s="43">
        <f t="shared" si="94"/>
        <v>94833.320634463147</v>
      </c>
      <c r="L283">
        <f t="shared" si="95"/>
        <v>0</v>
      </c>
      <c r="M283">
        <f t="shared" si="96"/>
        <v>429.11398494803871</v>
      </c>
      <c r="N283" s="43">
        <f t="shared" si="97"/>
        <v>94771.988787512353</v>
      </c>
      <c r="O283">
        <f t="shared" si="98"/>
        <v>0</v>
      </c>
      <c r="P283">
        <f t="shared" si="99"/>
        <v>367.78213799724472</v>
      </c>
      <c r="Q283" s="43">
        <f t="shared" si="100"/>
        <v>94771.988787512353</v>
      </c>
      <c r="R283">
        <f t="shared" si="101"/>
        <v>0</v>
      </c>
      <c r="S283">
        <f t="shared" si="102"/>
        <v>367.78213799724472</v>
      </c>
      <c r="T283" s="43">
        <f t="shared" si="103"/>
        <v>94771.988787512353</v>
      </c>
      <c r="U283">
        <f t="shared" si="104"/>
        <v>0</v>
      </c>
      <c r="V283">
        <f t="shared" si="105"/>
        <v>367.78213799724472</v>
      </c>
      <c r="W283" s="43">
        <f t="shared" si="106"/>
        <v>94771.988787512353</v>
      </c>
      <c r="X283" s="43">
        <f t="shared" si="107"/>
        <v>9533.4201385329798</v>
      </c>
      <c r="Y283" s="27">
        <f t="shared" si="108"/>
        <v>725.87973771253678</v>
      </c>
      <c r="Z283" s="27">
        <f t="shared" si="109"/>
        <v>94046.109049799823</v>
      </c>
      <c r="AA283">
        <f t="shared" si="110"/>
        <v>0</v>
      </c>
      <c r="AB283" s="27">
        <f t="shared" si="111"/>
        <v>94046.109049799823</v>
      </c>
      <c r="AD283" s="27">
        <f t="shared" si="112"/>
        <v>0</v>
      </c>
      <c r="AE283" s="27">
        <f t="shared" si="113"/>
        <v>94046.109049799823</v>
      </c>
      <c r="AF283" s="50"/>
      <c r="AG283" t="str">
        <f t="shared" si="114"/>
        <v>5309060</v>
      </c>
    </row>
    <row r="284" spans="1:33" x14ac:dyDescent="0.25">
      <c r="A284" s="7" t="s">
        <v>60</v>
      </c>
      <c r="B284" s="2" t="s">
        <v>1194</v>
      </c>
      <c r="C284" s="4" t="s">
        <v>43</v>
      </c>
      <c r="D284">
        <f>_xlfn.IFNA(VLOOKUP(A284,'Prior Year data'!$A$1:$T$318,12,FALSE),0)</f>
        <v>1069809.0099602554</v>
      </c>
      <c r="E284">
        <f>VLOOKUP(A284,'Basic HH'!$B$1:$Y$319,23,FALSE)</f>
        <v>438606.28321334941</v>
      </c>
      <c r="F284">
        <f>VLOOKUP(A284,'Conc. HH'!$B$1:$Y$319,23,FALSE)</f>
        <v>118011.55919067147</v>
      </c>
      <c r="G284">
        <f>VLOOKUP(A284,'Targeted HH'!$B$1:$Y$319,23,FALSE)</f>
        <v>256243.45009446406</v>
      </c>
      <c r="H284">
        <f>VLOOKUP(A284,'EFIG HH'!$B$1:$Y$319,23,FALSE)</f>
        <v>347436.37587149104</v>
      </c>
      <c r="I284">
        <f t="shared" si="92"/>
        <v>1160297.6683699759</v>
      </c>
      <c r="J284">
        <f t="shared" si="93"/>
        <v>1160297.6683699759</v>
      </c>
      <c r="K284" s="43">
        <f t="shared" si="94"/>
        <v>1054929.7677742378</v>
      </c>
      <c r="L284">
        <f t="shared" si="95"/>
        <v>14879.242186017567</v>
      </c>
      <c r="M284">
        <f t="shared" si="96"/>
        <v>0</v>
      </c>
      <c r="N284" s="43">
        <f t="shared" si="97"/>
        <v>1069809.0099602554</v>
      </c>
      <c r="O284">
        <f t="shared" si="98"/>
        <v>0</v>
      </c>
      <c r="P284">
        <f t="shared" si="99"/>
        <v>0</v>
      </c>
      <c r="Q284" s="43">
        <f t="shared" si="100"/>
        <v>1069809.0099602554</v>
      </c>
      <c r="R284">
        <f t="shared" si="101"/>
        <v>0</v>
      </c>
      <c r="S284">
        <f t="shared" si="102"/>
        <v>0</v>
      </c>
      <c r="T284" s="43">
        <f t="shared" si="103"/>
        <v>1069809.0099602554</v>
      </c>
      <c r="U284">
        <f t="shared" si="104"/>
        <v>0</v>
      </c>
      <c r="V284">
        <f t="shared" si="105"/>
        <v>0</v>
      </c>
      <c r="W284" s="43">
        <f t="shared" si="106"/>
        <v>1069809.0099602554</v>
      </c>
      <c r="X284" s="43">
        <f t="shared" si="107"/>
        <v>90488.65840972052</v>
      </c>
      <c r="Y284" s="27">
        <f t="shared" si="108"/>
        <v>8193.9051136044272</v>
      </c>
      <c r="Z284" s="27">
        <f t="shared" si="109"/>
        <v>1061615.104846651</v>
      </c>
      <c r="AA284">
        <f t="shared" si="110"/>
        <v>0</v>
      </c>
      <c r="AB284" s="27">
        <f t="shared" si="111"/>
        <v>1061615.104846651</v>
      </c>
      <c r="AD284" s="27">
        <f t="shared" si="112"/>
        <v>0</v>
      </c>
      <c r="AE284" s="27">
        <f t="shared" si="113"/>
        <v>1061615.104846651</v>
      </c>
      <c r="AF284" s="50"/>
      <c r="AG284" t="str">
        <f t="shared" si="114"/>
        <v>5308130</v>
      </c>
    </row>
    <row r="285" spans="1:33" x14ac:dyDescent="0.25">
      <c r="A285" s="7" t="s">
        <v>247</v>
      </c>
      <c r="B285" s="2" t="s">
        <v>1196</v>
      </c>
      <c r="C285" s="4" t="s">
        <v>1195</v>
      </c>
      <c r="D285">
        <f>_xlfn.IFNA(VLOOKUP(A285,'Prior Year data'!$A$1:$T$318,12,FALSE),0)</f>
        <v>1146358.0521847396</v>
      </c>
      <c r="E285">
        <f>VLOOKUP(A285,'Basic HH'!$B$1:$Y$319,23,FALSE)</f>
        <v>555981.22640555282</v>
      </c>
      <c r="F285">
        <f>VLOOKUP(A285,'Conc. HH'!$B$1:$Y$319,23,FALSE)</f>
        <v>0</v>
      </c>
      <c r="G285">
        <f>VLOOKUP(A285,'Targeted HH'!$B$1:$Y$319,23,FALSE)</f>
        <v>268203.69310940424</v>
      </c>
      <c r="H285">
        <f>VLOOKUP(A285,'EFIG HH'!$B$1:$Y$319,23,FALSE)</f>
        <v>363653.07716130489</v>
      </c>
      <c r="I285">
        <f t="shared" si="92"/>
        <v>1187837.996676262</v>
      </c>
      <c r="J285">
        <f t="shared" si="93"/>
        <v>1187837.996676262</v>
      </c>
      <c r="K285" s="43">
        <f t="shared" si="94"/>
        <v>1079969.1287387318</v>
      </c>
      <c r="L285">
        <f t="shared" si="95"/>
        <v>66388.923446007771</v>
      </c>
      <c r="M285">
        <f t="shared" si="96"/>
        <v>0</v>
      </c>
      <c r="N285" s="43">
        <f t="shared" si="97"/>
        <v>1146358.0521847396</v>
      </c>
      <c r="O285">
        <f t="shared" si="98"/>
        <v>0</v>
      </c>
      <c r="P285">
        <f t="shared" si="99"/>
        <v>0</v>
      </c>
      <c r="Q285" s="43">
        <f t="shared" si="100"/>
        <v>1146358.0521847396</v>
      </c>
      <c r="R285">
        <f t="shared" si="101"/>
        <v>0</v>
      </c>
      <c r="S285">
        <f t="shared" si="102"/>
        <v>0</v>
      </c>
      <c r="T285" s="43">
        <f t="shared" si="103"/>
        <v>1146358.0521847396</v>
      </c>
      <c r="U285">
        <f t="shared" si="104"/>
        <v>0</v>
      </c>
      <c r="V285">
        <f t="shared" si="105"/>
        <v>0</v>
      </c>
      <c r="W285" s="43">
        <f t="shared" si="106"/>
        <v>1146358.0521847396</v>
      </c>
      <c r="X285" s="43">
        <f t="shared" si="107"/>
        <v>41479.944491522387</v>
      </c>
      <c r="Y285" s="27">
        <f t="shared" si="108"/>
        <v>8780.2112511345495</v>
      </c>
      <c r="Z285" s="27">
        <f t="shared" si="109"/>
        <v>1137577.8409336051</v>
      </c>
      <c r="AA285">
        <f t="shared" si="110"/>
        <v>0</v>
      </c>
      <c r="AB285" s="27">
        <f t="shared" si="111"/>
        <v>1137577.8409336051</v>
      </c>
      <c r="AD285" s="27">
        <f t="shared" si="112"/>
        <v>0</v>
      </c>
      <c r="AE285" s="27">
        <f t="shared" si="113"/>
        <v>1137577.8409336051</v>
      </c>
      <c r="AF285" s="50"/>
      <c r="AG285" t="str">
        <f t="shared" si="114"/>
        <v>5309100</v>
      </c>
    </row>
    <row r="286" spans="1:33" hidden="1" x14ac:dyDescent="0.25">
      <c r="A286" s="7" t="s">
        <v>610</v>
      </c>
      <c r="B286" s="2" t="s">
        <v>1198</v>
      </c>
      <c r="C286" s="4" t="s">
        <v>1197</v>
      </c>
      <c r="D286">
        <f>_xlfn.IFNA(VLOOKUP(A286,'Prior Year data'!$A$1:$T$318,12,FALSE),0)</f>
        <v>407705.32102218829</v>
      </c>
      <c r="E286">
        <f>VLOOKUP(A286,'Basic HH'!$B$1:$Y$319,23,FALSE)</f>
        <v>220655.04922970387</v>
      </c>
      <c r="F286">
        <f>VLOOKUP(A286,'Conc. HH'!$B$1:$Y$319,23,FALSE)</f>
        <v>59369.524330834232</v>
      </c>
      <c r="G286">
        <f>VLOOKUP(A286,'Targeted HH'!$B$1:$Y$319,23,FALSE)</f>
        <v>173205.63070885051</v>
      </c>
      <c r="H286">
        <f>VLOOKUP(A286,'EFIG HH'!$B$1:$Y$319,23,FALSE)</f>
        <v>234846.73107482085</v>
      </c>
      <c r="I286">
        <f t="shared" si="92"/>
        <v>688076.93534420943</v>
      </c>
      <c r="J286">
        <f t="shared" si="93"/>
        <v>688076.93534420943</v>
      </c>
      <c r="K286" s="43">
        <f t="shared" si="94"/>
        <v>625591.91610994609</v>
      </c>
      <c r="L286">
        <f t="shared" si="95"/>
        <v>0</v>
      </c>
      <c r="M286">
        <f t="shared" si="96"/>
        <v>217886.5950877578</v>
      </c>
      <c r="N286" s="43">
        <f t="shared" si="97"/>
        <v>594450.10351167002</v>
      </c>
      <c r="O286">
        <f t="shared" si="98"/>
        <v>0</v>
      </c>
      <c r="P286">
        <f t="shared" si="99"/>
        <v>186744.78248948173</v>
      </c>
      <c r="Q286" s="43">
        <f t="shared" si="100"/>
        <v>594450.10351167002</v>
      </c>
      <c r="R286">
        <f t="shared" si="101"/>
        <v>0</v>
      </c>
      <c r="S286">
        <f t="shared" si="102"/>
        <v>186744.78248948173</v>
      </c>
      <c r="T286" s="43">
        <f t="shared" si="103"/>
        <v>594450.10351167002</v>
      </c>
      <c r="U286">
        <f t="shared" si="104"/>
        <v>0</v>
      </c>
      <c r="V286">
        <f t="shared" si="105"/>
        <v>186744.78248948173</v>
      </c>
      <c r="W286" s="43">
        <f t="shared" si="106"/>
        <v>594450.10351167002</v>
      </c>
      <c r="X286" s="43">
        <f t="shared" si="107"/>
        <v>93626.831832539407</v>
      </c>
      <c r="Y286" s="27">
        <f t="shared" si="108"/>
        <v>4553.0255378274587</v>
      </c>
      <c r="Z286" s="27">
        <f t="shared" si="109"/>
        <v>589897.07797384262</v>
      </c>
      <c r="AA286">
        <f t="shared" si="110"/>
        <v>0</v>
      </c>
      <c r="AB286" s="27">
        <f t="shared" si="111"/>
        <v>589897.07797384262</v>
      </c>
      <c r="AD286" s="27">
        <f t="shared" si="112"/>
        <v>0</v>
      </c>
      <c r="AE286" s="27">
        <f t="shared" si="113"/>
        <v>589897.07797384262</v>
      </c>
      <c r="AF286" s="50"/>
      <c r="AG286" t="str">
        <f t="shared" si="114"/>
        <v>5309150</v>
      </c>
    </row>
    <row r="287" spans="1:33" hidden="1" x14ac:dyDescent="0.25">
      <c r="A287" s="7" t="s">
        <v>249</v>
      </c>
      <c r="B287" s="2" t="s">
        <v>1200</v>
      </c>
      <c r="C287" s="4" t="s">
        <v>1199</v>
      </c>
      <c r="D287">
        <f>_xlfn.IFNA(VLOOKUP(A287,'Prior Year data'!$A$1:$T$318,12,FALSE),0)</f>
        <v>788343.25046388374</v>
      </c>
      <c r="E287">
        <f>VLOOKUP(A287,'Basic HH'!$B$1:$Y$319,23,FALSE)</f>
        <v>412642.31647287146</v>
      </c>
      <c r="F287">
        <f>VLOOKUP(A287,'Conc. HH'!$B$1:$Y$319,23,FALSE)</f>
        <v>0</v>
      </c>
      <c r="G287">
        <f>VLOOKUP(A287,'Targeted HH'!$B$1:$Y$319,23,FALSE)</f>
        <v>199057.42847963603</v>
      </c>
      <c r="H287">
        <f>VLOOKUP(A287,'EFIG HH'!$B$1:$Y$319,23,FALSE)</f>
        <v>269898.76820565597</v>
      </c>
      <c r="I287">
        <f t="shared" si="92"/>
        <v>881598.51315816352</v>
      </c>
      <c r="J287">
        <f t="shared" si="93"/>
        <v>881598.51315816352</v>
      </c>
      <c r="K287" s="43">
        <f t="shared" si="94"/>
        <v>801539.58773577784</v>
      </c>
      <c r="L287">
        <f t="shared" si="95"/>
        <v>0</v>
      </c>
      <c r="M287">
        <f t="shared" si="96"/>
        <v>13196.337271894095</v>
      </c>
      <c r="N287" s="43">
        <f t="shared" si="97"/>
        <v>799653.47876179777</v>
      </c>
      <c r="O287">
        <f t="shared" si="98"/>
        <v>0</v>
      </c>
      <c r="P287">
        <f t="shared" si="99"/>
        <v>11310.228297914029</v>
      </c>
      <c r="Q287" s="43">
        <f t="shared" si="100"/>
        <v>799653.47876179777</v>
      </c>
      <c r="R287">
        <f t="shared" si="101"/>
        <v>0</v>
      </c>
      <c r="S287">
        <f t="shared" si="102"/>
        <v>11310.228297914029</v>
      </c>
      <c r="T287" s="43">
        <f t="shared" si="103"/>
        <v>799653.47876179777</v>
      </c>
      <c r="U287">
        <f t="shared" si="104"/>
        <v>0</v>
      </c>
      <c r="V287">
        <f t="shared" si="105"/>
        <v>11310.228297914029</v>
      </c>
      <c r="W287" s="43">
        <f t="shared" si="106"/>
        <v>799653.47876179777</v>
      </c>
      <c r="X287" s="43">
        <f t="shared" si="107"/>
        <v>81945.034396365751</v>
      </c>
      <c r="Y287" s="27">
        <f t="shared" si="108"/>
        <v>6124.7238224150769</v>
      </c>
      <c r="Z287" s="27">
        <f t="shared" si="109"/>
        <v>793528.75493938266</v>
      </c>
      <c r="AA287">
        <f t="shared" si="110"/>
        <v>0</v>
      </c>
      <c r="AB287" s="27">
        <f t="shared" si="111"/>
        <v>793528.75493938266</v>
      </c>
      <c r="AD287" s="27">
        <f t="shared" si="112"/>
        <v>0</v>
      </c>
      <c r="AE287" s="27">
        <f t="shared" si="113"/>
        <v>793528.75493938266</v>
      </c>
      <c r="AF287" s="50"/>
      <c r="AG287" t="str">
        <f t="shared" si="114"/>
        <v>5309180</v>
      </c>
    </row>
    <row r="288" spans="1:33" hidden="1" x14ac:dyDescent="0.25">
      <c r="A288" s="7" t="s">
        <v>612</v>
      </c>
      <c r="B288" s="2" t="s">
        <v>1202</v>
      </c>
      <c r="C288" s="4" t="s">
        <v>1201</v>
      </c>
      <c r="D288">
        <f>_xlfn.IFNA(VLOOKUP(A288,'Prior Year data'!$A$1:$T$318,12,FALSE),0)</f>
        <v>144384.58200325069</v>
      </c>
      <c r="E288">
        <f>VLOOKUP(A288,'Basic HH'!$B$1:$Y$319,23,FALSE)</f>
        <v>66891.491301918111</v>
      </c>
      <c r="F288">
        <f>VLOOKUP(A288,'Conc. HH'!$B$1:$Y$319,23,FALSE)</f>
        <v>17997.847927063925</v>
      </c>
      <c r="G288">
        <f>VLOOKUP(A288,'Targeted HH'!$B$1:$Y$319,23,FALSE)</f>
        <v>46317.206293979791</v>
      </c>
      <c r="H288">
        <f>VLOOKUP(A288,'EFIG HH'!$B$1:$Y$319,23,FALSE)</f>
        <v>62800.755646008321</v>
      </c>
      <c r="I288">
        <f t="shared" si="92"/>
        <v>194007.30116897015</v>
      </c>
      <c r="J288">
        <f t="shared" si="93"/>
        <v>194007.30116897015</v>
      </c>
      <c r="K288" s="43">
        <f t="shared" si="94"/>
        <v>176389.28591161186</v>
      </c>
      <c r="L288">
        <f t="shared" si="95"/>
        <v>0</v>
      </c>
      <c r="M288">
        <f t="shared" si="96"/>
        <v>32004.703908361174</v>
      </c>
      <c r="N288" s="43">
        <f t="shared" si="97"/>
        <v>171814.95911112163</v>
      </c>
      <c r="O288">
        <f t="shared" si="98"/>
        <v>0</v>
      </c>
      <c r="P288">
        <f t="shared" si="99"/>
        <v>27430.37710787094</v>
      </c>
      <c r="Q288" s="43">
        <f t="shared" si="100"/>
        <v>171814.95911112163</v>
      </c>
      <c r="R288">
        <f t="shared" si="101"/>
        <v>0</v>
      </c>
      <c r="S288">
        <f t="shared" si="102"/>
        <v>27430.37710787094</v>
      </c>
      <c r="T288" s="43">
        <f t="shared" si="103"/>
        <v>171814.95911112163</v>
      </c>
      <c r="U288">
        <f t="shared" si="104"/>
        <v>0</v>
      </c>
      <c r="V288">
        <f t="shared" si="105"/>
        <v>27430.37710787094</v>
      </c>
      <c r="W288" s="43">
        <f t="shared" si="106"/>
        <v>171814.95911112163</v>
      </c>
      <c r="X288" s="43">
        <f t="shared" si="107"/>
        <v>22192.342057848524</v>
      </c>
      <c r="Y288" s="27">
        <f t="shared" si="108"/>
        <v>1315.9689803946012</v>
      </c>
      <c r="Z288" s="27">
        <f t="shared" si="109"/>
        <v>170498.99013072703</v>
      </c>
      <c r="AA288">
        <f t="shared" si="110"/>
        <v>0</v>
      </c>
      <c r="AB288" s="27">
        <f t="shared" si="111"/>
        <v>170498.99013072703</v>
      </c>
      <c r="AD288" s="27">
        <f t="shared" si="112"/>
        <v>0</v>
      </c>
      <c r="AE288" s="27">
        <f t="shared" si="113"/>
        <v>170498.99013072703</v>
      </c>
      <c r="AF288" s="50"/>
      <c r="AG288" t="str">
        <f t="shared" si="114"/>
        <v>5309240</v>
      </c>
    </row>
    <row r="289" spans="1:33" hidden="1" x14ac:dyDescent="0.25">
      <c r="A289" s="7" t="s">
        <v>63</v>
      </c>
      <c r="B289" s="2" t="s">
        <v>1203</v>
      </c>
      <c r="C289" s="4" t="s">
        <v>49</v>
      </c>
      <c r="D289">
        <f>_xlfn.IFNA(VLOOKUP(A289,'Prior Year data'!$A$1:$T$318,12,FALSE),0)</f>
        <v>6416904.6640526112</v>
      </c>
      <c r="E289">
        <f>VLOOKUP(A289,'Basic HH'!$B$1:$Y$319,23,FALSE)</f>
        <v>2359008.1261396208</v>
      </c>
      <c r="F289">
        <f>VLOOKUP(A289,'Conc. HH'!$B$1:$Y$319,23,FALSE)</f>
        <v>0</v>
      </c>
      <c r="G289">
        <f>VLOOKUP(A289,'Targeted HH'!$B$1:$Y$319,23,FALSE)</f>
        <v>1666296.1920755082</v>
      </c>
      <c r="H289">
        <f>VLOOKUP(A289,'EFIG HH'!$B$1:$Y$319,23,FALSE)</f>
        <v>2259304.2276388239</v>
      </c>
      <c r="I289">
        <f t="shared" si="92"/>
        <v>6284608.5458539529</v>
      </c>
      <c r="J289">
        <f t="shared" si="93"/>
        <v>0</v>
      </c>
      <c r="K289" s="43">
        <f t="shared" si="94"/>
        <v>6284608.5458539529</v>
      </c>
      <c r="L289">
        <f t="shared" si="95"/>
        <v>0</v>
      </c>
      <c r="M289">
        <f t="shared" si="96"/>
        <v>0</v>
      </c>
      <c r="N289" s="43">
        <f t="shared" si="97"/>
        <v>6284608.5458539529</v>
      </c>
      <c r="O289">
        <f t="shared" si="98"/>
        <v>0</v>
      </c>
      <c r="P289">
        <f t="shared" si="99"/>
        <v>0</v>
      </c>
      <c r="Q289" s="43">
        <f t="shared" si="100"/>
        <v>6284608.5458539529</v>
      </c>
      <c r="R289">
        <f t="shared" si="101"/>
        <v>0</v>
      </c>
      <c r="S289">
        <f t="shared" si="102"/>
        <v>0</v>
      </c>
      <c r="T289" s="43">
        <f t="shared" si="103"/>
        <v>6284608.5458539529</v>
      </c>
      <c r="U289">
        <f t="shared" si="104"/>
        <v>0</v>
      </c>
      <c r="V289">
        <f t="shared" si="105"/>
        <v>0</v>
      </c>
      <c r="W289" s="43">
        <f t="shared" si="106"/>
        <v>6284608.5458539529</v>
      </c>
      <c r="X289" s="43">
        <f t="shared" si="107"/>
        <v>0</v>
      </c>
      <c r="Y289" s="27">
        <f t="shared" si="108"/>
        <v>48135.214436816066</v>
      </c>
      <c r="Z289" s="27">
        <f t="shared" si="109"/>
        <v>6236473.3314171368</v>
      </c>
      <c r="AA289">
        <f t="shared" si="110"/>
        <v>0</v>
      </c>
      <c r="AB289" s="27">
        <f t="shared" si="111"/>
        <v>6236473.3314171368</v>
      </c>
      <c r="AD289" s="27">
        <f t="shared" si="112"/>
        <v>0</v>
      </c>
      <c r="AE289" s="27">
        <f t="shared" si="113"/>
        <v>6236473.3314171368</v>
      </c>
      <c r="AF289" s="50"/>
      <c r="AG289" t="str">
        <f t="shared" si="114"/>
        <v>5309270</v>
      </c>
    </row>
    <row r="290" spans="1:33" hidden="1" x14ac:dyDescent="0.25">
      <c r="A290" s="7" t="s">
        <v>251</v>
      </c>
      <c r="B290" s="2" t="s">
        <v>1205</v>
      </c>
      <c r="C290" s="4" t="s">
        <v>1204</v>
      </c>
      <c r="D290">
        <f>_xlfn.IFNA(VLOOKUP(A290,'Prior Year data'!$A$1:$T$318,12,FALSE),0)</f>
        <v>221883.78834066226</v>
      </c>
      <c r="E290">
        <f>VLOOKUP(A290,'Basic HH'!$B$1:$Y$319,23,FALSE)</f>
        <v>99034.155953489142</v>
      </c>
      <c r="F290">
        <f>VLOOKUP(A290,'Conc. HH'!$B$1:$Y$319,23,FALSE)</f>
        <v>0</v>
      </c>
      <c r="G290">
        <f>VLOOKUP(A290,'Targeted HH'!$B$1:$Y$319,23,FALSE)</f>
        <v>47773.782835112659</v>
      </c>
      <c r="H290">
        <f>VLOOKUP(A290,'EFIG HH'!$B$1:$Y$319,23,FALSE)</f>
        <v>64775.704369357431</v>
      </c>
      <c r="I290">
        <f t="shared" si="92"/>
        <v>211583.64315795925</v>
      </c>
      <c r="J290">
        <f t="shared" si="93"/>
        <v>0</v>
      </c>
      <c r="K290" s="43">
        <f t="shared" si="94"/>
        <v>211583.64315795925</v>
      </c>
      <c r="L290">
        <f t="shared" si="95"/>
        <v>0</v>
      </c>
      <c r="M290">
        <f t="shared" si="96"/>
        <v>0</v>
      </c>
      <c r="N290" s="43">
        <f t="shared" si="97"/>
        <v>211583.64315795925</v>
      </c>
      <c r="O290">
        <f t="shared" si="98"/>
        <v>0</v>
      </c>
      <c r="P290">
        <f t="shared" si="99"/>
        <v>0</v>
      </c>
      <c r="Q290" s="43">
        <f t="shared" si="100"/>
        <v>211583.64315795925</v>
      </c>
      <c r="R290">
        <f t="shared" si="101"/>
        <v>0</v>
      </c>
      <c r="S290">
        <f t="shared" si="102"/>
        <v>0</v>
      </c>
      <c r="T290" s="43">
        <f t="shared" si="103"/>
        <v>211583.64315795925</v>
      </c>
      <c r="U290">
        <f t="shared" si="104"/>
        <v>0</v>
      </c>
      <c r="V290">
        <f t="shared" si="105"/>
        <v>0</v>
      </c>
      <c r="W290" s="43">
        <f t="shared" si="106"/>
        <v>211583.64315795925</v>
      </c>
      <c r="X290" s="43">
        <f t="shared" si="107"/>
        <v>0</v>
      </c>
      <c r="Y290" s="27">
        <f t="shared" si="108"/>
        <v>1620.5661753507436</v>
      </c>
      <c r="Z290" s="27">
        <f t="shared" si="109"/>
        <v>209963.0769826085</v>
      </c>
      <c r="AA290">
        <f t="shared" si="110"/>
        <v>0</v>
      </c>
      <c r="AB290" s="27">
        <f t="shared" si="111"/>
        <v>209963.0769826085</v>
      </c>
      <c r="AD290" s="27">
        <f t="shared" si="112"/>
        <v>0</v>
      </c>
      <c r="AE290" s="27">
        <f t="shared" si="113"/>
        <v>209963.0769826085</v>
      </c>
      <c r="AF290" s="50"/>
      <c r="AG290" t="str">
        <f t="shared" si="114"/>
        <v>5309300</v>
      </c>
    </row>
    <row r="291" spans="1:33" x14ac:dyDescent="0.25">
      <c r="A291" s="7" t="s">
        <v>614</v>
      </c>
      <c r="B291" s="2" t="s">
        <v>1207</v>
      </c>
      <c r="C291" s="4" t="s">
        <v>1206</v>
      </c>
      <c r="D291">
        <f>_xlfn.IFNA(VLOOKUP(A291,'Prior Year data'!$A$1:$T$318,12,FALSE),0)</f>
        <v>209699.50165571424</v>
      </c>
      <c r="E291">
        <f>VLOOKUP(A291,'Basic HH'!$B$1:$Y$319,23,FALSE)</f>
        <v>85174.702821135521</v>
      </c>
      <c r="F291">
        <f>VLOOKUP(A291,'Conc. HH'!$B$1:$Y$319,23,FALSE)</f>
        <v>22442.130442566453</v>
      </c>
      <c r="G291">
        <f>VLOOKUP(A291,'Targeted HH'!$B$1:$Y$319,23,FALSE)</f>
        <v>50032.650004897354</v>
      </c>
      <c r="H291">
        <f>VLOOKUP(A291,'EFIG HH'!$B$1:$Y$319,23,FALSE)</f>
        <v>68770.780356794188</v>
      </c>
      <c r="I291">
        <f t="shared" si="92"/>
        <v>226420.26362539351</v>
      </c>
      <c r="J291">
        <f t="shared" si="93"/>
        <v>226420.26362539351</v>
      </c>
      <c r="K291" s="43">
        <f t="shared" si="94"/>
        <v>205858.79178855271</v>
      </c>
      <c r="L291">
        <f t="shared" si="95"/>
        <v>3840.709867161524</v>
      </c>
      <c r="M291">
        <f t="shared" si="96"/>
        <v>0</v>
      </c>
      <c r="N291" s="43">
        <f t="shared" si="97"/>
        <v>209699.50165571424</v>
      </c>
      <c r="O291">
        <f t="shared" si="98"/>
        <v>0</v>
      </c>
      <c r="P291">
        <f t="shared" si="99"/>
        <v>0</v>
      </c>
      <c r="Q291" s="43">
        <f t="shared" si="100"/>
        <v>209699.50165571424</v>
      </c>
      <c r="R291">
        <f t="shared" si="101"/>
        <v>0</v>
      </c>
      <c r="S291">
        <f t="shared" si="102"/>
        <v>0</v>
      </c>
      <c r="T291" s="43">
        <f t="shared" si="103"/>
        <v>209699.50165571424</v>
      </c>
      <c r="U291">
        <f t="shared" si="104"/>
        <v>0</v>
      </c>
      <c r="V291">
        <f t="shared" si="105"/>
        <v>0</v>
      </c>
      <c r="W291" s="43">
        <f t="shared" si="106"/>
        <v>209699.50165571424</v>
      </c>
      <c r="X291" s="43">
        <f t="shared" si="107"/>
        <v>16720.761969679268</v>
      </c>
      <c r="Y291" s="27">
        <f t="shared" si="108"/>
        <v>1606.1351165858025</v>
      </c>
      <c r="Z291" s="27">
        <f t="shared" si="109"/>
        <v>208093.36653912844</v>
      </c>
      <c r="AA291">
        <f t="shared" si="110"/>
        <v>0</v>
      </c>
      <c r="AB291" s="27">
        <f t="shared" si="111"/>
        <v>208093.36653912844</v>
      </c>
      <c r="AD291" s="27">
        <f t="shared" si="112"/>
        <v>0</v>
      </c>
      <c r="AE291" s="27">
        <f t="shared" si="113"/>
        <v>208093.36653912844</v>
      </c>
      <c r="AF291" s="50"/>
      <c r="AG291" t="str">
        <f t="shared" si="114"/>
        <v>5309330</v>
      </c>
    </row>
    <row r="292" spans="1:33" x14ac:dyDescent="0.25">
      <c r="A292" s="7" t="s">
        <v>616</v>
      </c>
      <c r="B292" s="2" t="s">
        <v>1209</v>
      </c>
      <c r="C292" s="4" t="s">
        <v>1208</v>
      </c>
      <c r="D292">
        <f>_xlfn.IFNA(VLOOKUP(A292,'Prior Year data'!$A$1:$T$318,12,FALSE),0)</f>
        <v>662201.21529031498</v>
      </c>
      <c r="E292">
        <f>VLOOKUP(A292,'Basic HH'!$B$1:$Y$319,23,FALSE)</f>
        <v>271784.73354744149</v>
      </c>
      <c r="F292">
        <f>VLOOKUP(A292,'Conc. HH'!$B$1:$Y$319,23,FALSE)</f>
        <v>71610.798048552926</v>
      </c>
      <c r="G292">
        <f>VLOOKUP(A292,'Targeted HH'!$B$1:$Y$319,23,FALSE)</f>
        <v>140437.87743390026</v>
      </c>
      <c r="H292">
        <f>VLOOKUP(A292,'EFIG HH'!$B$1:$Y$319,23,FALSE)</f>
        <v>193034.39697549067</v>
      </c>
      <c r="I292">
        <f t="shared" si="92"/>
        <v>676867.80600538536</v>
      </c>
      <c r="J292">
        <f t="shared" si="93"/>
        <v>676867.80600538536</v>
      </c>
      <c r="K292" s="43">
        <f t="shared" si="94"/>
        <v>615400.700068834</v>
      </c>
      <c r="L292">
        <f t="shared" si="95"/>
        <v>46800.515221480979</v>
      </c>
      <c r="M292">
        <f t="shared" si="96"/>
        <v>0</v>
      </c>
      <c r="N292" s="43">
        <f t="shared" si="97"/>
        <v>662201.21529031498</v>
      </c>
      <c r="O292">
        <f t="shared" si="98"/>
        <v>0</v>
      </c>
      <c r="P292">
        <f t="shared" si="99"/>
        <v>0</v>
      </c>
      <c r="Q292" s="43">
        <f t="shared" si="100"/>
        <v>662201.21529031498</v>
      </c>
      <c r="R292">
        <f t="shared" si="101"/>
        <v>0</v>
      </c>
      <c r="S292">
        <f t="shared" si="102"/>
        <v>0</v>
      </c>
      <c r="T292" s="43">
        <f t="shared" si="103"/>
        <v>662201.21529031498</v>
      </c>
      <c r="U292">
        <f t="shared" si="104"/>
        <v>0</v>
      </c>
      <c r="V292">
        <f t="shared" si="105"/>
        <v>0</v>
      </c>
      <c r="W292" s="43">
        <f t="shared" si="106"/>
        <v>662201.21529031498</v>
      </c>
      <c r="X292" s="43">
        <f t="shared" si="107"/>
        <v>14666.590715070372</v>
      </c>
      <c r="Y292" s="27">
        <f t="shared" si="108"/>
        <v>5071.9463695711065</v>
      </c>
      <c r="Z292" s="27">
        <f t="shared" si="109"/>
        <v>657129.26892074384</v>
      </c>
      <c r="AA292">
        <f t="shared" si="110"/>
        <v>0</v>
      </c>
      <c r="AB292" s="27">
        <f t="shared" si="111"/>
        <v>657129.26892074384</v>
      </c>
      <c r="AD292" s="27">
        <f t="shared" si="112"/>
        <v>0</v>
      </c>
      <c r="AE292" s="27">
        <f t="shared" si="113"/>
        <v>657129.26892074384</v>
      </c>
      <c r="AF292" s="50"/>
      <c r="AG292" t="str">
        <f t="shared" si="114"/>
        <v>5309360</v>
      </c>
    </row>
    <row r="293" spans="1:33" hidden="1" x14ac:dyDescent="0.25">
      <c r="A293" s="7" t="s">
        <v>618</v>
      </c>
      <c r="B293" s="2" t="s">
        <v>1211</v>
      </c>
      <c r="C293" s="4" t="s">
        <v>1210</v>
      </c>
      <c r="D293">
        <f>_xlfn.IFNA(VLOOKUP(A293,'Prior Year data'!$A$1:$T$318,12,FALSE),0)</f>
        <v>61248.182854789156</v>
      </c>
      <c r="E293">
        <f>VLOOKUP(A293,'Basic HH'!$B$1:$Y$319,23,FALSE)</f>
        <v>32142.664651571034</v>
      </c>
      <c r="F293">
        <f>VLOOKUP(A293,'Conc. HH'!$B$1:$Y$319,23,FALSE)</f>
        <v>0</v>
      </c>
      <c r="G293">
        <f>VLOOKUP(A293,'Targeted HH'!$B$1:$Y$319,23,FALSE)</f>
        <v>15505.526007887442</v>
      </c>
      <c r="H293">
        <f>VLOOKUP(A293,'EFIG HH'!$B$1:$Y$319,23,FALSE)</f>
        <v>21023.693523387938</v>
      </c>
      <c r="I293">
        <f t="shared" si="92"/>
        <v>68671.884182846406</v>
      </c>
      <c r="J293">
        <f t="shared" si="93"/>
        <v>68671.884182846406</v>
      </c>
      <c r="K293" s="43">
        <f t="shared" si="94"/>
        <v>62435.715255207942</v>
      </c>
      <c r="L293">
        <f t="shared" si="95"/>
        <v>0</v>
      </c>
      <c r="M293">
        <f t="shared" si="96"/>
        <v>1187.532400418786</v>
      </c>
      <c r="N293" s="43">
        <f t="shared" si="97"/>
        <v>62265.985164867474</v>
      </c>
      <c r="O293">
        <f t="shared" si="98"/>
        <v>0</v>
      </c>
      <c r="P293">
        <f t="shared" si="99"/>
        <v>1017.8023100783175</v>
      </c>
      <c r="Q293" s="43">
        <f t="shared" si="100"/>
        <v>62265.985164867474</v>
      </c>
      <c r="R293">
        <f t="shared" si="101"/>
        <v>0</v>
      </c>
      <c r="S293">
        <f t="shared" si="102"/>
        <v>1017.8023100783175</v>
      </c>
      <c r="T293" s="43">
        <f t="shared" si="103"/>
        <v>62265.985164867474</v>
      </c>
      <c r="U293">
        <f t="shared" si="104"/>
        <v>0</v>
      </c>
      <c r="V293">
        <f t="shared" si="105"/>
        <v>1017.8023100783175</v>
      </c>
      <c r="W293" s="43">
        <f t="shared" si="106"/>
        <v>62265.985164867474</v>
      </c>
      <c r="X293" s="43">
        <f t="shared" si="107"/>
        <v>6405.8990179789325</v>
      </c>
      <c r="Y293" s="27">
        <f t="shared" si="108"/>
        <v>476.90902721503488</v>
      </c>
      <c r="Z293" s="27">
        <f t="shared" si="109"/>
        <v>61789.076137652439</v>
      </c>
      <c r="AA293">
        <f t="shared" si="110"/>
        <v>0</v>
      </c>
      <c r="AB293" s="27">
        <f t="shared" si="111"/>
        <v>61789.076137652439</v>
      </c>
      <c r="AD293" s="27">
        <f t="shared" si="112"/>
        <v>0</v>
      </c>
      <c r="AE293" s="27">
        <f t="shared" si="113"/>
        <v>61789.076137652439</v>
      </c>
      <c r="AF293" s="50"/>
      <c r="AG293" t="str">
        <f t="shared" si="114"/>
        <v>5309390</v>
      </c>
    </row>
    <row r="294" spans="1:33" hidden="1" x14ac:dyDescent="0.25">
      <c r="A294" s="7" t="s">
        <v>620</v>
      </c>
      <c r="B294" s="2" t="s">
        <v>1213</v>
      </c>
      <c r="C294" s="4" t="s">
        <v>1212</v>
      </c>
      <c r="D294">
        <f>_xlfn.IFNA(VLOOKUP(A294,'Prior Year data'!$A$1:$T$318,12,FALSE),0)</f>
        <v>1503879.9079978317</v>
      </c>
      <c r="E294">
        <f>VLOOKUP(A294,'Basic HH'!$B$1:$Y$319,23,FALSE)</f>
        <v>924318.78889923205</v>
      </c>
      <c r="F294">
        <f>VLOOKUP(A294,'Conc. HH'!$B$1:$Y$319,23,FALSE)</f>
        <v>248697.53499215608</v>
      </c>
      <c r="G294">
        <f>VLOOKUP(A294,'Targeted HH'!$B$1:$Y$319,23,FALSE)</f>
        <v>524044.87223954726</v>
      </c>
      <c r="H294">
        <f>VLOOKUP(A294,'EFIG HH'!$B$1:$Y$319,23,FALSE)</f>
        <v>710544.02029720566</v>
      </c>
      <c r="I294">
        <f t="shared" si="92"/>
        <v>2407605.2164281411</v>
      </c>
      <c r="J294">
        <f t="shared" si="93"/>
        <v>2407605.2164281411</v>
      </c>
      <c r="K294" s="43">
        <f t="shared" si="94"/>
        <v>2188967.9528759657</v>
      </c>
      <c r="L294">
        <f t="shared" si="95"/>
        <v>0</v>
      </c>
      <c r="M294">
        <f t="shared" si="96"/>
        <v>685088.04487813404</v>
      </c>
      <c r="N294" s="43">
        <f t="shared" si="97"/>
        <v>2091050.5775628074</v>
      </c>
      <c r="O294">
        <f t="shared" si="98"/>
        <v>0</v>
      </c>
      <c r="P294">
        <f t="shared" si="99"/>
        <v>587170.66956497566</v>
      </c>
      <c r="Q294" s="43">
        <f t="shared" si="100"/>
        <v>2091050.5775628074</v>
      </c>
      <c r="R294">
        <f t="shared" si="101"/>
        <v>0</v>
      </c>
      <c r="S294">
        <f t="shared" si="102"/>
        <v>587170.66956497566</v>
      </c>
      <c r="T294" s="43">
        <f t="shared" si="103"/>
        <v>2091050.5775628074</v>
      </c>
      <c r="U294">
        <f t="shared" si="104"/>
        <v>0</v>
      </c>
      <c r="V294">
        <f t="shared" si="105"/>
        <v>587170.66956497566</v>
      </c>
      <c r="W294" s="43">
        <f t="shared" si="106"/>
        <v>2091050.5775628074</v>
      </c>
      <c r="X294" s="43">
        <f t="shared" si="107"/>
        <v>316554.63886533375</v>
      </c>
      <c r="Y294" s="27">
        <f t="shared" si="108"/>
        <v>16015.821385663894</v>
      </c>
      <c r="Z294" s="27">
        <f t="shared" si="109"/>
        <v>2075034.7561771434</v>
      </c>
      <c r="AA294">
        <f t="shared" si="110"/>
        <v>0</v>
      </c>
      <c r="AB294" s="27">
        <f t="shared" si="111"/>
        <v>2075034.7561771434</v>
      </c>
      <c r="AD294" s="27">
        <f t="shared" si="112"/>
        <v>0</v>
      </c>
      <c r="AE294" s="27">
        <f t="shared" si="113"/>
        <v>2075034.7561771434</v>
      </c>
      <c r="AF294" s="50"/>
      <c r="AG294" t="str">
        <f t="shared" si="114"/>
        <v>5309450</v>
      </c>
    </row>
    <row r="295" spans="1:33" x14ac:dyDescent="0.25">
      <c r="A295" s="7" t="s">
        <v>621</v>
      </c>
      <c r="B295" s="2" t="s">
        <v>1215</v>
      </c>
      <c r="C295" s="4" t="s">
        <v>1214</v>
      </c>
      <c r="D295">
        <f>_xlfn.IFNA(VLOOKUP(A295,'Prior Year data'!$A$1:$T$318,12,FALSE),0)</f>
        <v>1815122.4719472285</v>
      </c>
      <c r="E295">
        <f>VLOOKUP(A295,'Basic HH'!$B$1:$Y$319,23,FALSE)</f>
        <v>661265.42008408858</v>
      </c>
      <c r="F295">
        <f>VLOOKUP(A295,'Conc. HH'!$B$1:$Y$319,23,FALSE)</f>
        <v>175069.97529053091</v>
      </c>
      <c r="G295">
        <f>VLOOKUP(A295,'Targeted HH'!$B$1:$Y$319,23,FALSE)</f>
        <v>425395.79968211905</v>
      </c>
      <c r="H295">
        <f>VLOOKUP(A295,'EFIG HH'!$B$1:$Y$319,23,FALSE)</f>
        <v>584714.20366057509</v>
      </c>
      <c r="I295">
        <f t="shared" si="92"/>
        <v>1846445.3987173135</v>
      </c>
      <c r="J295">
        <f t="shared" si="93"/>
        <v>1846445.3987173135</v>
      </c>
      <c r="K295" s="43">
        <f t="shared" si="94"/>
        <v>1678767.6721035708</v>
      </c>
      <c r="L295">
        <f t="shared" si="95"/>
        <v>136354.79984365776</v>
      </c>
      <c r="M295">
        <f t="shared" si="96"/>
        <v>0</v>
      </c>
      <c r="N295" s="43">
        <f t="shared" si="97"/>
        <v>1815122.4719472285</v>
      </c>
      <c r="O295">
        <f t="shared" si="98"/>
        <v>0</v>
      </c>
      <c r="P295">
        <f t="shared" si="99"/>
        <v>0</v>
      </c>
      <c r="Q295" s="43">
        <f t="shared" si="100"/>
        <v>1815122.4719472285</v>
      </c>
      <c r="R295">
        <f t="shared" si="101"/>
        <v>0</v>
      </c>
      <c r="S295">
        <f t="shared" si="102"/>
        <v>0</v>
      </c>
      <c r="T295" s="43">
        <f t="shared" si="103"/>
        <v>1815122.4719472285</v>
      </c>
      <c r="U295">
        <f t="shared" si="104"/>
        <v>0</v>
      </c>
      <c r="V295">
        <f t="shared" si="105"/>
        <v>0</v>
      </c>
      <c r="W295" s="43">
        <f t="shared" si="106"/>
        <v>1815122.4719472285</v>
      </c>
      <c r="X295" s="43">
        <f t="shared" si="107"/>
        <v>31322.926770085003</v>
      </c>
      <c r="Y295" s="27">
        <f t="shared" si="108"/>
        <v>13902.42666329689</v>
      </c>
      <c r="Z295" s="27">
        <f t="shared" si="109"/>
        <v>1801220.0452839315</v>
      </c>
      <c r="AA295">
        <f t="shared" si="110"/>
        <v>0</v>
      </c>
      <c r="AB295" s="27">
        <f t="shared" si="111"/>
        <v>1801220.0452839315</v>
      </c>
      <c r="AD295" s="27">
        <f t="shared" si="112"/>
        <v>0</v>
      </c>
      <c r="AE295" s="27">
        <f t="shared" si="113"/>
        <v>1801220.0452839315</v>
      </c>
      <c r="AF295" s="50"/>
      <c r="AG295" t="str">
        <f t="shared" si="114"/>
        <v>5309480</v>
      </c>
    </row>
    <row r="296" spans="1:33" hidden="1" x14ac:dyDescent="0.25">
      <c r="A296" s="7" t="s">
        <v>623</v>
      </c>
      <c r="B296" s="2" t="s">
        <v>1217</v>
      </c>
      <c r="C296" s="4" t="s">
        <v>1216</v>
      </c>
      <c r="D296">
        <f>_xlfn.IFNA(VLOOKUP(A296,'Prior Year data'!$A$1:$T$318,12,FALSE),0)</f>
        <v>356759.03281782533</v>
      </c>
      <c r="E296">
        <f>VLOOKUP(A296,'Basic HH'!$B$1:$Y$319,23,FALSE)</f>
        <v>175481.5745842527</v>
      </c>
      <c r="F296">
        <f>VLOOKUP(A296,'Conc. HH'!$B$1:$Y$319,23,FALSE)</f>
        <v>47215.133522946919</v>
      </c>
      <c r="G296">
        <f>VLOOKUP(A296,'Targeted HH'!$B$1:$Y$319,23,FALSE)</f>
        <v>108924.54964196651</v>
      </c>
      <c r="H296">
        <f>VLOOKUP(A296,'EFIG HH'!$B$1:$Y$319,23,FALSE)</f>
        <v>147689.04632328302</v>
      </c>
      <c r="I296">
        <f t="shared" si="92"/>
        <v>479310.3040724491</v>
      </c>
      <c r="J296">
        <f t="shared" si="93"/>
        <v>479310.3040724491</v>
      </c>
      <c r="K296" s="43">
        <f t="shared" si="94"/>
        <v>435783.61100844562</v>
      </c>
      <c r="L296">
        <f t="shared" si="95"/>
        <v>0</v>
      </c>
      <c r="M296">
        <f t="shared" si="96"/>
        <v>79024.57819062029</v>
      </c>
      <c r="N296" s="43">
        <f t="shared" si="97"/>
        <v>424488.8886154553</v>
      </c>
      <c r="O296">
        <f t="shared" si="98"/>
        <v>0</v>
      </c>
      <c r="P296">
        <f t="shared" si="99"/>
        <v>67729.855797629978</v>
      </c>
      <c r="Q296" s="43">
        <f t="shared" si="100"/>
        <v>424488.8886154553</v>
      </c>
      <c r="R296">
        <f t="shared" si="101"/>
        <v>0</v>
      </c>
      <c r="S296">
        <f t="shared" si="102"/>
        <v>67729.855797629978</v>
      </c>
      <c r="T296" s="43">
        <f t="shared" si="103"/>
        <v>424488.8886154553</v>
      </c>
      <c r="U296">
        <f t="shared" si="104"/>
        <v>0</v>
      </c>
      <c r="V296">
        <f t="shared" si="105"/>
        <v>67729.855797629978</v>
      </c>
      <c r="W296" s="43">
        <f t="shared" si="106"/>
        <v>424488.8886154553</v>
      </c>
      <c r="X296" s="43">
        <f t="shared" si="107"/>
        <v>54821.415456993796</v>
      </c>
      <c r="Y296" s="27">
        <f t="shared" si="108"/>
        <v>3251.2547966142656</v>
      </c>
      <c r="Z296" s="27">
        <f t="shared" si="109"/>
        <v>421237.63381884102</v>
      </c>
      <c r="AA296">
        <f t="shared" si="110"/>
        <v>0</v>
      </c>
      <c r="AB296" s="27">
        <f t="shared" si="111"/>
        <v>421237.63381884102</v>
      </c>
      <c r="AD296" s="27">
        <f t="shared" si="112"/>
        <v>0</v>
      </c>
      <c r="AE296" s="27">
        <f t="shared" si="113"/>
        <v>421237.63381884102</v>
      </c>
      <c r="AF296" s="50"/>
      <c r="AG296" t="str">
        <f t="shared" si="114"/>
        <v>5309510</v>
      </c>
    </row>
    <row r="297" spans="1:33" hidden="1" x14ac:dyDescent="0.25">
      <c r="A297" s="7" t="s">
        <v>253</v>
      </c>
      <c r="B297" s="2" t="s">
        <v>1219</v>
      </c>
      <c r="C297" s="4" t="s">
        <v>1218</v>
      </c>
      <c r="D297">
        <f>_xlfn.IFNA(VLOOKUP(A297,'Prior Year data'!$A$1:$T$318,12,FALSE),0)</f>
        <v>478029.27864281752</v>
      </c>
      <c r="E297">
        <f>VLOOKUP(A297,'Basic HH'!$B$1:$Y$319,23,FALSE)</f>
        <v>221523.76989596267</v>
      </c>
      <c r="F297">
        <f>VLOOKUP(A297,'Conc. HH'!$B$1:$Y$319,23,FALSE)</f>
        <v>0</v>
      </c>
      <c r="G297">
        <f>VLOOKUP(A297,'Targeted HH'!$B$1:$Y$319,23,FALSE)</f>
        <v>106862.4089732783</v>
      </c>
      <c r="H297">
        <f>VLOOKUP(A297,'EFIG HH'!$B$1:$Y$319,23,FALSE)</f>
        <v>144893.02293145735</v>
      </c>
      <c r="I297">
        <f t="shared" si="92"/>
        <v>473279.2018006983</v>
      </c>
      <c r="J297">
        <f t="shared" si="93"/>
        <v>0</v>
      </c>
      <c r="K297" s="43">
        <f t="shared" si="94"/>
        <v>473279.2018006983</v>
      </c>
      <c r="L297">
        <f t="shared" si="95"/>
        <v>0</v>
      </c>
      <c r="M297">
        <f t="shared" si="96"/>
        <v>0</v>
      </c>
      <c r="N297" s="43">
        <f t="shared" si="97"/>
        <v>473279.2018006983</v>
      </c>
      <c r="O297">
        <f t="shared" si="98"/>
        <v>0</v>
      </c>
      <c r="P297">
        <f t="shared" si="99"/>
        <v>0</v>
      </c>
      <c r="Q297" s="43">
        <f t="shared" si="100"/>
        <v>473279.2018006983</v>
      </c>
      <c r="R297">
        <f t="shared" si="101"/>
        <v>0</v>
      </c>
      <c r="S297">
        <f t="shared" si="102"/>
        <v>0</v>
      </c>
      <c r="T297" s="43">
        <f t="shared" si="103"/>
        <v>473279.2018006983</v>
      </c>
      <c r="U297">
        <f t="shared" si="104"/>
        <v>0</v>
      </c>
      <c r="V297">
        <f t="shared" si="105"/>
        <v>0</v>
      </c>
      <c r="W297" s="43">
        <f t="shared" si="106"/>
        <v>473279.2018006983</v>
      </c>
      <c r="X297" s="43">
        <f t="shared" si="107"/>
        <v>0</v>
      </c>
      <c r="Y297" s="27">
        <f t="shared" si="108"/>
        <v>3624.9506553898209</v>
      </c>
      <c r="Z297" s="27">
        <f t="shared" si="109"/>
        <v>469654.25114530849</v>
      </c>
      <c r="AA297">
        <f t="shared" si="110"/>
        <v>0</v>
      </c>
      <c r="AB297" s="27">
        <f t="shared" si="111"/>
        <v>469654.25114530849</v>
      </c>
      <c r="AD297" s="27">
        <f t="shared" si="112"/>
        <v>0</v>
      </c>
      <c r="AE297" s="27">
        <f t="shared" si="113"/>
        <v>469654.25114530849</v>
      </c>
      <c r="AF297" s="50"/>
      <c r="AG297" t="str">
        <f t="shared" si="114"/>
        <v>5309540</v>
      </c>
    </row>
    <row r="298" spans="1:33" hidden="1" x14ac:dyDescent="0.25">
      <c r="A298" s="7" t="s">
        <v>625</v>
      </c>
      <c r="B298" s="2" t="s">
        <v>1221</v>
      </c>
      <c r="C298" s="4" t="s">
        <v>1220</v>
      </c>
      <c r="D298">
        <f>_xlfn.IFNA(VLOOKUP(A298,'Prior Year data'!$A$1:$T$318,12,FALSE),0)</f>
        <v>1804.3906687029942</v>
      </c>
      <c r="E298">
        <f>VLOOKUP(A298,'Basic HH'!$B$1:$Y$319,23,FALSE)</f>
        <v>0</v>
      </c>
      <c r="F298">
        <f>VLOOKUP(A298,'Conc. HH'!$B$1:$Y$319,23,FALSE)</f>
        <v>1545.6590177282774</v>
      </c>
      <c r="G298">
        <f>VLOOKUP(A298,'Targeted HH'!$B$1:$Y$319,23,FALSE)</f>
        <v>0</v>
      </c>
      <c r="H298">
        <f>VLOOKUP(A298,'EFIG HH'!$B$1:$Y$319,23,FALSE)</f>
        <v>0</v>
      </c>
      <c r="I298">
        <f t="shared" si="92"/>
        <v>1545.6590177282774</v>
      </c>
      <c r="J298">
        <f t="shared" si="93"/>
        <v>0</v>
      </c>
      <c r="K298" s="43">
        <f t="shared" si="94"/>
        <v>1545.6590177282774</v>
      </c>
      <c r="L298">
        <f t="shared" si="95"/>
        <v>0</v>
      </c>
      <c r="M298">
        <f t="shared" si="96"/>
        <v>0</v>
      </c>
      <c r="N298" s="43">
        <f t="shared" si="97"/>
        <v>1545.6590177282774</v>
      </c>
      <c r="O298">
        <f t="shared" si="98"/>
        <v>0</v>
      </c>
      <c r="P298">
        <f t="shared" si="99"/>
        <v>0</v>
      </c>
      <c r="Q298" s="43">
        <f t="shared" si="100"/>
        <v>1545.6590177282774</v>
      </c>
      <c r="R298">
        <f t="shared" si="101"/>
        <v>0</v>
      </c>
      <c r="S298">
        <f t="shared" si="102"/>
        <v>0</v>
      </c>
      <c r="T298" s="43">
        <f t="shared" si="103"/>
        <v>1545.6590177282774</v>
      </c>
      <c r="U298">
        <f t="shared" si="104"/>
        <v>0</v>
      </c>
      <c r="V298">
        <f t="shared" si="105"/>
        <v>0</v>
      </c>
      <c r="W298" s="43">
        <f t="shared" si="106"/>
        <v>1545.6590177282774</v>
      </c>
      <c r="X298" s="43">
        <f t="shared" si="107"/>
        <v>0</v>
      </c>
      <c r="Y298" s="27">
        <f t="shared" si="108"/>
        <v>11.838546143599077</v>
      </c>
      <c r="Z298" s="27">
        <f t="shared" si="109"/>
        <v>1533.8204715846782</v>
      </c>
      <c r="AA298">
        <f t="shared" si="110"/>
        <v>0</v>
      </c>
      <c r="AB298" s="27">
        <f t="shared" si="111"/>
        <v>1533.8204715846782</v>
      </c>
      <c r="AD298" s="27">
        <f t="shared" si="112"/>
        <v>0</v>
      </c>
      <c r="AE298" s="27">
        <f t="shared" si="113"/>
        <v>1533.8204715846782</v>
      </c>
      <c r="AF298" s="50"/>
      <c r="AG298" t="str">
        <f t="shared" si="114"/>
        <v>5309570</v>
      </c>
    </row>
    <row r="299" spans="1:33" hidden="1" x14ac:dyDescent="0.25">
      <c r="A299" s="7" t="s">
        <v>627</v>
      </c>
      <c r="B299" s="2" t="s">
        <v>1223</v>
      </c>
      <c r="C299" s="4" t="s">
        <v>1222</v>
      </c>
      <c r="D299">
        <f>_xlfn.IFNA(VLOOKUP(A299,'Prior Year data'!$A$1:$T$318,12,FALSE),0)</f>
        <v>86104.344395712717</v>
      </c>
      <c r="E299">
        <f>VLOOKUP(A299,'Basic HH'!$B$1:$Y$319,23,FALSE)</f>
        <v>33880.105984088397</v>
      </c>
      <c r="F299">
        <f>VLOOKUP(A299,'Conc. HH'!$B$1:$Y$319,23,FALSE)</f>
        <v>7949.7449137456952</v>
      </c>
      <c r="G299">
        <f>VLOOKUP(A299,'Targeted HH'!$B$1:$Y$319,23,FALSE)</f>
        <v>16343.662548854325</v>
      </c>
      <c r="H299">
        <f>VLOOKUP(A299,'EFIG HH'!$B$1:$Y$319,23,FALSE)</f>
        <v>22160.109389517012</v>
      </c>
      <c r="I299">
        <f t="shared" si="92"/>
        <v>80333.622836205439</v>
      </c>
      <c r="J299">
        <f t="shared" si="93"/>
        <v>0</v>
      </c>
      <c r="K299" s="43">
        <f t="shared" si="94"/>
        <v>80333.622836205439</v>
      </c>
      <c r="L299">
        <f t="shared" si="95"/>
        <v>0</v>
      </c>
      <c r="M299">
        <f t="shared" si="96"/>
        <v>0</v>
      </c>
      <c r="N299" s="43">
        <f t="shared" si="97"/>
        <v>80333.622836205439</v>
      </c>
      <c r="O299">
        <f t="shared" si="98"/>
        <v>0</v>
      </c>
      <c r="P299">
        <f t="shared" si="99"/>
        <v>0</v>
      </c>
      <c r="Q299" s="43">
        <f t="shared" si="100"/>
        <v>80333.622836205439</v>
      </c>
      <c r="R299">
        <f t="shared" si="101"/>
        <v>0</v>
      </c>
      <c r="S299">
        <f t="shared" si="102"/>
        <v>0</v>
      </c>
      <c r="T299" s="43">
        <f t="shared" si="103"/>
        <v>80333.622836205439</v>
      </c>
      <c r="U299">
        <f t="shared" si="104"/>
        <v>0</v>
      </c>
      <c r="V299">
        <f t="shared" si="105"/>
        <v>0</v>
      </c>
      <c r="W299" s="43">
        <f t="shared" si="106"/>
        <v>80333.622836205439</v>
      </c>
      <c r="X299" s="43">
        <f t="shared" si="107"/>
        <v>0</v>
      </c>
      <c r="Y299" s="27">
        <f t="shared" si="108"/>
        <v>615.29308205808411</v>
      </c>
      <c r="Z299" s="27">
        <f t="shared" si="109"/>
        <v>79718.329754147358</v>
      </c>
      <c r="AA299">
        <f t="shared" si="110"/>
        <v>0</v>
      </c>
      <c r="AB299" s="27">
        <f t="shared" si="111"/>
        <v>79718.329754147358</v>
      </c>
      <c r="AD299" s="27">
        <f t="shared" si="112"/>
        <v>0</v>
      </c>
      <c r="AE299" s="27">
        <f t="shared" si="113"/>
        <v>79718.329754147358</v>
      </c>
      <c r="AF299" s="50"/>
      <c r="AG299" t="str">
        <f t="shared" si="114"/>
        <v>5309600</v>
      </c>
    </row>
    <row r="300" spans="1:33" hidden="1" x14ac:dyDescent="0.25">
      <c r="A300" s="7" t="s">
        <v>629</v>
      </c>
      <c r="B300" s="2" t="s">
        <v>1225</v>
      </c>
      <c r="C300" s="4" t="s">
        <v>1224</v>
      </c>
      <c r="D300">
        <f>_xlfn.IFNA(VLOOKUP(A300,'Prior Year data'!$A$1:$T$318,12,FALSE),0)</f>
        <v>168071.77993523228</v>
      </c>
      <c r="E300">
        <f>VLOOKUP(A300,'Basic HH'!$B$1:$Y$319,23,FALSE)</f>
        <v>72972.535965728792</v>
      </c>
      <c r="F300">
        <f>VLOOKUP(A300,'Conc. HH'!$B$1:$Y$319,23,FALSE)</f>
        <v>19634.015920433372</v>
      </c>
      <c r="G300">
        <f>VLOOKUP(A300,'Targeted HH'!$B$1:$Y$319,23,FALSE)</f>
        <v>50452.477696749607</v>
      </c>
      <c r="H300">
        <f>VLOOKUP(A300,'EFIG HH'!$B$1:$Y$319,23,FALSE)</f>
        <v>68407.703682704276</v>
      </c>
      <c r="I300">
        <f t="shared" si="92"/>
        <v>211466.73326561606</v>
      </c>
      <c r="J300">
        <f t="shared" si="93"/>
        <v>211466.73326561606</v>
      </c>
      <c r="K300" s="43">
        <f t="shared" si="94"/>
        <v>192263.20787946309</v>
      </c>
      <c r="L300">
        <f t="shared" si="95"/>
        <v>0</v>
      </c>
      <c r="M300">
        <f t="shared" si="96"/>
        <v>24191.427944230818</v>
      </c>
      <c r="N300" s="43">
        <f t="shared" si="97"/>
        <v>188805.60684980589</v>
      </c>
      <c r="O300">
        <f t="shared" si="98"/>
        <v>0</v>
      </c>
      <c r="P300">
        <f t="shared" si="99"/>
        <v>20733.826914573612</v>
      </c>
      <c r="Q300" s="43">
        <f t="shared" si="100"/>
        <v>188805.60684980589</v>
      </c>
      <c r="R300">
        <f t="shared" si="101"/>
        <v>0</v>
      </c>
      <c r="S300">
        <f t="shared" si="102"/>
        <v>20733.826914573612</v>
      </c>
      <c r="T300" s="43">
        <f t="shared" si="103"/>
        <v>188805.60684980589</v>
      </c>
      <c r="U300">
        <f t="shared" si="104"/>
        <v>0</v>
      </c>
      <c r="V300">
        <f t="shared" si="105"/>
        <v>20733.826914573612</v>
      </c>
      <c r="W300" s="43">
        <f t="shared" si="106"/>
        <v>188805.60684980589</v>
      </c>
      <c r="X300" s="43">
        <f t="shared" si="107"/>
        <v>22661.126415810169</v>
      </c>
      <c r="Y300" s="27">
        <f t="shared" si="108"/>
        <v>1446.1041298402283</v>
      </c>
      <c r="Z300" s="27">
        <f t="shared" si="109"/>
        <v>187359.50271996565</v>
      </c>
      <c r="AA300">
        <f t="shared" si="110"/>
        <v>0</v>
      </c>
      <c r="AB300" s="27">
        <f t="shared" si="111"/>
        <v>187359.50271996565</v>
      </c>
      <c r="AD300" s="27">
        <f t="shared" si="112"/>
        <v>0</v>
      </c>
      <c r="AE300" s="27">
        <f t="shared" si="113"/>
        <v>187359.50271996565</v>
      </c>
      <c r="AF300" s="50"/>
      <c r="AG300" t="str">
        <f t="shared" si="114"/>
        <v>5309630</v>
      </c>
    </row>
    <row r="301" spans="1:33" hidden="1" x14ac:dyDescent="0.25">
      <c r="A301" s="7" t="s">
        <v>64</v>
      </c>
      <c r="B301" s="2" t="s">
        <v>1226</v>
      </c>
      <c r="C301" s="4" t="s">
        <v>53</v>
      </c>
      <c r="D301">
        <f>_xlfn.IFNA(VLOOKUP(A301,'Prior Year data'!$A$1:$T$318,12,FALSE),0)</f>
        <v>1992086.0054041618</v>
      </c>
      <c r="E301">
        <f>VLOOKUP(A301,'Basic HH'!$B$1:$Y$319,23,FALSE)</f>
        <v>928183.15525119135</v>
      </c>
      <c r="F301">
        <f>VLOOKUP(A301,'Conc. HH'!$B$1:$Y$319,23,FALSE)</f>
        <v>149048.33912906065</v>
      </c>
      <c r="G301">
        <f>VLOOKUP(A301,'Targeted HH'!$B$1:$Y$319,23,FALSE)</f>
        <v>529963.82074722508</v>
      </c>
      <c r="H301">
        <f>VLOOKUP(A301,'EFIG HH'!$B$1:$Y$319,23,FALSE)</f>
        <v>718569.42745481117</v>
      </c>
      <c r="I301">
        <f t="shared" si="92"/>
        <v>2325764.7425822881</v>
      </c>
      <c r="J301">
        <f t="shared" si="93"/>
        <v>2325764.7425822881</v>
      </c>
      <c r="K301" s="43">
        <f t="shared" si="94"/>
        <v>2114559.5019910932</v>
      </c>
      <c r="L301">
        <f t="shared" si="95"/>
        <v>0</v>
      </c>
      <c r="M301">
        <f t="shared" si="96"/>
        <v>122473.4965869314</v>
      </c>
      <c r="N301" s="43">
        <f t="shared" si="97"/>
        <v>2097054.7689558661</v>
      </c>
      <c r="O301">
        <f t="shared" si="98"/>
        <v>0</v>
      </c>
      <c r="P301">
        <f t="shared" si="99"/>
        <v>104968.76355170435</v>
      </c>
      <c r="Q301" s="43">
        <f t="shared" si="100"/>
        <v>2097054.7689558661</v>
      </c>
      <c r="R301">
        <f t="shared" si="101"/>
        <v>0</v>
      </c>
      <c r="S301">
        <f t="shared" si="102"/>
        <v>104968.76355170435</v>
      </c>
      <c r="T301" s="43">
        <f t="shared" si="103"/>
        <v>2097054.7689558661</v>
      </c>
      <c r="U301">
        <f t="shared" si="104"/>
        <v>0</v>
      </c>
      <c r="V301">
        <f t="shared" si="105"/>
        <v>104968.76355170435</v>
      </c>
      <c r="W301" s="43">
        <f t="shared" si="106"/>
        <v>2097054.7689558661</v>
      </c>
      <c r="X301" s="43">
        <f t="shared" si="107"/>
        <v>228709.973626422</v>
      </c>
      <c r="Y301" s="27">
        <f t="shared" si="108"/>
        <v>16061.808822767713</v>
      </c>
      <c r="Z301" s="27">
        <f t="shared" si="109"/>
        <v>2080992.9601330983</v>
      </c>
      <c r="AA301">
        <f t="shared" si="110"/>
        <v>0</v>
      </c>
      <c r="AB301" s="27">
        <f t="shared" si="111"/>
        <v>2080992.9601330983</v>
      </c>
      <c r="AD301" s="27">
        <f t="shared" si="112"/>
        <v>0</v>
      </c>
      <c r="AE301" s="27">
        <f t="shared" si="113"/>
        <v>2080992.9601330983</v>
      </c>
      <c r="AF301" s="50"/>
      <c r="AG301" t="str">
        <f t="shared" si="114"/>
        <v>5309660</v>
      </c>
    </row>
    <row r="302" spans="1:33" hidden="1" x14ac:dyDescent="0.25">
      <c r="A302" s="7" t="s">
        <v>306</v>
      </c>
      <c r="B302" s="2" t="s">
        <v>1228</v>
      </c>
      <c r="C302" s="4" t="s">
        <v>1227</v>
      </c>
      <c r="D302">
        <f>_xlfn.IFNA(VLOOKUP(A302,'Prior Year data'!$A$1:$T$318,12,FALSE),0)</f>
        <v>712153.69481402973</v>
      </c>
      <c r="E302">
        <f>VLOOKUP(A302,'Basic HH'!$B$1:$Y$319,23,FALSE)</f>
        <v>318114.609778938</v>
      </c>
      <c r="F302">
        <f>VLOOKUP(A302,'Conc. HH'!$B$1:$Y$319,23,FALSE)</f>
        <v>0</v>
      </c>
      <c r="G302">
        <f>VLOOKUP(A302,'Targeted HH'!$B$1:$Y$319,23,FALSE)</f>
        <v>152174.3270366526</v>
      </c>
      <c r="H302">
        <f>VLOOKUP(A302,'EFIG HH'!$B$1:$Y$319,23,FALSE)</f>
        <v>209166.35875885526</v>
      </c>
      <c r="I302">
        <f t="shared" si="92"/>
        <v>679455.29557444586</v>
      </c>
      <c r="J302">
        <f t="shared" si="93"/>
        <v>0</v>
      </c>
      <c r="K302" s="43">
        <f t="shared" si="94"/>
        <v>679455.29557444586</v>
      </c>
      <c r="L302">
        <f t="shared" si="95"/>
        <v>0</v>
      </c>
      <c r="M302">
        <f t="shared" si="96"/>
        <v>0</v>
      </c>
      <c r="N302" s="43">
        <f t="shared" si="97"/>
        <v>679455.29557444586</v>
      </c>
      <c r="O302">
        <f t="shared" si="98"/>
        <v>0</v>
      </c>
      <c r="P302">
        <f t="shared" si="99"/>
        <v>0</v>
      </c>
      <c r="Q302" s="43">
        <f t="shared" si="100"/>
        <v>679455.29557444586</v>
      </c>
      <c r="R302">
        <f t="shared" si="101"/>
        <v>0</v>
      </c>
      <c r="S302">
        <f t="shared" si="102"/>
        <v>0</v>
      </c>
      <c r="T302" s="43">
        <f t="shared" si="103"/>
        <v>679455.29557444586</v>
      </c>
      <c r="U302">
        <f t="shared" si="104"/>
        <v>0</v>
      </c>
      <c r="V302">
        <f t="shared" si="105"/>
        <v>0</v>
      </c>
      <c r="W302" s="43">
        <f t="shared" si="106"/>
        <v>679455.29557444586</v>
      </c>
      <c r="X302" s="43">
        <f t="shared" si="107"/>
        <v>0</v>
      </c>
      <c r="Y302" s="27">
        <f t="shared" si="108"/>
        <v>5204.0992074649794</v>
      </c>
      <c r="Z302" s="27">
        <f t="shared" si="109"/>
        <v>674251.1963669809</v>
      </c>
      <c r="AA302">
        <f t="shared" si="110"/>
        <v>0</v>
      </c>
      <c r="AB302" s="27">
        <f t="shared" si="111"/>
        <v>674251.1963669809</v>
      </c>
      <c r="AD302" s="27">
        <f t="shared" si="112"/>
        <v>0</v>
      </c>
      <c r="AE302" s="27">
        <f t="shared" si="113"/>
        <v>674251.1963669809</v>
      </c>
      <c r="AF302" s="50"/>
      <c r="AG302" t="str">
        <f t="shared" si="114"/>
        <v>5309690</v>
      </c>
    </row>
    <row r="303" spans="1:33" hidden="1" x14ac:dyDescent="0.25">
      <c r="A303" s="7" t="s">
        <v>255</v>
      </c>
      <c r="B303" s="2" t="s">
        <v>1230</v>
      </c>
      <c r="C303" s="4" t="s">
        <v>1229</v>
      </c>
      <c r="D303">
        <f>_xlfn.IFNA(VLOOKUP(A303,'Prior Year data'!$A$1:$T$318,12,FALSE),0)</f>
        <v>1227317.1105470448</v>
      </c>
      <c r="E303">
        <f>VLOOKUP(A303,'Basic HH'!$B$1:$Y$319,23,FALSE)</f>
        <v>636772.24836760992</v>
      </c>
      <c r="F303">
        <f>VLOOKUP(A303,'Conc. HH'!$B$1:$Y$319,23,FALSE)</f>
        <v>0</v>
      </c>
      <c r="G303">
        <f>VLOOKUP(A303,'Targeted HH'!$B$1:$Y$319,23,FALSE)</f>
        <v>315977.47594451712</v>
      </c>
      <c r="H303">
        <f>VLOOKUP(A303,'EFIG HH'!$B$1:$Y$319,23,FALSE)</f>
        <v>428428.78153066209</v>
      </c>
      <c r="I303">
        <f t="shared" si="92"/>
        <v>1381178.5058427891</v>
      </c>
      <c r="J303">
        <f t="shared" si="93"/>
        <v>1381178.5058427891</v>
      </c>
      <c r="K303" s="43">
        <f t="shared" si="94"/>
        <v>1255752.174759093</v>
      </c>
      <c r="L303">
        <f t="shared" si="95"/>
        <v>0</v>
      </c>
      <c r="M303">
        <f t="shared" si="96"/>
        <v>28435.064212048193</v>
      </c>
      <c r="N303" s="43">
        <f t="shared" si="97"/>
        <v>1251688.0447902214</v>
      </c>
      <c r="O303">
        <f t="shared" si="98"/>
        <v>0</v>
      </c>
      <c r="P303">
        <f t="shared" si="99"/>
        <v>24370.934243176598</v>
      </c>
      <c r="Q303" s="43">
        <f t="shared" si="100"/>
        <v>1251688.0447902214</v>
      </c>
      <c r="R303">
        <f t="shared" si="101"/>
        <v>0</v>
      </c>
      <c r="S303">
        <f t="shared" si="102"/>
        <v>24370.934243176598</v>
      </c>
      <c r="T303" s="43">
        <f t="shared" si="103"/>
        <v>1251688.0447902214</v>
      </c>
      <c r="U303">
        <f t="shared" si="104"/>
        <v>0</v>
      </c>
      <c r="V303">
        <f t="shared" si="105"/>
        <v>24370.934243176598</v>
      </c>
      <c r="W303" s="43">
        <f t="shared" si="106"/>
        <v>1251688.0447902214</v>
      </c>
      <c r="X303" s="43">
        <f t="shared" si="107"/>
        <v>129490.4610525677</v>
      </c>
      <c r="Y303" s="27">
        <f t="shared" si="108"/>
        <v>9586.957087999428</v>
      </c>
      <c r="Z303" s="27">
        <f t="shared" si="109"/>
        <v>1242101.0877022219</v>
      </c>
      <c r="AA303">
        <f t="shared" si="110"/>
        <v>0</v>
      </c>
      <c r="AB303" s="27">
        <f t="shared" si="111"/>
        <v>1242101.0877022219</v>
      </c>
      <c r="AD303" s="27">
        <f t="shared" si="112"/>
        <v>0</v>
      </c>
      <c r="AE303" s="27">
        <f t="shared" si="113"/>
        <v>1242101.0877022219</v>
      </c>
      <c r="AF303" s="50"/>
      <c r="AG303" t="str">
        <f t="shared" si="114"/>
        <v>5309720</v>
      </c>
    </row>
    <row r="304" spans="1:33" hidden="1" x14ac:dyDescent="0.25">
      <c r="A304" s="7" t="s">
        <v>68</v>
      </c>
      <c r="B304" s="2" t="s">
        <v>1231</v>
      </c>
      <c r="C304" s="4" t="s">
        <v>13</v>
      </c>
      <c r="D304">
        <f>_xlfn.IFNA(VLOOKUP(A304,'Prior Year data'!$A$1:$T$318,12,FALSE),0)</f>
        <v>0</v>
      </c>
      <c r="E304">
        <f>VLOOKUP(A304,'Basic HH'!$B$1:$Y$319,23,FALSE)</f>
        <v>0</v>
      </c>
      <c r="F304">
        <f>VLOOKUP(A304,'Conc. HH'!$B$1:$Y$319,23,FALSE)</f>
        <v>0</v>
      </c>
      <c r="G304">
        <f>VLOOKUP(A304,'Targeted HH'!$B$1:$Y$319,23,FALSE)</f>
        <v>0</v>
      </c>
      <c r="H304">
        <f>VLOOKUP(A304,'EFIG HH'!$B$1:$Y$319,23,FALSE)</f>
        <v>0</v>
      </c>
      <c r="I304">
        <f t="shared" si="92"/>
        <v>0</v>
      </c>
      <c r="J304">
        <f t="shared" si="93"/>
        <v>0</v>
      </c>
      <c r="K304" s="43">
        <f t="shared" si="94"/>
        <v>0</v>
      </c>
      <c r="L304">
        <f t="shared" si="95"/>
        <v>0</v>
      </c>
      <c r="M304">
        <f t="shared" si="96"/>
        <v>0</v>
      </c>
      <c r="N304" s="43">
        <f t="shared" si="97"/>
        <v>0</v>
      </c>
      <c r="O304">
        <f t="shared" si="98"/>
        <v>0</v>
      </c>
      <c r="P304">
        <f t="shared" si="99"/>
        <v>0</v>
      </c>
      <c r="Q304" s="43">
        <f t="shared" si="100"/>
        <v>0</v>
      </c>
      <c r="R304">
        <f t="shared" si="101"/>
        <v>0</v>
      </c>
      <c r="S304">
        <f t="shared" si="102"/>
        <v>0</v>
      </c>
      <c r="T304" s="43">
        <f t="shared" si="103"/>
        <v>0</v>
      </c>
      <c r="U304">
        <f t="shared" si="104"/>
        <v>0</v>
      </c>
      <c r="V304">
        <f t="shared" si="105"/>
        <v>0</v>
      </c>
      <c r="W304" s="43">
        <f t="shared" si="106"/>
        <v>0</v>
      </c>
      <c r="X304" s="43">
        <f t="shared" si="107"/>
        <v>0</v>
      </c>
      <c r="Y304" s="27">
        <f t="shared" si="108"/>
        <v>0</v>
      </c>
      <c r="Z304" s="27">
        <f t="shared" si="109"/>
        <v>0</v>
      </c>
      <c r="AA304">
        <f t="shared" si="110"/>
        <v>0</v>
      </c>
      <c r="AB304" s="27">
        <f t="shared" si="111"/>
        <v>0</v>
      </c>
      <c r="AD304" s="27">
        <f t="shared" si="112"/>
        <v>0</v>
      </c>
      <c r="AE304" s="27">
        <f t="shared" si="113"/>
        <v>0</v>
      </c>
      <c r="AF304" s="50"/>
      <c r="AG304" t="str">
        <f t="shared" si="114"/>
        <v>5309740</v>
      </c>
    </row>
    <row r="305" spans="1:33" x14ac:dyDescent="0.25">
      <c r="A305" s="7" t="s">
        <v>631</v>
      </c>
      <c r="B305" s="2" t="s">
        <v>1233</v>
      </c>
      <c r="C305" s="4" t="s">
        <v>1232</v>
      </c>
      <c r="D305">
        <f>_xlfn.IFNA(VLOOKUP(A305,'Prior Year data'!$A$1:$T$318,12,FALSE),0)</f>
        <v>212702.66845369089</v>
      </c>
      <c r="E305">
        <f>VLOOKUP(A305,'Basic HH'!$B$1:$Y$319,23,FALSE)</f>
        <v>84265.90462709163</v>
      </c>
      <c r="F305">
        <f>VLOOKUP(A305,'Conc. HH'!$B$1:$Y$319,23,FALSE)</f>
        <v>22672.613622405206</v>
      </c>
      <c r="G305">
        <f>VLOOKUP(A305,'Targeted HH'!$B$1:$Y$319,23,FALSE)</f>
        <v>47876.978396719205</v>
      </c>
      <c r="H305">
        <f>VLOOKUP(A305,'EFIG HH'!$B$1:$Y$319,23,FALSE)</f>
        <v>64915.625572874553</v>
      </c>
      <c r="I305">
        <f t="shared" si="92"/>
        <v>219731.12221909058</v>
      </c>
      <c r="J305">
        <f t="shared" si="93"/>
        <v>219731.12221909058</v>
      </c>
      <c r="K305" s="43">
        <f t="shared" si="94"/>
        <v>199777.09863107745</v>
      </c>
      <c r="L305">
        <f t="shared" si="95"/>
        <v>12925.569822613441</v>
      </c>
      <c r="M305">
        <f t="shared" si="96"/>
        <v>0</v>
      </c>
      <c r="N305" s="43">
        <f t="shared" si="97"/>
        <v>212702.66845369089</v>
      </c>
      <c r="O305">
        <f t="shared" si="98"/>
        <v>0</v>
      </c>
      <c r="P305">
        <f t="shared" si="99"/>
        <v>0</v>
      </c>
      <c r="Q305" s="43">
        <f t="shared" si="100"/>
        <v>212702.66845369089</v>
      </c>
      <c r="R305">
        <f t="shared" si="101"/>
        <v>0</v>
      </c>
      <c r="S305">
        <f t="shared" si="102"/>
        <v>0</v>
      </c>
      <c r="T305" s="43">
        <f t="shared" si="103"/>
        <v>212702.66845369089</v>
      </c>
      <c r="U305">
        <f t="shared" si="104"/>
        <v>0</v>
      </c>
      <c r="V305">
        <f t="shared" si="105"/>
        <v>0</v>
      </c>
      <c r="W305" s="43">
        <f t="shared" si="106"/>
        <v>212702.66845369089</v>
      </c>
      <c r="X305" s="43">
        <f t="shared" si="107"/>
        <v>7028.4537653996958</v>
      </c>
      <c r="Y305" s="27">
        <f t="shared" si="108"/>
        <v>1629.1370389418894</v>
      </c>
      <c r="Z305" s="27">
        <f t="shared" si="109"/>
        <v>211073.53141474898</v>
      </c>
      <c r="AA305">
        <f t="shared" si="110"/>
        <v>0</v>
      </c>
      <c r="AB305" s="27">
        <f t="shared" si="111"/>
        <v>211073.53141474898</v>
      </c>
      <c r="AD305" s="27">
        <f t="shared" si="112"/>
        <v>0</v>
      </c>
      <c r="AE305" s="27">
        <f t="shared" si="113"/>
        <v>211073.53141474898</v>
      </c>
      <c r="AF305" s="50"/>
      <c r="AG305" t="str">
        <f t="shared" si="114"/>
        <v>5309750</v>
      </c>
    </row>
    <row r="306" spans="1:33" hidden="1" x14ac:dyDescent="0.25">
      <c r="A306" s="7" t="s">
        <v>256</v>
      </c>
      <c r="B306" s="2" t="s">
        <v>1235</v>
      </c>
      <c r="C306" s="4" t="s">
        <v>1234</v>
      </c>
      <c r="D306">
        <f>_xlfn.IFNA(VLOOKUP(A306,'Prior Year data'!$A$1:$T$318,12,FALSE),0)</f>
        <v>196252.2039415584</v>
      </c>
      <c r="E306">
        <f>VLOOKUP(A306,'Basic HH'!$B$1:$Y$319,23,FALSE)</f>
        <v>172875.41258547665</v>
      </c>
      <c r="F306">
        <f>VLOOKUP(A306,'Conc. HH'!$B$1:$Y$319,23,FALSE)</f>
        <v>0</v>
      </c>
      <c r="G306">
        <f>VLOOKUP(A306,'Targeted HH'!$B$1:$Y$319,23,FALSE)</f>
        <v>0</v>
      </c>
      <c r="H306">
        <f>VLOOKUP(A306,'EFIG HH'!$B$1:$Y$319,23,FALSE)</f>
        <v>0</v>
      </c>
      <c r="I306">
        <f t="shared" si="92"/>
        <v>172875.41258547665</v>
      </c>
      <c r="J306">
        <f t="shared" si="93"/>
        <v>0</v>
      </c>
      <c r="K306" s="43">
        <f t="shared" si="94"/>
        <v>172875.41258547665</v>
      </c>
      <c r="L306">
        <f t="shared" si="95"/>
        <v>0</v>
      </c>
      <c r="M306">
        <f t="shared" si="96"/>
        <v>0</v>
      </c>
      <c r="N306" s="43">
        <f t="shared" si="97"/>
        <v>172875.41258547665</v>
      </c>
      <c r="O306">
        <f t="shared" si="98"/>
        <v>0</v>
      </c>
      <c r="P306">
        <f t="shared" si="99"/>
        <v>0</v>
      </c>
      <c r="Q306" s="43">
        <f t="shared" si="100"/>
        <v>172875.41258547665</v>
      </c>
      <c r="R306">
        <f t="shared" si="101"/>
        <v>0</v>
      </c>
      <c r="S306">
        <f t="shared" si="102"/>
        <v>0</v>
      </c>
      <c r="T306" s="43">
        <f t="shared" si="103"/>
        <v>172875.41258547665</v>
      </c>
      <c r="U306">
        <f t="shared" si="104"/>
        <v>0</v>
      </c>
      <c r="V306">
        <f t="shared" si="105"/>
        <v>0</v>
      </c>
      <c r="W306" s="43">
        <f t="shared" si="106"/>
        <v>172875.41258547665</v>
      </c>
      <c r="X306" s="43">
        <f t="shared" si="107"/>
        <v>0</v>
      </c>
      <c r="Y306" s="27">
        <f t="shared" si="108"/>
        <v>1324.0912293805018</v>
      </c>
      <c r="Z306" s="27">
        <f t="shared" si="109"/>
        <v>171551.32135609613</v>
      </c>
      <c r="AA306">
        <f t="shared" si="110"/>
        <v>0</v>
      </c>
      <c r="AB306" s="27">
        <f t="shared" si="111"/>
        <v>171551.32135609613</v>
      </c>
      <c r="AD306" s="27">
        <f t="shared" si="112"/>
        <v>0</v>
      </c>
      <c r="AE306" s="27">
        <f t="shared" si="113"/>
        <v>171551.32135609613</v>
      </c>
      <c r="AF306" s="50"/>
      <c r="AG306" t="str">
        <f t="shared" si="114"/>
        <v>5309780</v>
      </c>
    </row>
    <row r="307" spans="1:33" hidden="1" x14ac:dyDescent="0.25">
      <c r="A307" s="7" t="s">
        <v>307</v>
      </c>
      <c r="B307" s="2" t="s">
        <v>1237</v>
      </c>
      <c r="C307" s="4" t="s">
        <v>1236</v>
      </c>
      <c r="D307">
        <f>_xlfn.IFNA(VLOOKUP(A307,'Prior Year data'!$A$1:$T$318,12,FALSE),0)</f>
        <v>250469.01500773829</v>
      </c>
      <c r="E307">
        <f>VLOOKUP(A307,'Basic HH'!$B$1:$Y$319,23,FALSE)</f>
        <v>131176.82060506009</v>
      </c>
      <c r="F307">
        <f>VLOOKUP(A307,'Conc. HH'!$B$1:$Y$319,23,FALSE)</f>
        <v>0</v>
      </c>
      <c r="G307">
        <f>VLOOKUP(A307,'Targeted HH'!$B$1:$Y$319,23,FALSE)</f>
        <v>63279.308843000123</v>
      </c>
      <c r="H307">
        <f>VLOOKUP(A307,'EFIG HH'!$B$1:$Y$319,23,FALSE)</f>
        <v>85799.397892745328</v>
      </c>
      <c r="I307">
        <f t="shared" si="92"/>
        <v>280255.52734080551</v>
      </c>
      <c r="J307">
        <f t="shared" si="93"/>
        <v>280255.52734080551</v>
      </c>
      <c r="K307" s="43">
        <f t="shared" si="94"/>
        <v>254805.21631179447</v>
      </c>
      <c r="L307">
        <f t="shared" si="95"/>
        <v>0</v>
      </c>
      <c r="M307">
        <f t="shared" si="96"/>
        <v>4336.2013040561869</v>
      </c>
      <c r="N307" s="43">
        <f t="shared" si="97"/>
        <v>254185.4573571652</v>
      </c>
      <c r="O307">
        <f t="shared" si="98"/>
        <v>0</v>
      </c>
      <c r="P307">
        <f t="shared" si="99"/>
        <v>3716.442349426914</v>
      </c>
      <c r="Q307" s="43">
        <f t="shared" si="100"/>
        <v>254185.4573571652</v>
      </c>
      <c r="R307">
        <f t="shared" si="101"/>
        <v>0</v>
      </c>
      <c r="S307">
        <f t="shared" si="102"/>
        <v>3716.442349426914</v>
      </c>
      <c r="T307" s="43">
        <f t="shared" si="103"/>
        <v>254185.4573571652</v>
      </c>
      <c r="U307">
        <f t="shared" si="104"/>
        <v>0</v>
      </c>
      <c r="V307">
        <f t="shared" si="105"/>
        <v>3716.442349426914</v>
      </c>
      <c r="W307" s="43">
        <f t="shared" si="106"/>
        <v>254185.4573571652</v>
      </c>
      <c r="X307" s="43">
        <f t="shared" si="107"/>
        <v>26070.069983640307</v>
      </c>
      <c r="Y307" s="27">
        <f t="shared" si="108"/>
        <v>1946.8629441811611</v>
      </c>
      <c r="Z307" s="27">
        <f t="shared" si="109"/>
        <v>252238.59441298404</v>
      </c>
      <c r="AA307">
        <f t="shared" si="110"/>
        <v>0</v>
      </c>
      <c r="AB307" s="27">
        <f t="shared" si="111"/>
        <v>252238.59441298404</v>
      </c>
      <c r="AD307" s="27">
        <f t="shared" si="112"/>
        <v>0</v>
      </c>
      <c r="AE307" s="27">
        <f t="shared" si="113"/>
        <v>252238.59441298404</v>
      </c>
      <c r="AF307" s="50"/>
      <c r="AG307" t="str">
        <f t="shared" si="114"/>
        <v>5309810</v>
      </c>
    </row>
    <row r="308" spans="1:33" x14ac:dyDescent="0.25">
      <c r="A308" s="7" t="s">
        <v>70</v>
      </c>
      <c r="B308" s="2" t="s">
        <v>1238</v>
      </c>
      <c r="C308" s="4" t="s">
        <v>19</v>
      </c>
      <c r="D308">
        <f>_xlfn.IFNA(VLOOKUP(A308,'Prior Year data'!$A$1:$T$318,12,FALSE),0)</f>
        <v>82909.542787263592</v>
      </c>
      <c r="E308">
        <f>VLOOKUP(A308,'Basic HH'!$B$1:$Y$319,23,FALSE)</f>
        <v>27938.677967940141</v>
      </c>
      <c r="F308">
        <f>VLOOKUP(A308,'Conc. HH'!$B$1:$Y$319,23,FALSE)</f>
        <v>7361.3811916204668</v>
      </c>
      <c r="G308">
        <f>VLOOKUP(A308,'Targeted HH'!$B$1:$Y$319,23,FALSE)</f>
        <v>20388.675402595105</v>
      </c>
      <c r="H308">
        <f>VLOOKUP(A308,'EFIG HH'!$B$1:$Y$319,23,FALSE)</f>
        <v>28112.107567798615</v>
      </c>
      <c r="I308">
        <f t="shared" si="92"/>
        <v>83800.842129954341</v>
      </c>
      <c r="J308">
        <f t="shared" si="93"/>
        <v>83800.842129954341</v>
      </c>
      <c r="K308" s="43">
        <f t="shared" si="94"/>
        <v>76190.795980510011</v>
      </c>
      <c r="L308">
        <f t="shared" si="95"/>
        <v>6718.746806753581</v>
      </c>
      <c r="M308">
        <f t="shared" si="96"/>
        <v>0</v>
      </c>
      <c r="N308" s="43">
        <f t="shared" si="97"/>
        <v>82909.542787263592</v>
      </c>
      <c r="O308">
        <f t="shared" si="98"/>
        <v>0</v>
      </c>
      <c r="P308">
        <f t="shared" si="99"/>
        <v>0</v>
      </c>
      <c r="Q308" s="43">
        <f t="shared" si="100"/>
        <v>82909.542787263592</v>
      </c>
      <c r="R308">
        <f t="shared" si="101"/>
        <v>0</v>
      </c>
      <c r="S308">
        <f t="shared" si="102"/>
        <v>0</v>
      </c>
      <c r="T308" s="43">
        <f t="shared" si="103"/>
        <v>82909.542787263592</v>
      </c>
      <c r="U308">
        <f t="shared" si="104"/>
        <v>0</v>
      </c>
      <c r="V308">
        <f t="shared" si="105"/>
        <v>0</v>
      </c>
      <c r="W308" s="43">
        <f t="shared" si="106"/>
        <v>82909.542787263592</v>
      </c>
      <c r="X308" s="43">
        <f t="shared" si="107"/>
        <v>891.29934269074874</v>
      </c>
      <c r="Y308" s="27">
        <f t="shared" si="108"/>
        <v>635.02262580159322</v>
      </c>
      <c r="Z308" s="27">
        <f t="shared" si="109"/>
        <v>82274.520161462002</v>
      </c>
      <c r="AA308">
        <f t="shared" si="110"/>
        <v>0</v>
      </c>
      <c r="AB308" s="27">
        <f t="shared" si="111"/>
        <v>82274.520161462002</v>
      </c>
      <c r="AD308" s="27">
        <f t="shared" si="112"/>
        <v>0</v>
      </c>
      <c r="AE308" s="27">
        <f t="shared" si="113"/>
        <v>82274.520161462002</v>
      </c>
      <c r="AF308" s="50"/>
      <c r="AG308" t="str">
        <f t="shared" si="114"/>
        <v>5300955</v>
      </c>
    </row>
    <row r="309" spans="1:33" x14ac:dyDescent="0.25">
      <c r="A309" s="7" t="s">
        <v>258</v>
      </c>
      <c r="B309" s="2" t="s">
        <v>1240</v>
      </c>
      <c r="C309" s="4" t="s">
        <v>1239</v>
      </c>
      <c r="D309">
        <f>_xlfn.IFNA(VLOOKUP(A309,'Prior Year data'!$A$1:$T$318,12,FALSE),0)</f>
        <v>52129.492671622822</v>
      </c>
      <c r="E309">
        <f>VLOOKUP(A309,'Basic HH'!$B$1:$Y$319,23,FALSE)</f>
        <v>25192.899321501623</v>
      </c>
      <c r="F309">
        <f>VLOOKUP(A309,'Conc. HH'!$B$1:$Y$319,23,FALSE)</f>
        <v>0</v>
      </c>
      <c r="G309">
        <f>VLOOKUP(A309,'Targeted HH'!$B$1:$Y$319,23,FALSE)</f>
        <v>12152.979844019892</v>
      </c>
      <c r="H309">
        <f>VLOOKUP(A309,'EFIG HH'!$B$1:$Y$319,23,FALSE)</f>
        <v>16478.030058871624</v>
      </c>
      <c r="I309">
        <f t="shared" si="92"/>
        <v>53823.909224393137</v>
      </c>
      <c r="J309">
        <f t="shared" si="93"/>
        <v>53823.909224393137</v>
      </c>
      <c r="K309" s="43">
        <f t="shared" si="94"/>
        <v>48936.1011459738</v>
      </c>
      <c r="L309">
        <f t="shared" si="95"/>
        <v>3193.3915256490218</v>
      </c>
      <c r="M309">
        <f t="shared" si="96"/>
        <v>0</v>
      </c>
      <c r="N309" s="43">
        <f t="shared" si="97"/>
        <v>52129.492671622822</v>
      </c>
      <c r="O309">
        <f t="shared" si="98"/>
        <v>0</v>
      </c>
      <c r="P309">
        <f t="shared" si="99"/>
        <v>0</v>
      </c>
      <c r="Q309" s="43">
        <f t="shared" si="100"/>
        <v>52129.492671622822</v>
      </c>
      <c r="R309">
        <f t="shared" si="101"/>
        <v>0</v>
      </c>
      <c r="S309">
        <f t="shared" si="102"/>
        <v>0</v>
      </c>
      <c r="T309" s="43">
        <f t="shared" si="103"/>
        <v>52129.492671622822</v>
      </c>
      <c r="U309">
        <f t="shared" si="104"/>
        <v>0</v>
      </c>
      <c r="V309">
        <f t="shared" si="105"/>
        <v>0</v>
      </c>
      <c r="W309" s="43">
        <f t="shared" si="106"/>
        <v>52129.492671622822</v>
      </c>
      <c r="X309" s="43">
        <f t="shared" si="107"/>
        <v>1694.4165527703153</v>
      </c>
      <c r="Y309" s="27">
        <f t="shared" si="108"/>
        <v>399.27137703531179</v>
      </c>
      <c r="Z309" s="27">
        <f t="shared" si="109"/>
        <v>51730.221294587507</v>
      </c>
      <c r="AA309">
        <f t="shared" si="110"/>
        <v>0</v>
      </c>
      <c r="AB309" s="27">
        <f t="shared" si="111"/>
        <v>51730.221294587507</v>
      </c>
      <c r="AD309" s="27">
        <f t="shared" si="112"/>
        <v>0</v>
      </c>
      <c r="AE309" s="27">
        <f t="shared" si="113"/>
        <v>51730.221294587507</v>
      </c>
      <c r="AF309" s="50"/>
      <c r="AG309" t="str">
        <f t="shared" si="114"/>
        <v>5309840</v>
      </c>
    </row>
    <row r="310" spans="1:33" hidden="1" x14ac:dyDescent="0.25">
      <c r="A310" s="7" t="s">
        <v>633</v>
      </c>
      <c r="B310" s="2" t="s">
        <v>1242</v>
      </c>
      <c r="C310" s="4" t="s">
        <v>1241</v>
      </c>
      <c r="D310">
        <f>_xlfn.IFNA(VLOOKUP(A310,'Prior Year data'!$A$1:$T$318,12,FALSE),0)</f>
        <v>106610.93639153497</v>
      </c>
      <c r="E310">
        <f>VLOOKUP(A310,'Basic HH'!$B$1:$Y$319,23,FALSE)</f>
        <v>37011.539395834203</v>
      </c>
      <c r="F310">
        <f>VLOOKUP(A310,'Conc. HH'!$B$1:$Y$319,23,FALSE)</f>
        <v>9623.296974698922</v>
      </c>
      <c r="G310">
        <f>VLOOKUP(A310,'Targeted HH'!$B$1:$Y$319,23,FALSE)</f>
        <v>19756.00479126177</v>
      </c>
      <c r="H310">
        <f>VLOOKUP(A310,'EFIG HH'!$B$1:$Y$319,23,FALSE)</f>
        <v>24933.148748039624</v>
      </c>
      <c r="I310">
        <f t="shared" si="92"/>
        <v>91323.989909834519</v>
      </c>
      <c r="J310">
        <f t="shared" si="93"/>
        <v>0</v>
      </c>
      <c r="K310" s="43">
        <f t="shared" si="94"/>
        <v>91323.989909834519</v>
      </c>
      <c r="L310">
        <f t="shared" si="95"/>
        <v>0</v>
      </c>
      <c r="M310">
        <f t="shared" si="96"/>
        <v>0</v>
      </c>
      <c r="N310" s="43">
        <f t="shared" si="97"/>
        <v>91323.989909834519</v>
      </c>
      <c r="O310">
        <f t="shared" si="98"/>
        <v>0</v>
      </c>
      <c r="P310">
        <f t="shared" si="99"/>
        <v>0</v>
      </c>
      <c r="Q310" s="43">
        <f t="shared" si="100"/>
        <v>91323.989909834519</v>
      </c>
      <c r="R310">
        <f t="shared" si="101"/>
        <v>0</v>
      </c>
      <c r="S310">
        <f t="shared" si="102"/>
        <v>0</v>
      </c>
      <c r="T310" s="43">
        <f t="shared" si="103"/>
        <v>91323.989909834519</v>
      </c>
      <c r="U310">
        <f t="shared" si="104"/>
        <v>0</v>
      </c>
      <c r="V310">
        <f t="shared" si="105"/>
        <v>0</v>
      </c>
      <c r="W310" s="43">
        <f t="shared" si="106"/>
        <v>91323.989909834519</v>
      </c>
      <c r="X310" s="43">
        <f t="shared" si="107"/>
        <v>0</v>
      </c>
      <c r="Y310" s="27">
        <f t="shared" si="108"/>
        <v>699.47074753534957</v>
      </c>
      <c r="Z310" s="27">
        <f t="shared" si="109"/>
        <v>90624.51916229917</v>
      </c>
      <c r="AA310">
        <f t="shared" si="110"/>
        <v>0</v>
      </c>
      <c r="AB310" s="27">
        <f t="shared" si="111"/>
        <v>90624.51916229917</v>
      </c>
      <c r="AD310" s="27">
        <f t="shared" si="112"/>
        <v>0</v>
      </c>
      <c r="AE310" s="27">
        <f t="shared" si="113"/>
        <v>90624.51916229917</v>
      </c>
      <c r="AF310" s="50"/>
      <c r="AG310" t="str">
        <f t="shared" si="114"/>
        <v>5309870</v>
      </c>
    </row>
    <row r="311" spans="1:33" hidden="1" x14ac:dyDescent="0.25">
      <c r="A311" s="7" t="s">
        <v>635</v>
      </c>
      <c r="B311" s="2" t="s">
        <v>1244</v>
      </c>
      <c r="C311" s="4" t="s">
        <v>1243</v>
      </c>
      <c r="D311">
        <f>_xlfn.IFNA(VLOOKUP(A311,'Prior Year data'!$A$1:$T$318,12,FALSE),0)</f>
        <v>26931.746411086715</v>
      </c>
      <c r="E311">
        <f>VLOOKUP(A311,'Basic HH'!$B$1:$Y$319,23,FALSE)</f>
        <v>13899.530660138833</v>
      </c>
      <c r="F311">
        <f>VLOOKUP(A311,'Conc. HH'!$B$1:$Y$319,23,FALSE)</f>
        <v>2133.5378748984335</v>
      </c>
      <c r="G311">
        <f>VLOOKUP(A311,'Targeted HH'!$B$1:$Y$319,23,FALSE)</f>
        <v>6705.0923277351094</v>
      </c>
      <c r="H311">
        <f>VLOOKUP(A311,'EFIG HH'!$B$1:$Y$319,23,FALSE)</f>
        <v>9091.3269290326189</v>
      </c>
      <c r="I311">
        <f t="shared" si="92"/>
        <v>31829.487791804997</v>
      </c>
      <c r="J311">
        <f t="shared" si="93"/>
        <v>31829.487791804997</v>
      </c>
      <c r="K311" s="43">
        <f t="shared" si="94"/>
        <v>28939.01718492038</v>
      </c>
      <c r="L311">
        <f t="shared" si="95"/>
        <v>0</v>
      </c>
      <c r="M311">
        <f t="shared" si="96"/>
        <v>2007.2707738336649</v>
      </c>
      <c r="N311" s="43">
        <f t="shared" si="97"/>
        <v>28652.124591791613</v>
      </c>
      <c r="O311">
        <f t="shared" si="98"/>
        <v>0</v>
      </c>
      <c r="P311">
        <f t="shared" si="99"/>
        <v>1720.3781807048981</v>
      </c>
      <c r="Q311" s="43">
        <f t="shared" si="100"/>
        <v>28652.124591791613</v>
      </c>
      <c r="R311">
        <f t="shared" si="101"/>
        <v>0</v>
      </c>
      <c r="S311">
        <f t="shared" si="102"/>
        <v>1720.3781807048981</v>
      </c>
      <c r="T311" s="43">
        <f t="shared" si="103"/>
        <v>28652.124591791613</v>
      </c>
      <c r="U311">
        <f t="shared" si="104"/>
        <v>0</v>
      </c>
      <c r="V311">
        <f t="shared" si="105"/>
        <v>1720.3781807048981</v>
      </c>
      <c r="W311" s="43">
        <f t="shared" si="106"/>
        <v>28652.124591791613</v>
      </c>
      <c r="X311" s="43">
        <f t="shared" si="107"/>
        <v>3177.3632000133839</v>
      </c>
      <c r="Y311" s="27">
        <f t="shared" si="108"/>
        <v>219.45299396668432</v>
      </c>
      <c r="Z311" s="27">
        <f t="shared" si="109"/>
        <v>28432.67159782493</v>
      </c>
      <c r="AA311">
        <f t="shared" si="110"/>
        <v>0</v>
      </c>
      <c r="AB311" s="27">
        <f t="shared" si="111"/>
        <v>28432.67159782493</v>
      </c>
      <c r="AD311" s="27">
        <f t="shared" si="112"/>
        <v>0</v>
      </c>
      <c r="AE311" s="27">
        <f t="shared" si="113"/>
        <v>28432.67159782493</v>
      </c>
      <c r="AF311" s="50"/>
      <c r="AG311" t="str">
        <f t="shared" si="114"/>
        <v>5309900</v>
      </c>
    </row>
    <row r="312" spans="1:33" hidden="1" x14ac:dyDescent="0.25">
      <c r="A312" s="7" t="s">
        <v>637</v>
      </c>
      <c r="B312" s="2" t="s">
        <v>1246</v>
      </c>
      <c r="C312" s="4" t="s">
        <v>1245</v>
      </c>
      <c r="D312">
        <f>_xlfn.IFNA(VLOOKUP(A312,'Prior Year data'!$A$1:$T$318,12,FALSE),0)</f>
        <v>209656.21919548104</v>
      </c>
      <c r="E312">
        <f>VLOOKUP(A312,'Basic HH'!$B$1:$Y$319,23,FALSE)</f>
        <v>86872.066625867665</v>
      </c>
      <c r="F312">
        <f>VLOOKUP(A312,'Conc. HH'!$B$1:$Y$319,23,FALSE)</f>
        <v>18754.397102367388</v>
      </c>
      <c r="G312">
        <f>VLOOKUP(A312,'Targeted HH'!$B$1:$Y$319,23,FALSE)</f>
        <v>41906.827048344443</v>
      </c>
      <c r="H312">
        <f>VLOOKUP(A312,'EFIG HH'!$B$1:$Y$319,23,FALSE)</f>
        <v>56820.793306453874</v>
      </c>
      <c r="I312">
        <f t="shared" si="92"/>
        <v>204354.08408303338</v>
      </c>
      <c r="J312">
        <f t="shared" si="93"/>
        <v>0</v>
      </c>
      <c r="K312" s="43">
        <f t="shared" si="94"/>
        <v>204354.08408303338</v>
      </c>
      <c r="L312">
        <f t="shared" si="95"/>
        <v>0</v>
      </c>
      <c r="M312">
        <f t="shared" si="96"/>
        <v>0</v>
      </c>
      <c r="N312" s="43">
        <f t="shared" si="97"/>
        <v>204354.08408303338</v>
      </c>
      <c r="O312">
        <f t="shared" si="98"/>
        <v>0</v>
      </c>
      <c r="P312">
        <f t="shared" si="99"/>
        <v>0</v>
      </c>
      <c r="Q312" s="43">
        <f t="shared" si="100"/>
        <v>204354.08408303338</v>
      </c>
      <c r="R312">
        <f t="shared" si="101"/>
        <v>0</v>
      </c>
      <c r="S312">
        <f t="shared" si="102"/>
        <v>0</v>
      </c>
      <c r="T312" s="43">
        <f t="shared" si="103"/>
        <v>204354.08408303338</v>
      </c>
      <c r="U312">
        <f t="shared" si="104"/>
        <v>0</v>
      </c>
      <c r="V312">
        <f t="shared" si="105"/>
        <v>0</v>
      </c>
      <c r="W312" s="43">
        <f t="shared" si="106"/>
        <v>204354.08408303338</v>
      </c>
      <c r="X312" s="43">
        <f t="shared" si="107"/>
        <v>0</v>
      </c>
      <c r="Y312" s="27">
        <f t="shared" si="108"/>
        <v>1565.1933746717316</v>
      </c>
      <c r="Z312" s="27">
        <f t="shared" si="109"/>
        <v>202788.89070836164</v>
      </c>
      <c r="AA312">
        <f t="shared" si="110"/>
        <v>0</v>
      </c>
      <c r="AB312" s="27">
        <f t="shared" si="111"/>
        <v>202788.89070836164</v>
      </c>
      <c r="AD312" s="27">
        <f t="shared" si="112"/>
        <v>0</v>
      </c>
      <c r="AE312" s="27">
        <f t="shared" si="113"/>
        <v>202788.89070836164</v>
      </c>
      <c r="AF312" s="50"/>
      <c r="AG312" t="str">
        <f t="shared" si="114"/>
        <v>5309930</v>
      </c>
    </row>
    <row r="313" spans="1:33" hidden="1" x14ac:dyDescent="0.25">
      <c r="A313" s="7" t="s">
        <v>639</v>
      </c>
      <c r="B313" s="2" t="s">
        <v>1248</v>
      </c>
      <c r="C313" s="4" t="s">
        <v>1247</v>
      </c>
      <c r="D313">
        <f>_xlfn.IFNA(VLOOKUP(A313,'Prior Year data'!$A$1:$T$318,12,FALSE),0)</f>
        <v>35847.918908725063</v>
      </c>
      <c r="E313">
        <f>VLOOKUP(A313,'Basic HH'!$B$1:$Y$319,23,FALSE)</f>
        <v>24324.178655242944</v>
      </c>
      <c r="F313">
        <f>VLOOKUP(A313,'Conc. HH'!$B$1:$Y$319,23,FALSE)</f>
        <v>6544.6719734777898</v>
      </c>
      <c r="G313">
        <f>VLOOKUP(A313,'Targeted HH'!$B$1:$Y$319,23,FALSE)</f>
        <v>13336.030525008176</v>
      </c>
      <c r="H313">
        <f>VLOOKUP(A313,'EFIG HH'!$B$1:$Y$319,23,FALSE)</f>
        <v>18082.109464309469</v>
      </c>
      <c r="I313">
        <f t="shared" si="92"/>
        <v>62286.990618038384</v>
      </c>
      <c r="J313">
        <f t="shared" si="93"/>
        <v>62286.990618038384</v>
      </c>
      <c r="K313" s="43">
        <f t="shared" si="94"/>
        <v>56630.64085990336</v>
      </c>
      <c r="L313">
        <f t="shared" si="95"/>
        <v>0</v>
      </c>
      <c r="M313">
        <f t="shared" si="96"/>
        <v>20782.721951178297</v>
      </c>
      <c r="N313" s="43">
        <f t="shared" si="97"/>
        <v>53660.23493830458</v>
      </c>
      <c r="O313">
        <f t="shared" si="98"/>
        <v>0</v>
      </c>
      <c r="P313">
        <f t="shared" si="99"/>
        <v>17812.316029579517</v>
      </c>
      <c r="Q313" s="43">
        <f t="shared" si="100"/>
        <v>53660.23493830458</v>
      </c>
      <c r="R313">
        <f t="shared" si="101"/>
        <v>0</v>
      </c>
      <c r="S313">
        <f t="shared" si="102"/>
        <v>17812.316029579517</v>
      </c>
      <c r="T313" s="43">
        <f t="shared" si="103"/>
        <v>53660.23493830458</v>
      </c>
      <c r="U313">
        <f t="shared" si="104"/>
        <v>0</v>
      </c>
      <c r="V313">
        <f t="shared" si="105"/>
        <v>17812.316029579517</v>
      </c>
      <c r="W313" s="43">
        <f t="shared" si="106"/>
        <v>53660.23493830458</v>
      </c>
      <c r="X313" s="43">
        <f t="shared" si="107"/>
        <v>8626.7556797338038</v>
      </c>
      <c r="Y313" s="27">
        <f t="shared" si="108"/>
        <v>410.9956724654279</v>
      </c>
      <c r="Z313" s="27">
        <f t="shared" si="109"/>
        <v>53249.239265839155</v>
      </c>
      <c r="AA313">
        <f t="shared" si="110"/>
        <v>0</v>
      </c>
      <c r="AB313" s="27">
        <f t="shared" si="111"/>
        <v>53249.239265839155</v>
      </c>
      <c r="AD313" s="27">
        <f t="shared" si="112"/>
        <v>0</v>
      </c>
      <c r="AE313" s="27">
        <f t="shared" si="113"/>
        <v>53249.239265839155</v>
      </c>
      <c r="AF313" s="50"/>
      <c r="AG313" t="str">
        <f t="shared" si="114"/>
        <v>5309990</v>
      </c>
    </row>
    <row r="314" spans="1:33" hidden="1" x14ac:dyDescent="0.25">
      <c r="A314" s="7" t="s">
        <v>641</v>
      </c>
      <c r="B314" s="2" t="s">
        <v>1250</v>
      </c>
      <c r="C314" s="4" t="s">
        <v>1249</v>
      </c>
      <c r="D314">
        <f>_xlfn.IFNA(VLOOKUP(A314,'Prior Year data'!$A$1:$T$318,12,FALSE),0)</f>
        <v>40138.863761807464</v>
      </c>
      <c r="E314">
        <f>VLOOKUP(A314,'Basic HH'!$B$1:$Y$319,23,FALSE)</f>
        <v>26930.340654018979</v>
      </c>
      <c r="F314">
        <f>VLOOKUP(A314,'Conc. HH'!$B$1:$Y$319,23,FALSE)</f>
        <v>7245.8868277789807</v>
      </c>
      <c r="G314">
        <f>VLOOKUP(A314,'Targeted HH'!$B$1:$Y$319,23,FALSE)</f>
        <v>37293.011110802843</v>
      </c>
      <c r="H314">
        <f>VLOOKUP(A314,'EFIG HH'!$B$1:$Y$319,23,FALSE)</f>
        <v>50564.994425793237</v>
      </c>
      <c r="I314">
        <f t="shared" si="92"/>
        <v>122034.23301839404</v>
      </c>
      <c r="J314">
        <f t="shared" si="93"/>
        <v>122034.23301839404</v>
      </c>
      <c r="K314" s="43">
        <f t="shared" si="94"/>
        <v>110952.1708161806</v>
      </c>
      <c r="L314">
        <f t="shared" si="95"/>
        <v>0</v>
      </c>
      <c r="M314">
        <f t="shared" si="96"/>
        <v>70813.307054373145</v>
      </c>
      <c r="N314" s="43">
        <f t="shared" si="97"/>
        <v>100831.05833166424</v>
      </c>
      <c r="O314">
        <f t="shared" si="98"/>
        <v>0</v>
      </c>
      <c r="P314">
        <f t="shared" si="99"/>
        <v>60692.19456985678</v>
      </c>
      <c r="Q314" s="43">
        <f t="shared" si="100"/>
        <v>100831.05833166424</v>
      </c>
      <c r="R314">
        <f t="shared" si="101"/>
        <v>0</v>
      </c>
      <c r="S314">
        <f t="shared" si="102"/>
        <v>60692.19456985678</v>
      </c>
      <c r="T314" s="43">
        <f t="shared" si="103"/>
        <v>100831.05833166424</v>
      </c>
      <c r="U314">
        <f t="shared" si="104"/>
        <v>0</v>
      </c>
      <c r="V314">
        <f t="shared" si="105"/>
        <v>60692.19456985678</v>
      </c>
      <c r="W314" s="43">
        <f t="shared" si="106"/>
        <v>100831.05833166424</v>
      </c>
      <c r="X314" s="43">
        <f t="shared" si="107"/>
        <v>21203.174686729792</v>
      </c>
      <c r="Y314" s="27">
        <f t="shared" si="108"/>
        <v>772.28749877949167</v>
      </c>
      <c r="Z314" s="27">
        <f t="shared" si="109"/>
        <v>100058.77083288475</v>
      </c>
      <c r="AA314">
        <f t="shared" si="110"/>
        <v>0</v>
      </c>
      <c r="AB314" s="27">
        <f t="shared" si="111"/>
        <v>100058.77083288475</v>
      </c>
      <c r="AD314" s="27">
        <f t="shared" si="112"/>
        <v>0</v>
      </c>
      <c r="AE314" s="27">
        <f t="shared" si="113"/>
        <v>100058.77083288475</v>
      </c>
      <c r="AF314" s="50"/>
      <c r="AG314" t="str">
        <f t="shared" si="114"/>
        <v>5310020</v>
      </c>
    </row>
    <row r="315" spans="1:33" hidden="1" x14ac:dyDescent="0.25">
      <c r="A315" s="7" t="s">
        <v>643</v>
      </c>
      <c r="B315" s="2" t="s">
        <v>1252</v>
      </c>
      <c r="C315" s="4" t="s">
        <v>1251</v>
      </c>
      <c r="D315">
        <f>_xlfn.IFNA(VLOOKUP(A315,'Prior Year data'!$A$1:$T$318,12,FALSE),0)</f>
        <v>408175.30212688737</v>
      </c>
      <c r="E315">
        <f>VLOOKUP(A315,'Basic HH'!$B$1:$Y$319,23,FALSE)</f>
        <v>231948.41789106678</v>
      </c>
      <c r="F315">
        <f>VLOOKUP(A315,'Conc. HH'!$B$1:$Y$319,23,FALSE)</f>
        <v>0</v>
      </c>
      <c r="G315">
        <f>VLOOKUP(A315,'Targeted HH'!$B$1:$Y$319,23,FALSE)</f>
        <v>111891.22821907962</v>
      </c>
      <c r="H315">
        <f>VLOOKUP(A315,'EFIG HH'!$B$1:$Y$319,23,FALSE)</f>
        <v>151711.51812823187</v>
      </c>
      <c r="I315">
        <f t="shared" si="92"/>
        <v>495551.16423837829</v>
      </c>
      <c r="J315">
        <f t="shared" si="93"/>
        <v>495551.16423837829</v>
      </c>
      <c r="K315" s="43">
        <f t="shared" si="94"/>
        <v>450549.62089568988</v>
      </c>
      <c r="L315">
        <f t="shared" si="95"/>
        <v>0</v>
      </c>
      <c r="M315">
        <f t="shared" si="96"/>
        <v>42374.318768802506</v>
      </c>
      <c r="N315" s="43">
        <f t="shared" si="97"/>
        <v>444493.19923493481</v>
      </c>
      <c r="O315">
        <f t="shared" si="98"/>
        <v>0</v>
      </c>
      <c r="P315">
        <f t="shared" si="99"/>
        <v>36317.897108047444</v>
      </c>
      <c r="Q315" s="43">
        <f t="shared" si="100"/>
        <v>444493.19923493481</v>
      </c>
      <c r="R315">
        <f t="shared" si="101"/>
        <v>0</v>
      </c>
      <c r="S315">
        <f t="shared" si="102"/>
        <v>36317.897108047444</v>
      </c>
      <c r="T315" s="43">
        <f t="shared" si="103"/>
        <v>444493.19923493481</v>
      </c>
      <c r="U315">
        <f t="shared" si="104"/>
        <v>0</v>
      </c>
      <c r="V315">
        <f t="shared" si="105"/>
        <v>36317.897108047444</v>
      </c>
      <c r="W315" s="43">
        <f t="shared" si="106"/>
        <v>444493.19923493481</v>
      </c>
      <c r="X315" s="43">
        <f t="shared" si="107"/>
        <v>51057.965003443474</v>
      </c>
      <c r="Y315" s="27">
        <f t="shared" si="108"/>
        <v>3404.472260248428</v>
      </c>
      <c r="Z315" s="27">
        <f t="shared" si="109"/>
        <v>441088.72697468637</v>
      </c>
      <c r="AA315">
        <f t="shared" si="110"/>
        <v>0</v>
      </c>
      <c r="AB315" s="27">
        <f t="shared" si="111"/>
        <v>441088.72697468637</v>
      </c>
      <c r="AD315" s="27">
        <f t="shared" si="112"/>
        <v>0</v>
      </c>
      <c r="AE315" s="27">
        <f t="shared" si="113"/>
        <v>441088.72697468637</v>
      </c>
      <c r="AF315" s="50"/>
      <c r="AG315" t="str">
        <f t="shared" si="114"/>
        <v>5310050</v>
      </c>
    </row>
    <row r="316" spans="1:33" hidden="1" x14ac:dyDescent="0.25">
      <c r="A316" s="7" t="s">
        <v>645</v>
      </c>
      <c r="B316" s="2" t="s">
        <v>1254</v>
      </c>
      <c r="C316" s="4" t="s">
        <v>1253</v>
      </c>
      <c r="D316">
        <f>_xlfn.IFNA(VLOOKUP(A316,'Prior Year data'!$A$1:$T$318,12,FALSE),0)</f>
        <v>10114173.756166836</v>
      </c>
      <c r="E316">
        <f>VLOOKUP(A316,'Basic HH'!$B$1:$Y$319,23,FALSE)</f>
        <v>3866675.6855173698</v>
      </c>
      <c r="F316">
        <f>VLOOKUP(A316,'Conc. HH'!$B$1:$Y$319,23,FALSE)</f>
        <v>1040369.1054982017</v>
      </c>
      <c r="G316">
        <f>VLOOKUP(A316,'Targeted HH'!$B$1:$Y$319,23,FALSE)</f>
        <v>3111791.4424748165</v>
      </c>
      <c r="H316">
        <f>VLOOKUP(A316,'EFIG HH'!$B$1:$Y$319,23,FALSE)</f>
        <v>4219228.0069707325</v>
      </c>
      <c r="I316">
        <f t="shared" si="92"/>
        <v>12238064.240461119</v>
      </c>
      <c r="J316">
        <f t="shared" si="93"/>
        <v>12238064.240461119</v>
      </c>
      <c r="K316" s="43">
        <f t="shared" si="94"/>
        <v>11126712.238707382</v>
      </c>
      <c r="L316">
        <f t="shared" si="95"/>
        <v>0</v>
      </c>
      <c r="M316">
        <f t="shared" si="96"/>
        <v>1012538.482540546</v>
      </c>
      <c r="N316" s="43">
        <f t="shared" si="97"/>
        <v>10981993.452041684</v>
      </c>
      <c r="O316">
        <f t="shared" si="98"/>
        <v>0</v>
      </c>
      <c r="P316">
        <f t="shared" si="99"/>
        <v>867819.69587484747</v>
      </c>
      <c r="Q316" s="43">
        <f t="shared" si="100"/>
        <v>10981993.452041684</v>
      </c>
      <c r="R316">
        <f t="shared" si="101"/>
        <v>0</v>
      </c>
      <c r="S316">
        <f t="shared" si="102"/>
        <v>867819.69587484747</v>
      </c>
      <c r="T316" s="43">
        <f t="shared" si="103"/>
        <v>10981993.452041684</v>
      </c>
      <c r="U316">
        <f t="shared" si="104"/>
        <v>0</v>
      </c>
      <c r="V316">
        <f t="shared" si="105"/>
        <v>867819.69587484747</v>
      </c>
      <c r="W316" s="43">
        <f t="shared" si="106"/>
        <v>10981993.452041684</v>
      </c>
      <c r="X316" s="43">
        <f t="shared" si="107"/>
        <v>1256070.7884194348</v>
      </c>
      <c r="Y316" s="27">
        <f t="shared" si="108"/>
        <v>84113.530047384571</v>
      </c>
      <c r="Z316" s="27">
        <f t="shared" si="109"/>
        <v>10897879.921994299</v>
      </c>
      <c r="AA316">
        <f t="shared" si="110"/>
        <v>0</v>
      </c>
      <c r="AB316" s="27">
        <f t="shared" si="111"/>
        <v>10897879.921994299</v>
      </c>
      <c r="AD316" s="27">
        <f t="shared" si="112"/>
        <v>0</v>
      </c>
      <c r="AE316" s="27">
        <f t="shared" si="113"/>
        <v>10897879.921994299</v>
      </c>
      <c r="AF316" s="50"/>
      <c r="AG316" t="str">
        <f t="shared" si="114"/>
        <v>5310110</v>
      </c>
    </row>
    <row r="317" spans="1:33" hidden="1" x14ac:dyDescent="0.25">
      <c r="A317" s="7" t="s">
        <v>647</v>
      </c>
      <c r="B317" s="2" t="s">
        <v>1256</v>
      </c>
      <c r="C317" s="4" t="s">
        <v>1255</v>
      </c>
      <c r="D317">
        <f>_xlfn.IFNA(VLOOKUP(A317,'Prior Year data'!$A$1:$T$318,12,FALSE),0)</f>
        <v>1132594.3017873936</v>
      </c>
      <c r="E317">
        <f>VLOOKUP(A317,'Basic HH'!$B$1:$Y$319,23,FALSE)</f>
        <v>468240.43911342678</v>
      </c>
      <c r="F317">
        <f>VLOOKUP(A317,'Conc. HH'!$B$1:$Y$319,23,FALSE)</f>
        <v>0</v>
      </c>
      <c r="G317">
        <f>VLOOKUP(A317,'Targeted HH'!$B$1:$Y$319,23,FALSE)</f>
        <v>225877.79779057656</v>
      </c>
      <c r="H317">
        <f>VLOOKUP(A317,'EFIG HH'!$B$1:$Y$319,23,FALSE)</f>
        <v>306264.07592178637</v>
      </c>
      <c r="I317">
        <f t="shared" si="92"/>
        <v>1000382.3128257897</v>
      </c>
      <c r="J317">
        <f t="shared" si="93"/>
        <v>0</v>
      </c>
      <c r="K317" s="43">
        <f t="shared" si="94"/>
        <v>1000382.3128257897</v>
      </c>
      <c r="L317">
        <f t="shared" si="95"/>
        <v>0</v>
      </c>
      <c r="M317">
        <f t="shared" si="96"/>
        <v>0</v>
      </c>
      <c r="N317" s="43">
        <f t="shared" si="97"/>
        <v>1000382.3128257897</v>
      </c>
      <c r="O317">
        <f t="shared" si="98"/>
        <v>0</v>
      </c>
      <c r="P317">
        <f t="shared" si="99"/>
        <v>0</v>
      </c>
      <c r="Q317" s="43">
        <f t="shared" si="100"/>
        <v>1000382.3128257897</v>
      </c>
      <c r="R317">
        <f t="shared" si="101"/>
        <v>0</v>
      </c>
      <c r="S317">
        <f t="shared" si="102"/>
        <v>0</v>
      </c>
      <c r="T317" s="43">
        <f t="shared" si="103"/>
        <v>1000382.3128257897</v>
      </c>
      <c r="U317">
        <f t="shared" si="104"/>
        <v>0</v>
      </c>
      <c r="V317">
        <f t="shared" si="105"/>
        <v>0</v>
      </c>
      <c r="W317" s="43">
        <f t="shared" si="106"/>
        <v>1000382.3128257897</v>
      </c>
      <c r="X317" s="43">
        <f t="shared" si="107"/>
        <v>0</v>
      </c>
      <c r="Y317" s="27">
        <f t="shared" si="108"/>
        <v>7662.1506010004441</v>
      </c>
      <c r="Z317" s="27">
        <f t="shared" si="109"/>
        <v>992720.16222478927</v>
      </c>
      <c r="AA317">
        <f t="shared" si="110"/>
        <v>0</v>
      </c>
      <c r="AB317" s="27">
        <f t="shared" si="111"/>
        <v>992720.16222478927</v>
      </c>
      <c r="AD317" s="27">
        <f t="shared" si="112"/>
        <v>0</v>
      </c>
      <c r="AE317" s="27">
        <f t="shared" si="113"/>
        <v>992720.16222478927</v>
      </c>
      <c r="AF317" s="50"/>
      <c r="AG317" t="str">
        <f t="shared" ref="AG317:AG318" si="115">A317</f>
        <v>5310140</v>
      </c>
    </row>
    <row r="318" spans="1:33" hidden="1" x14ac:dyDescent="0.25">
      <c r="A318" s="7" t="s">
        <v>649</v>
      </c>
      <c r="B318" s="2" t="s">
        <v>1258</v>
      </c>
      <c r="C318" s="4" t="s">
        <v>1257</v>
      </c>
      <c r="D318">
        <f>_xlfn.IFNA(VLOOKUP(A318,'Prior Year data'!$A$1:$T$318,12,FALSE),0)</f>
        <v>281768.00505895377</v>
      </c>
      <c r="E318">
        <f>VLOOKUP(A318,'Basic HH'!$B$1:$Y$319,23,FALSE)</f>
        <v>138995.30660138821</v>
      </c>
      <c r="F318">
        <f>VLOOKUP(A318,'Conc. HH'!$B$1:$Y$319,23,FALSE)</f>
        <v>24367.248360682115</v>
      </c>
      <c r="G318">
        <f>VLOOKUP(A318,'Targeted HH'!$B$1:$Y$319,23,FALSE)</f>
        <v>67050.923277351059</v>
      </c>
      <c r="H318">
        <f>VLOOKUP(A318,'EFIG HH'!$B$1:$Y$319,23,FALSE)</f>
        <v>90913.269290326221</v>
      </c>
      <c r="I318">
        <f t="shared" si="92"/>
        <v>321326.7475297476</v>
      </c>
      <c r="J318">
        <f t="shared" si="93"/>
        <v>321326.7475297476</v>
      </c>
      <c r="K318" s="43">
        <f t="shared" si="94"/>
        <v>292146.71406468819</v>
      </c>
      <c r="L318">
        <f t="shared" si="95"/>
        <v>0</v>
      </c>
      <c r="M318">
        <f t="shared" si="96"/>
        <v>10378.709005734418</v>
      </c>
      <c r="N318" s="43">
        <f t="shared" si="97"/>
        <v>290663.3194082228</v>
      </c>
      <c r="O318">
        <f t="shared" si="98"/>
        <v>0</v>
      </c>
      <c r="P318">
        <f t="shared" si="99"/>
        <v>8895.3143492690288</v>
      </c>
      <c r="Q318" s="43">
        <f t="shared" si="100"/>
        <v>290663.3194082228</v>
      </c>
      <c r="R318">
        <f t="shared" si="101"/>
        <v>0</v>
      </c>
      <c r="S318">
        <f t="shared" si="102"/>
        <v>8895.3143492690288</v>
      </c>
      <c r="T318" s="43">
        <f t="shared" si="103"/>
        <v>290663.3194082228</v>
      </c>
      <c r="U318">
        <f t="shared" si="104"/>
        <v>0</v>
      </c>
      <c r="V318">
        <f t="shared" si="105"/>
        <v>8895.3143492690288</v>
      </c>
      <c r="W318" s="43">
        <f t="shared" si="106"/>
        <v>290663.3194082228</v>
      </c>
      <c r="X318" s="43">
        <f t="shared" si="107"/>
        <v>30663.428121524805</v>
      </c>
      <c r="Y318" s="27">
        <f t="shared" si="108"/>
        <v>2226.2550016518885</v>
      </c>
      <c r="Z318" s="27">
        <f t="shared" si="109"/>
        <v>288437.06440657092</v>
      </c>
      <c r="AA318">
        <f t="shared" si="110"/>
        <v>0</v>
      </c>
      <c r="AB318" s="27">
        <f t="shared" si="111"/>
        <v>288437.06440657092</v>
      </c>
      <c r="AD318" s="27">
        <f t="shared" si="112"/>
        <v>0</v>
      </c>
      <c r="AE318" s="27">
        <f t="shared" si="113"/>
        <v>288437.06440657092</v>
      </c>
      <c r="AF318" s="50"/>
      <c r="AG318" t="str">
        <f t="shared" si="115"/>
        <v>5310170</v>
      </c>
    </row>
  </sheetData>
  <sheetProtection algorithmName="SHA-512" hashValue="MBoFO8ggQK0LZG4vbwXhfOudS8tz2WLK145Wxyj/PnBuJeUDt65qGcYpeMLgmjbwdmqEhbdr4RZU0mJTZDxF4A==" saltValue="KGdVNNu2H0YebLzkFJpVXw==" spinCount="100000" sheet="1" objects="1" scenarios="1"/>
  <autoFilter ref="A3:AF318" xr:uid="{014E85DC-62F1-4FC0-9717-51C5497BC9D0}">
    <filterColumn colId="9">
      <filters>
        <filter val="1007806.3"/>
        <filter val="1039358.247"/>
        <filter val="104305.4089"/>
        <filter val="104524.322"/>
        <filter val="1061630.21"/>
        <filter val="106377.7202"/>
        <filter val="1067198.2"/>
        <filter val="1069054.197"/>
        <filter val="110069.3434"/>
        <filter val="11084842.08"/>
        <filter val="11200538.41"/>
        <filter val="112853.0542"/>
        <filter val="113215.8091"/>
        <filter val="1137084.725"/>
        <filter val="11594968.87"/>
        <filter val="1160297.668"/>
        <filter val="1187837.997"/>
        <filter val="122034.233"/>
        <filter val="12238064.24"/>
        <filter val="1235195.88"/>
        <filter val="1238362.516"/>
        <filter val="1250941.89"/>
        <filter val="1260221.875"/>
        <filter val="126346.2396"/>
        <filter val="1263988.569"/>
        <filter val="128063.784"/>
        <filter val="128687.7744"/>
        <filter val="130308.0999"/>
        <filter val="131775.7778"/>
        <filter val="132045.5413"/>
        <filter val="135487.7715"/>
        <filter val="136244.8425"/>
        <filter val="1381178.506"/>
        <filter val="138310.432"/>
        <filter val="138453.0554"/>
        <filter val="142065.4969"/>
        <filter val="150929.9027"/>
        <filter val="154098.5981"/>
        <filter val="154214.8343"/>
        <filter val="155367.5936"/>
        <filter val="155410.8146"/>
        <filter val="155903.7371"/>
        <filter val="156798.4421"/>
        <filter val="165896.8797"/>
        <filter val="1660006.572"/>
        <filter val="167873.2"/>
        <filter val="1734600.979"/>
        <filter val="1740672.656"/>
        <filter val="177476.4494"/>
        <filter val="181023.3819"/>
        <filter val="181292.2002"/>
        <filter val="182079.3185"/>
        <filter val="1846445.399"/>
        <filter val="18583821.21"/>
        <filter val="1892821.604"/>
        <filter val="190390.1208"/>
        <filter val="1910410.125"/>
        <filter val="1931150.977"/>
        <filter val="194007.3012"/>
        <filter val="196735.6682"/>
        <filter val="196828.3185"/>
        <filter val="2007182.362"/>
        <filter val="2032376.068"/>
        <filter val="203565.0976"/>
        <filter val="204159.6557"/>
        <filter val="206495.4799"/>
        <filter val="207058.8489"/>
        <filter val="211466.7333"/>
        <filter val="214066.8622"/>
        <filter val="219731.1222"/>
        <filter val="22418.39863"/>
        <filter val="226420.2636"/>
        <filter val="226981.4445"/>
        <filter val="2325764.743"/>
        <filter val="234557.3359"/>
        <filter val="235423.3006"/>
        <filter val="239512.8258"/>
        <filter val="2407605.216"/>
        <filter val="243962.5539"/>
        <filter val="245117.8362"/>
        <filter val="268674.6939"/>
        <filter val="269575.8349"/>
        <filter val="278399.5305"/>
        <filter val="280255.5273"/>
        <filter val="289069.5576"/>
        <filter val="29043.86114"/>
        <filter val="296906.7734"/>
        <filter val="29695.94992"/>
        <filter val="3048281.784"/>
        <filter val="3054118.606"/>
        <filter val="3098761.67"/>
        <filter val="309951.4773"/>
        <filter val="312898.5122"/>
        <filter val="3167116.954"/>
        <filter val="317841.4054"/>
        <filter val="31829.48779"/>
        <filter val="321326.7475"/>
        <filter val="3223292.324"/>
        <filter val="3306619.11"/>
        <filter val="334596.2666"/>
        <filter val="3437109.106"/>
        <filter val="34456.66127"/>
        <filter val="360063.3927"/>
        <filter val="361387.7972"/>
        <filter val="376957.1265"/>
        <filter val="37730.57903"/>
        <filter val="38382.25218"/>
        <filter val="38499.83544"/>
        <filter val="38790.93873"/>
        <filter val="3880127.973"/>
        <filter val="38975.93427"/>
        <filter val="39522.50232"/>
        <filter val="400895.3239"/>
        <filter val="415399.5319"/>
        <filter val="42653.38196"/>
        <filter val="436701.1137"/>
        <filter val="44543.92488"/>
        <filter val="4574332.432"/>
        <filter val="461810.8665"/>
        <filter val="462143.2206"/>
        <filter val="46311.39626"/>
        <filter val="463999.2175"/>
        <filter val="479310.3041"/>
        <filter val="489074.4536"/>
        <filter val="48963.10888"/>
        <filter val="495551.1642"/>
        <filter val="5068479.67"/>
        <filter val="5190869.08"/>
        <filter val="5243881.319"/>
        <filter val="53437.24104"/>
        <filter val="53823.90922"/>
        <filter val="541951.086"/>
        <filter val="5494089.35"/>
        <filter val="5536738.446"/>
        <filter val="5676058.827"/>
        <filter val="577312.7469"/>
        <filter val="599251.8618"/>
        <filter val="6062743.964"/>
        <filter val="61021.95966"/>
        <filter val="621824.0505"/>
        <filter val="62275.17397"/>
        <filter val="62286.99062"/>
        <filter val="625470.9451"/>
        <filter val="62762.79007"/>
        <filter val="645886.9107"/>
        <filter val="65470.85922"/>
        <filter val="662540.8182"/>
        <filter val="676867.806"/>
        <filter val="68671.88418"/>
        <filter val="688076.9353"/>
        <filter val="71815.34748"/>
        <filter val="7188688.602"/>
        <filter val="72884.02989"/>
        <filter val="731148.0108"/>
        <filter val="738686.7542"/>
        <filter val="744254.7448"/>
        <filter val="7526631.438"/>
        <filter val="761286.6924"/>
        <filter val="777381.4775"/>
        <filter val="777662.6884"/>
        <filter val="794366.6603"/>
        <filter val="808778.9403"/>
        <filter val="81765.19104"/>
        <filter val="825918.6071"/>
        <filter val="83519.85914"/>
        <filter val="8364106.941"/>
        <filter val="83800.84213"/>
        <filter val="83826.37001"/>
        <filter val="84642.33607"/>
        <filter val="859326.5507"/>
        <filter val="87293.82692"/>
        <filter val="8781087.882"/>
        <filter val="881598.5132"/>
        <filter val="88609.50796"/>
        <filter val="887677.1596"/>
        <filter val="90125.77883"/>
        <filter val="908681.8169"/>
        <filter val="909438.4662"/>
        <filter val="92156.00561"/>
        <filter val="930045.5353"/>
        <filter val="939134.4161"/>
        <filter val="94540.50365"/>
      </filters>
    </filterColumn>
    <filterColumn colId="11">
      <filters>
        <filter val="108053.6321"/>
        <filter val="1082.918695"/>
        <filter val="10828.06393"/>
        <filter val="1148.104724"/>
        <filter val="11700.57954"/>
        <filter val="12825.5409"/>
        <filter val="12925.56982"/>
        <filter val="13443.82287"/>
        <filter val="13563.62458"/>
        <filter val="136354.7998"/>
        <filter val="1364.617641"/>
        <filter val="14879.24219"/>
        <filter val="154043.8144"/>
        <filter val="158598.8142"/>
        <filter val="16394.90665"/>
        <filter val="16752.53348"/>
        <filter val="18377.85204"/>
        <filter val="18796.31867"/>
        <filter val="20316.98932"/>
        <filter val="2060.468356"/>
        <filter val="21625.43021"/>
        <filter val="21904.6922"/>
        <filter val="23592.08753"/>
        <filter val="2691.401716"/>
        <filter val="29333.09235"/>
        <filter val="29926.99223"/>
        <filter val="30802.00983"/>
        <filter val="30811.72621"/>
        <filter val="3184.04339"/>
        <filter val="3193.391526"/>
        <filter val="32781.37179"/>
        <filter val="35002.52889"/>
        <filter val="3555.295271"/>
        <filter val="356.583202"/>
        <filter val="3714.296078"/>
        <filter val="3747.147195"/>
        <filter val="3840.709867"/>
        <filter val="447831.9588"/>
        <filter val="45422.20203"/>
        <filter val="46176.24936"/>
        <filter val="46800.51522"/>
        <filter val="47351.16545"/>
        <filter val="47439.81531"/>
        <filter val="48527.50063"/>
        <filter val="5329.011304"/>
        <filter val="5367.887856"/>
        <filter val="5431.160519"/>
        <filter val="5670.227118"/>
        <filter val="5900.819003"/>
        <filter val="6429.159417"/>
        <filter val="6532.576571"/>
        <filter val="66388.92345"/>
        <filter val="6650.249378"/>
        <filter val="6718.746807"/>
        <filter val="6967.450703"/>
        <filter val="6970.593191"/>
        <filter val="73184.12435"/>
        <filter val="81456.18198"/>
        <filter val="8251.25304"/>
        <filter val="8306.740507"/>
        <filter val="85510.05527"/>
        <filter val="88406.49893"/>
        <filter val="9686.779215"/>
        <filter val="9725.531057"/>
        <filter val="983.2659836"/>
        <filter val="9910.037525"/>
        <filter val="99780.92039"/>
      </filters>
    </filterColumn>
  </autoFilter>
  <mergeCells count="4">
    <mergeCell ref="L1:N1"/>
    <mergeCell ref="O1:Q1"/>
    <mergeCell ref="R1:T1"/>
    <mergeCell ref="U1:W1"/>
  </mergeCells>
  <conditionalFormatting sqref="A2">
    <cfRule type="duplicateValues" dxfId="7" priority="4"/>
  </conditionalFormatting>
  <conditionalFormatting sqref="A3:A314">
    <cfRule type="duplicateValues" dxfId="6" priority="10"/>
  </conditionalFormatting>
  <conditionalFormatting sqref="A317">
    <cfRule type="duplicateValues" dxfId="5" priority="3"/>
  </conditionalFormatting>
  <conditionalFormatting sqref="A318">
    <cfRule type="duplicateValues" dxfId="4" priority="1"/>
  </conditionalFormatting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55DE5-BB40-4AA9-8D85-C1ADA7D89C57}">
  <dimension ref="A1:Z318"/>
  <sheetViews>
    <sheetView topLeftCell="G1" workbookViewId="0">
      <selection activeCell="Y3" sqref="Y3"/>
    </sheetView>
  </sheetViews>
  <sheetFormatPr defaultRowHeight="15" x14ac:dyDescent="0.25"/>
  <cols>
    <col min="3" max="3" width="20.28515625" customWidth="1"/>
    <col min="4" max="4" width="19.28515625" customWidth="1"/>
    <col min="5" max="5" width="16.5703125" customWidth="1"/>
    <col min="6" max="6" width="14.7109375" customWidth="1"/>
    <col min="7" max="7" width="12.85546875" customWidth="1"/>
    <col min="8" max="8" width="16.28515625" customWidth="1"/>
    <col min="9" max="9" width="12.7109375" customWidth="1"/>
    <col min="10" max="10" width="16.140625" customWidth="1"/>
    <col min="11" max="11" width="13.28515625" customWidth="1"/>
    <col min="12" max="12" width="16.42578125" customWidth="1"/>
    <col min="13" max="13" width="11.28515625" bestFit="1" customWidth="1"/>
    <col min="14" max="14" width="13.28515625" customWidth="1"/>
    <col min="15" max="15" width="16.42578125" customWidth="1"/>
    <col min="16" max="16" width="14.28515625" customWidth="1"/>
    <col min="18" max="18" width="14.85546875" customWidth="1"/>
    <col min="19" max="19" width="13.5703125" customWidth="1"/>
    <col min="20" max="20" width="12.7109375" customWidth="1"/>
    <col min="22" max="22" width="13.85546875" customWidth="1"/>
    <col min="23" max="23" width="14.140625" customWidth="1"/>
    <col min="24" max="24" width="12" customWidth="1"/>
    <col min="25" max="25" width="11.42578125" customWidth="1"/>
  </cols>
  <sheetData>
    <row r="1" spans="1:26" x14ac:dyDescent="0.25">
      <c r="A1" s="37">
        <v>1</v>
      </c>
      <c r="B1" s="38">
        <f>A1+1</f>
        <v>2</v>
      </c>
      <c r="C1" s="38">
        <f t="shared" ref="C1:X1" si="0">B1+1</f>
        <v>3</v>
      </c>
      <c r="D1" s="38">
        <f t="shared" si="0"/>
        <v>4</v>
      </c>
      <c r="E1" s="38">
        <f t="shared" si="0"/>
        <v>5</v>
      </c>
      <c r="F1" s="80" t="str">
        <f>IF($F$3 = SUM(Model_allocations[Basic Allocation]), "Good", "Check district list")</f>
        <v>Good</v>
      </c>
      <c r="G1" s="38">
        <v>7</v>
      </c>
      <c r="H1" s="38">
        <f t="shared" si="0"/>
        <v>8</v>
      </c>
      <c r="I1" s="38">
        <f t="shared" si="0"/>
        <v>9</v>
      </c>
      <c r="J1" s="38">
        <f t="shared" si="0"/>
        <v>10</v>
      </c>
      <c r="K1" s="38">
        <f t="shared" si="0"/>
        <v>11</v>
      </c>
      <c r="L1" s="38">
        <f t="shared" si="0"/>
        <v>12</v>
      </c>
      <c r="M1" s="38">
        <f t="shared" si="0"/>
        <v>13</v>
      </c>
      <c r="N1" s="38">
        <f t="shared" si="0"/>
        <v>14</v>
      </c>
      <c r="O1" s="38">
        <f t="shared" si="0"/>
        <v>15</v>
      </c>
      <c r="P1" s="38">
        <f t="shared" si="0"/>
        <v>16</v>
      </c>
      <c r="Q1" s="38">
        <f t="shared" si="0"/>
        <v>17</v>
      </c>
      <c r="R1" s="38">
        <f t="shared" si="0"/>
        <v>18</v>
      </c>
      <c r="S1" s="38">
        <f t="shared" si="0"/>
        <v>19</v>
      </c>
      <c r="T1" s="38">
        <f t="shared" si="0"/>
        <v>20</v>
      </c>
      <c r="U1" s="38">
        <f t="shared" si="0"/>
        <v>21</v>
      </c>
      <c r="V1" s="38">
        <f t="shared" si="0"/>
        <v>22</v>
      </c>
      <c r="W1" s="38">
        <f t="shared" si="0"/>
        <v>23</v>
      </c>
      <c r="X1" s="38">
        <f t="shared" si="0"/>
        <v>24</v>
      </c>
      <c r="Y1" s="38"/>
      <c r="Z1" s="46"/>
    </row>
    <row r="2" spans="1:26" ht="63.75" x14ac:dyDescent="0.25">
      <c r="A2" s="1" t="s">
        <v>0</v>
      </c>
      <c r="B2" s="5" t="s">
        <v>4</v>
      </c>
      <c r="C2" s="3" t="s">
        <v>1278</v>
      </c>
      <c r="D2" s="33" t="s">
        <v>1364</v>
      </c>
      <c r="E2" s="36" t="s">
        <v>1295</v>
      </c>
      <c r="F2" s="33" t="s">
        <v>1297</v>
      </c>
      <c r="G2" s="35" t="s">
        <v>654</v>
      </c>
      <c r="H2" s="34" t="s">
        <v>1298</v>
      </c>
      <c r="I2" s="34" t="s">
        <v>1367</v>
      </c>
      <c r="J2" s="34" t="s">
        <v>1368</v>
      </c>
      <c r="K2" s="34" t="s">
        <v>1369</v>
      </c>
      <c r="L2" s="34" t="s">
        <v>1370</v>
      </c>
      <c r="M2" s="32" t="s">
        <v>1292</v>
      </c>
      <c r="N2" s="34" t="s">
        <v>1368</v>
      </c>
      <c r="O2" s="32" t="s">
        <v>1369</v>
      </c>
      <c r="P2" s="32" t="s">
        <v>1370</v>
      </c>
      <c r="Q2" s="32" t="s">
        <v>1371</v>
      </c>
      <c r="R2" s="32" t="s">
        <v>1368</v>
      </c>
      <c r="S2" s="32" t="s">
        <v>1369</v>
      </c>
      <c r="T2" s="32" t="s">
        <v>1370</v>
      </c>
      <c r="U2" s="32" t="s">
        <v>1372</v>
      </c>
      <c r="V2" s="32" t="s">
        <v>1368</v>
      </c>
      <c r="W2" s="32" t="s">
        <v>1369</v>
      </c>
      <c r="X2" s="32" t="s">
        <v>1370</v>
      </c>
      <c r="Y2" s="32" t="s">
        <v>1373</v>
      </c>
      <c r="Z2" s="32"/>
    </row>
    <row r="3" spans="1:26" x14ac:dyDescent="0.25">
      <c r="A3" s="1"/>
      <c r="B3" s="5"/>
      <c r="C3" s="6"/>
      <c r="D3" s="33">
        <f>SUM(D4:D318)</f>
        <v>118839169.65192392</v>
      </c>
      <c r="E3" s="33"/>
      <c r="F3" s="33" cm="1">
        <f t="array" ref="F3">SUM(IF(ISERROR($F$4:$F$318),"",$F$4:$F$318))</f>
        <v>121371950.21613167</v>
      </c>
      <c r="G3" s="33"/>
      <c r="H3" s="33" cm="1">
        <f t="array" ref="H3">SUM(IF(ISERROR($H$4:$H$318),"",$H$4:$H$318))</f>
        <v>102898016.29839624</v>
      </c>
      <c r="I3" s="33" cm="1">
        <f t="array" ref="I3">SUM(IF(ISERROR($I$4:$I$318),"",$I$4:$I$318))</f>
        <v>2585503.2485910407</v>
      </c>
      <c r="J3" s="33" cm="1">
        <f t="array" ref="J3">SUM(IF(ISERROR($J$4:$J$318),"",$J$4:$J$318))</f>
        <v>118840912.4217958</v>
      </c>
      <c r="K3" s="33" cm="1">
        <f t="array" ref="K3">SUM(IF(ISERROR($K$4:$K$318),"",$K$4:$K$318))</f>
        <v>118786446.9675405</v>
      </c>
      <c r="L3" s="33" cm="1">
        <f t="array" ref="L3">SUM(IF(ISERROR($L$4:$L$318),0,$L$4:$L$318))</f>
        <v>121371950.21613154</v>
      </c>
      <c r="M3" s="33" cm="1">
        <f t="array" ref="M3">SUM(IF(ISERROR($M$4:$M$318),0,$M$4:$M$318))</f>
        <v>12221477.219329664</v>
      </c>
      <c r="N3" s="33" cm="1">
        <f t="array" ref="N3">SUM(IF(ISERROR($N$4:$N$318),0,$N$4:$N$318))</f>
        <v>106570432.43426034</v>
      </c>
      <c r="O3" s="33" cm="1">
        <f t="array" ref="O3">SUM(IF(ISERROR($O$4:$O$318),0,$O$4:$O$318))</f>
        <v>106564969.748211</v>
      </c>
      <c r="P3" s="33" cm="1">
        <f t="array" ref="P3">SUM(IF(ISERROR($P$4:$P$318),0,$P$4:$P$318))</f>
        <v>121371950.21613166</v>
      </c>
      <c r="Q3" s="33" cm="1">
        <f t="array" ref="Q3">SUM(IF(ISERROR($Q$4:$Q$318),0,$Q$4:$Q$318))</f>
        <v>158691.65591271158</v>
      </c>
      <c r="R3" s="33" cm="1">
        <f t="array" ref="R3">SUM(IF(ISERROR($R$4:$R$318),0,$R$4:$R$318))</f>
        <v>106406283.08470061</v>
      </c>
      <c r="S3" s="33" cm="1">
        <f t="array" ref="S3">SUM(IF(ISERROR($S$4:$S$318),0,$S$4:$S$318))</f>
        <v>106406278.09229814</v>
      </c>
      <c r="T3" s="33" cm="1">
        <f t="array" ref="T3">SUM(IF(ISERROR($T$4:$T$318),0,$T$4:$T$318))</f>
        <v>121371950.21613154</v>
      </c>
      <c r="U3" s="33" cm="1">
        <f t="array" ref="U3">SUM(IF(ISERROR($U$4:$U$318),0,$U$4:$U$318))</f>
        <v>0</v>
      </c>
      <c r="V3" s="33" cm="1">
        <f t="array" ref="V3">SUM(IF(ISERROR($V$4:$V$318),0,$V$4:$V$318))</f>
        <v>106406278.09229814</v>
      </c>
      <c r="W3" s="33" cm="1">
        <f t="array" ref="W3">SUM(IF(ISERROR($W$4:$W$318),0,$W$4:$W$318))</f>
        <v>106406278.09229831</v>
      </c>
      <c r="X3" s="33" cm="1">
        <f t="array" ref="X3">SUM(IF(ISERROR($X$4:$X$318),0,$X$4:$X$318))</f>
        <v>121371950.21613172</v>
      </c>
      <c r="Y3" s="33" cm="1">
        <f t="array" ref="Y3">SUM(IF(ISERROR($Y$4:$Y$318),0,$Y$4:$Y$318))</f>
        <v>0</v>
      </c>
      <c r="Z3" s="32"/>
    </row>
    <row r="4" spans="1:26" x14ac:dyDescent="0.25">
      <c r="A4" s="4" t="s">
        <v>661</v>
      </c>
      <c r="B4" s="7" t="s">
        <v>309</v>
      </c>
      <c r="C4" s="2" t="s">
        <v>662</v>
      </c>
      <c r="D4">
        <f>VLOOKUP(B4,'Model allocations'!$A$1:$L$317,3,FALSE)</f>
        <v>705487.43750839541</v>
      </c>
      <c r="E4" s="31">
        <f>VLOOKUP(B4,'Initial adjusted formula count'!$A$1:$P$317,12,FALSE)</f>
        <v>0.20137299771167</v>
      </c>
      <c r="F4">
        <f>VLOOKUP(B4,'Model allocations'!$A$1:$L$317,8,FALSE)</f>
        <v>634755.13241215039</v>
      </c>
      <c r="G4" s="30">
        <f>IF(E4&lt;0.15,0.85,IF(AND(E4&gt;=0.15,E4&lt;0.3),0.9,0.95))</f>
        <v>0.9</v>
      </c>
      <c r="H4">
        <f>IF(F4 = 0, 0, D4*G4)</f>
        <v>634938.69375755591</v>
      </c>
      <c r="I4">
        <f t="shared" ref="I4:I67" si="1">IF(F4&lt;H4,H4,0)</f>
        <v>634938.69375755591</v>
      </c>
      <c r="J4">
        <f t="shared" ref="J4:J67" si="2">IF(I4=0,F4,0)</f>
        <v>0</v>
      </c>
      <c r="K4">
        <f t="shared" ref="K4:K67" si="3">(J4/$J$3)*($F$3-$I$3)</f>
        <v>0</v>
      </c>
      <c r="L4">
        <f>I4+K4</f>
        <v>634938.69375755591</v>
      </c>
      <c r="M4">
        <f t="shared" ref="M4:M67" si="4">IF(L4&lt;H4,H4,0)</f>
        <v>0</v>
      </c>
      <c r="N4" s="29">
        <f>IF($I4+$M4=0,L4,0)</f>
        <v>0</v>
      </c>
      <c r="O4" s="29">
        <f t="shared" ref="O4:O67" si="5">((N4/$N$3)*($F$3-$I$3-$M$3))</f>
        <v>0</v>
      </c>
      <c r="P4" s="29">
        <f>$I4+$M4+O4</f>
        <v>634938.69375755591</v>
      </c>
      <c r="Q4">
        <f>IF(P4&lt;H4,H4,0)</f>
        <v>0</v>
      </c>
      <c r="R4" s="29">
        <f>IF($I4+$M4+$Q4=0,P4,0)</f>
        <v>0</v>
      </c>
      <c r="S4" s="29">
        <f t="shared" ref="S4:S67" si="6">((R4/$R$3)*($F$3-$I$3-$M$3-$Q$3))</f>
        <v>0</v>
      </c>
      <c r="T4" s="29">
        <f>$I4+$M4+$Q4+S4</f>
        <v>634938.69375755591</v>
      </c>
      <c r="U4">
        <f>IF(T4&lt;H4,H4,0)</f>
        <v>0</v>
      </c>
      <c r="V4" s="29">
        <f>IF($I4+$M4+$Q4+U4=0,T4,0)</f>
        <v>0</v>
      </c>
      <c r="W4" s="29">
        <f t="shared" ref="W4:W67" si="7">((V4/$V$3)*($F$3-$I$3-$M$3-$Q$3-$U$3))</f>
        <v>0</v>
      </c>
      <c r="X4" s="29">
        <f>$I4+$M4+$Q4+$U4+W4</f>
        <v>634938.69375755591</v>
      </c>
      <c r="Y4">
        <f>IF(X4&lt;H4,H4,0)</f>
        <v>0</v>
      </c>
    </row>
    <row r="5" spans="1:26" x14ac:dyDescent="0.25">
      <c r="A5" s="4" t="s">
        <v>663</v>
      </c>
      <c r="B5" s="7" t="s">
        <v>260</v>
      </c>
      <c r="C5" s="2" t="s">
        <v>664</v>
      </c>
      <c r="D5">
        <f>VLOOKUP(B5,'Model allocations'!$A$1:$L$317,3,FALSE)</f>
        <v>32693.320274779297</v>
      </c>
      <c r="E5" s="31">
        <f>VLOOKUP(B5,'Initial adjusted formula count'!$A$1:$P$317,12,FALSE)</f>
        <v>9.22459893048128E-2</v>
      </c>
      <c r="F5">
        <f>VLOOKUP(B5,'Model allocations'!$A$1:$L$317,8,FALSE)</f>
        <v>59972.287124754082</v>
      </c>
      <c r="G5" s="30">
        <f t="shared" ref="G5:G68" si="8">IF(E5&lt;0.15,0.85,IF(AND(E5&gt;=0.15,E5&lt;0.3),0.9,0.95))</f>
        <v>0.85</v>
      </c>
      <c r="H5">
        <f t="shared" ref="H5:H68" si="9">IF(F5 = 0, 0, D5*G5)</f>
        <v>27789.322233562401</v>
      </c>
      <c r="I5">
        <f t="shared" si="1"/>
        <v>0</v>
      </c>
      <c r="J5">
        <f t="shared" si="2"/>
        <v>59972.287124754082</v>
      </c>
      <c r="K5">
        <f t="shared" si="3"/>
        <v>59944.801490434998</v>
      </c>
      <c r="L5">
        <f t="shared" ref="L5:L68" si="10">I5+K5</f>
        <v>59944.801490434998</v>
      </c>
      <c r="M5">
        <f t="shared" si="4"/>
        <v>0</v>
      </c>
      <c r="N5" s="29">
        <f t="shared" ref="N5:N68" si="11">IF($I5+$M5=0,L5,0)</f>
        <v>59944.801490434998</v>
      </c>
      <c r="O5" s="29">
        <f t="shared" si="5"/>
        <v>59941.728784212879</v>
      </c>
      <c r="P5" s="29">
        <f t="shared" ref="P5:P68" si="12">$I5+$M5+O5</f>
        <v>59941.728784212879</v>
      </c>
      <c r="Q5">
        <f t="shared" ref="Q5:Q68" si="13">IF(P5&lt;H5,H5,0)</f>
        <v>0</v>
      </c>
      <c r="R5" s="29">
        <f t="shared" ref="R5:R68" si="14">IF($I5+$M5+$Q5=0,P5,0)</f>
        <v>59941.728784212879</v>
      </c>
      <c r="S5" s="29">
        <f t="shared" si="6"/>
        <v>59941.725971848609</v>
      </c>
      <c r="T5" s="29">
        <f t="shared" ref="T5:T68" si="15">$I5+$M5+$Q5+S5</f>
        <v>59941.725971848609</v>
      </c>
      <c r="U5">
        <f t="shared" ref="U5:U68" si="16">IF(T5&lt;H5,H5,0)</f>
        <v>0</v>
      </c>
      <c r="V5" s="29">
        <f t="shared" ref="V5:V68" si="17">IF($I5+$M5+$Q5+U5=0,T5,0)</f>
        <v>59941.725971848609</v>
      </c>
      <c r="W5" s="29">
        <f t="shared" si="7"/>
        <v>59941.725971848675</v>
      </c>
      <c r="X5" s="29">
        <f t="shared" ref="X5:X68" si="18">$I5+$M5+$Q5+$U5+W5</f>
        <v>59941.725971848675</v>
      </c>
      <c r="Y5">
        <f t="shared" ref="Y5:Y68" si="19">IF(X5&lt;H5,H5,0)</f>
        <v>0</v>
      </c>
    </row>
    <row r="6" spans="1:26" x14ac:dyDescent="0.25">
      <c r="A6" s="4" t="s">
        <v>665</v>
      </c>
      <c r="B6" s="7" t="s">
        <v>262</v>
      </c>
      <c r="C6" s="2" t="s">
        <v>666</v>
      </c>
      <c r="D6">
        <f>VLOOKUP(B6,'Model allocations'!$A$1:$L$317,3,FALSE)</f>
        <v>0</v>
      </c>
      <c r="E6" s="31">
        <f>VLOOKUP(B6,'Initial adjusted formula count'!$A$1:$P$317,12,FALSE)</f>
        <v>0.18181818181818199</v>
      </c>
      <c r="F6">
        <f>VLOOKUP(B6,'Model allocations'!$A$1:$L$317,8,FALSE)</f>
        <v>15644.944467327152</v>
      </c>
      <c r="G6" s="30">
        <f t="shared" si="8"/>
        <v>0.9</v>
      </c>
      <c r="H6">
        <f t="shared" si="9"/>
        <v>0</v>
      </c>
      <c r="I6">
        <f t="shared" si="1"/>
        <v>0</v>
      </c>
      <c r="J6">
        <f t="shared" si="2"/>
        <v>15644.944467327152</v>
      </c>
      <c r="K6">
        <f t="shared" si="3"/>
        <v>15637.774301852609</v>
      </c>
      <c r="L6">
        <f t="shared" si="10"/>
        <v>15637.774301852609</v>
      </c>
      <c r="M6">
        <f t="shared" si="4"/>
        <v>0</v>
      </c>
      <c r="N6" s="29">
        <f t="shared" si="11"/>
        <v>15637.774301852609</v>
      </c>
      <c r="O6" s="29">
        <f t="shared" si="5"/>
        <v>15636.972726316404</v>
      </c>
      <c r="P6" s="29">
        <f t="shared" si="12"/>
        <v>15636.972726316404</v>
      </c>
      <c r="Q6">
        <f t="shared" si="13"/>
        <v>0</v>
      </c>
      <c r="R6" s="29">
        <f t="shared" si="14"/>
        <v>15636.972726316404</v>
      </c>
      <c r="S6" s="29">
        <f t="shared" si="6"/>
        <v>15636.971992656161</v>
      </c>
      <c r="T6" s="29">
        <f t="shared" si="15"/>
        <v>15636.971992656161</v>
      </c>
      <c r="U6">
        <f t="shared" si="16"/>
        <v>0</v>
      </c>
      <c r="V6" s="29">
        <f t="shared" si="17"/>
        <v>15636.971992656161</v>
      </c>
      <c r="W6" s="29">
        <f t="shared" si="7"/>
        <v>15636.971992656177</v>
      </c>
      <c r="X6" s="29">
        <f t="shared" si="18"/>
        <v>15636.971992656177</v>
      </c>
      <c r="Y6">
        <f t="shared" si="19"/>
        <v>0</v>
      </c>
    </row>
    <row r="7" spans="1:26" x14ac:dyDescent="0.25">
      <c r="A7" s="4" t="s">
        <v>667</v>
      </c>
      <c r="B7" s="7" t="s">
        <v>89</v>
      </c>
      <c r="C7" s="2" t="s">
        <v>668</v>
      </c>
      <c r="D7">
        <f>VLOOKUP(B7,'Model allocations'!$A$1:$L$317,3,FALSE)</f>
        <v>229713.59245700185</v>
      </c>
      <c r="E7" s="31">
        <f>VLOOKUP(B7,'Initial adjusted formula count'!$A$1:$P$317,12,FALSE)</f>
        <v>8.3602439899533601E-2</v>
      </c>
      <c r="F7">
        <f>VLOOKUP(B7,'Model allocations'!$A$1:$L$317,8,FALSE)</f>
        <v>202515.11449373481</v>
      </c>
      <c r="G7" s="30">
        <f t="shared" si="8"/>
        <v>0.85</v>
      </c>
      <c r="H7">
        <f t="shared" si="9"/>
        <v>195256.55358845158</v>
      </c>
      <c r="I7">
        <f t="shared" si="1"/>
        <v>0</v>
      </c>
      <c r="J7">
        <f t="shared" si="2"/>
        <v>202515.11449373481</v>
      </c>
      <c r="K7">
        <f t="shared" si="3"/>
        <v>202422.30068509214</v>
      </c>
      <c r="L7">
        <f t="shared" si="10"/>
        <v>202422.30068509214</v>
      </c>
      <c r="M7">
        <f t="shared" si="4"/>
        <v>0</v>
      </c>
      <c r="N7" s="29">
        <f t="shared" si="11"/>
        <v>202422.30068509214</v>
      </c>
      <c r="O7" s="29">
        <f t="shared" si="5"/>
        <v>202411.92473509573</v>
      </c>
      <c r="P7" s="29">
        <f t="shared" si="12"/>
        <v>202411.92473509573</v>
      </c>
      <c r="Q7">
        <f t="shared" si="13"/>
        <v>0</v>
      </c>
      <c r="R7" s="29">
        <f t="shared" si="14"/>
        <v>202411.92473509573</v>
      </c>
      <c r="S7" s="29">
        <f t="shared" si="6"/>
        <v>202411.91523827147</v>
      </c>
      <c r="T7" s="29">
        <f t="shared" si="15"/>
        <v>202411.91523827147</v>
      </c>
      <c r="U7">
        <f t="shared" si="16"/>
        <v>0</v>
      </c>
      <c r="V7" s="29">
        <f t="shared" si="17"/>
        <v>202411.91523827147</v>
      </c>
      <c r="W7" s="29">
        <f t="shared" si="7"/>
        <v>202411.91523827167</v>
      </c>
      <c r="X7" s="29">
        <f t="shared" si="18"/>
        <v>202411.91523827167</v>
      </c>
      <c r="Y7">
        <f t="shared" si="19"/>
        <v>0</v>
      </c>
    </row>
    <row r="8" spans="1:26" x14ac:dyDescent="0.25">
      <c r="A8" s="4" t="s">
        <v>669</v>
      </c>
      <c r="B8" s="7" t="s">
        <v>91</v>
      </c>
      <c r="C8" s="2" t="s">
        <v>670</v>
      </c>
      <c r="D8">
        <f>VLOOKUP(B8,'Model allocations'!$A$1:$L$317,3,FALSE)</f>
        <v>484377.35038686154</v>
      </c>
      <c r="E8" s="31">
        <f>VLOOKUP(B8,'Initial adjusted formula count'!$A$1:$P$317,12,FALSE)</f>
        <v>9.1137965760322195E-2</v>
      </c>
      <c r="F8">
        <f>VLOOKUP(B8,'Model allocations'!$A$1:$L$317,8,FALSE)</f>
        <v>471955.82476436911</v>
      </c>
      <c r="G8" s="30">
        <f t="shared" si="8"/>
        <v>0.85</v>
      </c>
      <c r="H8">
        <f t="shared" si="9"/>
        <v>411720.7478288323</v>
      </c>
      <c r="I8">
        <f t="shared" si="1"/>
        <v>0</v>
      </c>
      <c r="J8">
        <f t="shared" si="2"/>
        <v>471955.82476436911</v>
      </c>
      <c r="K8">
        <f t="shared" si="3"/>
        <v>471739.52477255376</v>
      </c>
      <c r="L8">
        <f t="shared" si="10"/>
        <v>471739.52477255376</v>
      </c>
      <c r="M8">
        <f t="shared" si="4"/>
        <v>0</v>
      </c>
      <c r="N8" s="29">
        <f t="shared" si="11"/>
        <v>471739.52477255376</v>
      </c>
      <c r="O8" s="29">
        <f t="shared" si="5"/>
        <v>471715.34391054494</v>
      </c>
      <c r="P8" s="29">
        <f t="shared" si="12"/>
        <v>471715.34391054494</v>
      </c>
      <c r="Q8">
        <f t="shared" si="13"/>
        <v>0</v>
      </c>
      <c r="R8" s="29">
        <f t="shared" si="14"/>
        <v>471715.34391054494</v>
      </c>
      <c r="S8" s="29">
        <f t="shared" si="6"/>
        <v>471715.32177846099</v>
      </c>
      <c r="T8" s="29">
        <f t="shared" si="15"/>
        <v>471715.32177846099</v>
      </c>
      <c r="U8">
        <f t="shared" si="16"/>
        <v>0</v>
      </c>
      <c r="V8" s="29">
        <f t="shared" si="17"/>
        <v>471715.32177846099</v>
      </c>
      <c r="W8" s="29">
        <f t="shared" si="7"/>
        <v>471715.32177846151</v>
      </c>
      <c r="X8" s="29">
        <f t="shared" si="18"/>
        <v>471715.32177846151</v>
      </c>
      <c r="Y8">
        <f t="shared" si="19"/>
        <v>0</v>
      </c>
    </row>
    <row r="9" spans="1:26" x14ac:dyDescent="0.25">
      <c r="A9" s="4" t="s">
        <v>671</v>
      </c>
      <c r="B9" s="7" t="s">
        <v>310</v>
      </c>
      <c r="C9" s="2" t="s">
        <v>672</v>
      </c>
      <c r="D9">
        <f>VLOOKUP(B9,'Model allocations'!$A$1:$L$317,3,FALSE)</f>
        <v>43950.743131969139</v>
      </c>
      <c r="E9" s="31">
        <f>VLOOKUP(B9,'Initial adjusted formula count'!$A$1:$P$317,12,FALSE)</f>
        <v>5.72597137014315E-2</v>
      </c>
      <c r="F9">
        <f>VLOOKUP(B9,'Model allocations'!$A$1:$L$317,8,FALSE)</f>
        <v>37227.280062656522</v>
      </c>
      <c r="G9" s="30">
        <f t="shared" si="8"/>
        <v>0.85</v>
      </c>
      <c r="H9">
        <f t="shared" si="9"/>
        <v>37358.131662173764</v>
      </c>
      <c r="I9">
        <f t="shared" si="1"/>
        <v>37358.131662173764</v>
      </c>
      <c r="J9">
        <f t="shared" si="2"/>
        <v>0</v>
      </c>
      <c r="K9">
        <f t="shared" si="3"/>
        <v>0</v>
      </c>
      <c r="L9">
        <f t="shared" si="10"/>
        <v>37358.131662173764</v>
      </c>
      <c r="M9">
        <f t="shared" si="4"/>
        <v>0</v>
      </c>
      <c r="N9" s="29">
        <f t="shared" si="11"/>
        <v>0</v>
      </c>
      <c r="O9" s="29">
        <f t="shared" si="5"/>
        <v>0</v>
      </c>
      <c r="P9" s="29">
        <f t="shared" si="12"/>
        <v>37358.131662173764</v>
      </c>
      <c r="Q9">
        <f t="shared" si="13"/>
        <v>0</v>
      </c>
      <c r="R9" s="29">
        <f t="shared" si="14"/>
        <v>0</v>
      </c>
      <c r="S9" s="29">
        <f t="shared" si="6"/>
        <v>0</v>
      </c>
      <c r="T9" s="29">
        <f t="shared" si="15"/>
        <v>37358.131662173764</v>
      </c>
      <c r="U9">
        <f t="shared" si="16"/>
        <v>0</v>
      </c>
      <c r="V9" s="29">
        <f t="shared" si="17"/>
        <v>0</v>
      </c>
      <c r="W9" s="29">
        <f t="shared" si="7"/>
        <v>0</v>
      </c>
      <c r="X9" s="29">
        <f t="shared" si="18"/>
        <v>37358.131662173764</v>
      </c>
      <c r="Y9">
        <f t="shared" si="19"/>
        <v>0</v>
      </c>
    </row>
    <row r="10" spans="1:26" x14ac:dyDescent="0.25">
      <c r="A10" s="4" t="s">
        <v>673</v>
      </c>
      <c r="B10" s="7" t="s">
        <v>312</v>
      </c>
      <c r="C10" s="2" t="s">
        <v>674</v>
      </c>
      <c r="D10">
        <f>VLOOKUP(B10,'Model allocations'!$A$1:$L$317,3,FALSE)</f>
        <v>2598258.6113114059</v>
      </c>
      <c r="E10" s="31">
        <f>VLOOKUP(B10,'Initial adjusted formula count'!$A$1:$P$317,12,FALSE)</f>
        <v>0.152858619376598</v>
      </c>
      <c r="F10">
        <f>VLOOKUP(B10,'Model allocations'!$A$1:$L$317,8,FALSE)</f>
        <v>2442349.6640660716</v>
      </c>
      <c r="G10" s="30">
        <f t="shared" si="8"/>
        <v>0.9</v>
      </c>
      <c r="H10">
        <f t="shared" si="9"/>
        <v>2338432.7501802654</v>
      </c>
      <c r="I10">
        <f t="shared" si="1"/>
        <v>0</v>
      </c>
      <c r="J10">
        <f t="shared" si="2"/>
        <v>2442349.6640660716</v>
      </c>
      <c r="K10">
        <f t="shared" si="3"/>
        <v>2441230.3215669906</v>
      </c>
      <c r="L10">
        <f t="shared" si="10"/>
        <v>2441230.3215669906</v>
      </c>
      <c r="M10">
        <f t="shared" si="4"/>
        <v>0</v>
      </c>
      <c r="N10" s="29">
        <f t="shared" si="11"/>
        <v>2441230.3215669906</v>
      </c>
      <c r="O10" s="29">
        <f t="shared" si="5"/>
        <v>2441105.1867193943</v>
      </c>
      <c r="P10" s="29">
        <f t="shared" si="12"/>
        <v>2441105.1867193943</v>
      </c>
      <c r="Q10">
        <f t="shared" si="13"/>
        <v>0</v>
      </c>
      <c r="R10" s="29">
        <f t="shared" si="14"/>
        <v>2441105.1867193943</v>
      </c>
      <c r="S10" s="29">
        <f t="shared" si="6"/>
        <v>2441105.0721868789</v>
      </c>
      <c r="T10" s="29">
        <f t="shared" si="15"/>
        <v>2441105.0721868789</v>
      </c>
      <c r="U10">
        <f t="shared" si="16"/>
        <v>0</v>
      </c>
      <c r="V10" s="29">
        <f t="shared" si="17"/>
        <v>2441105.0721868789</v>
      </c>
      <c r="W10" s="29">
        <f t="shared" si="7"/>
        <v>2441105.0721868817</v>
      </c>
      <c r="X10" s="29">
        <f t="shared" si="18"/>
        <v>2441105.0721868817</v>
      </c>
      <c r="Y10">
        <f t="shared" si="19"/>
        <v>0</v>
      </c>
    </row>
    <row r="11" spans="1:26" x14ac:dyDescent="0.25">
      <c r="A11" s="4" t="s">
        <v>675</v>
      </c>
      <c r="B11" s="7" t="s">
        <v>93</v>
      </c>
      <c r="C11" s="2" t="s">
        <v>676</v>
      </c>
      <c r="D11">
        <f>VLOOKUP(B11,'Model allocations'!$A$1:$L$317,3,FALSE)</f>
        <v>122169.77576364891</v>
      </c>
      <c r="E11" s="31">
        <f>VLOOKUP(B11,'Initial adjusted formula count'!$A$1:$P$317,12,FALSE)</f>
        <v>3.7764350453172203E-2</v>
      </c>
      <c r="F11">
        <f>VLOOKUP(B11,'Model allocations'!$A$1:$L$317,8,FALSE)</f>
        <v>130374.53722772626</v>
      </c>
      <c r="G11" s="30">
        <f t="shared" si="8"/>
        <v>0.85</v>
      </c>
      <c r="H11">
        <f t="shared" si="9"/>
        <v>103844.30939910158</v>
      </c>
      <c r="I11">
        <f t="shared" si="1"/>
        <v>0</v>
      </c>
      <c r="J11">
        <f t="shared" si="2"/>
        <v>130374.53722772626</v>
      </c>
      <c r="K11">
        <f t="shared" si="3"/>
        <v>130314.78584877175</v>
      </c>
      <c r="L11">
        <f t="shared" si="10"/>
        <v>130314.78584877175</v>
      </c>
      <c r="M11">
        <f t="shared" si="4"/>
        <v>0</v>
      </c>
      <c r="N11" s="29">
        <f t="shared" si="11"/>
        <v>130314.78584877175</v>
      </c>
      <c r="O11" s="29">
        <f t="shared" si="5"/>
        <v>130308.10605263671</v>
      </c>
      <c r="P11" s="29">
        <f t="shared" si="12"/>
        <v>130308.10605263671</v>
      </c>
      <c r="Q11">
        <f t="shared" si="13"/>
        <v>0</v>
      </c>
      <c r="R11" s="29">
        <f t="shared" si="14"/>
        <v>130308.10605263671</v>
      </c>
      <c r="S11" s="29">
        <f t="shared" si="6"/>
        <v>130308.09993880133</v>
      </c>
      <c r="T11" s="29">
        <f t="shared" si="15"/>
        <v>130308.09993880133</v>
      </c>
      <c r="U11">
        <f t="shared" si="16"/>
        <v>0</v>
      </c>
      <c r="V11" s="29">
        <f t="shared" si="17"/>
        <v>130308.09993880133</v>
      </c>
      <c r="W11" s="29">
        <f t="shared" si="7"/>
        <v>130308.09993880148</v>
      </c>
      <c r="X11" s="29">
        <f t="shared" si="18"/>
        <v>130308.09993880148</v>
      </c>
      <c r="Y11">
        <f t="shared" si="19"/>
        <v>0</v>
      </c>
    </row>
    <row r="12" spans="1:26" x14ac:dyDescent="0.25">
      <c r="A12" s="4" t="s">
        <v>677</v>
      </c>
      <c r="B12" s="7" t="s">
        <v>95</v>
      </c>
      <c r="C12" s="2" t="s">
        <v>678</v>
      </c>
      <c r="D12">
        <f>VLOOKUP(B12,'Model allocations'!$A$1:$L$317,3,FALSE)</f>
        <v>774631.84770095581</v>
      </c>
      <c r="E12" s="31">
        <f>VLOOKUP(B12,'Initial adjusted formula count'!$A$1:$P$317,12,FALSE)</f>
        <v>5.6461731493099097E-2</v>
      </c>
      <c r="F12">
        <f>VLOOKUP(B12,'Model allocations'!$A$1:$L$317,8,FALSE)</f>
        <v>782247.22336635739</v>
      </c>
      <c r="G12" s="30">
        <f t="shared" si="8"/>
        <v>0.85</v>
      </c>
      <c r="H12">
        <f t="shared" si="9"/>
        <v>658437.07054581237</v>
      </c>
      <c r="I12">
        <f t="shared" si="1"/>
        <v>0</v>
      </c>
      <c r="J12">
        <f t="shared" si="2"/>
        <v>782247.22336635739</v>
      </c>
      <c r="K12">
        <f t="shared" si="3"/>
        <v>781888.71509263036</v>
      </c>
      <c r="L12">
        <f t="shared" si="10"/>
        <v>781888.71509263036</v>
      </c>
      <c r="M12">
        <f t="shared" si="4"/>
        <v>0</v>
      </c>
      <c r="N12" s="29">
        <f t="shared" si="11"/>
        <v>781888.71509263036</v>
      </c>
      <c r="O12" s="29">
        <f t="shared" si="5"/>
        <v>781848.63631582016</v>
      </c>
      <c r="P12" s="29">
        <f t="shared" si="12"/>
        <v>781848.63631582016</v>
      </c>
      <c r="Q12">
        <f t="shared" si="13"/>
        <v>0</v>
      </c>
      <c r="R12" s="29">
        <f t="shared" si="14"/>
        <v>781848.63631582016</v>
      </c>
      <c r="S12" s="29">
        <f t="shared" si="6"/>
        <v>781848.59963280801</v>
      </c>
      <c r="T12" s="29">
        <f t="shared" si="15"/>
        <v>781848.59963280801</v>
      </c>
      <c r="U12">
        <f t="shared" si="16"/>
        <v>0</v>
      </c>
      <c r="V12" s="29">
        <f t="shared" si="17"/>
        <v>781848.59963280801</v>
      </c>
      <c r="W12" s="29">
        <f t="shared" si="7"/>
        <v>781848.59963280894</v>
      </c>
      <c r="X12" s="29">
        <f t="shared" si="18"/>
        <v>781848.59963280894</v>
      </c>
      <c r="Y12">
        <f t="shared" si="19"/>
        <v>0</v>
      </c>
    </row>
    <row r="13" spans="1:26" x14ac:dyDescent="0.25">
      <c r="A13" s="4" t="s">
        <v>679</v>
      </c>
      <c r="B13" s="7" t="s">
        <v>97</v>
      </c>
      <c r="C13" s="2" t="s">
        <v>680</v>
      </c>
      <c r="D13">
        <f>VLOOKUP(B13,'Model allocations'!$A$1:$L$317,3,FALSE)</f>
        <v>1159752.519221118</v>
      </c>
      <c r="E13" s="31">
        <f>VLOOKUP(B13,'Initial adjusted formula count'!$A$1:$P$317,12,FALSE)</f>
        <v>6.5075343379117204E-2</v>
      </c>
      <c r="F13">
        <f>VLOOKUP(B13,'Model allocations'!$A$1:$L$317,8,FALSE)</f>
        <v>1272455.4833426082</v>
      </c>
      <c r="G13" s="30">
        <f t="shared" si="8"/>
        <v>0.85</v>
      </c>
      <c r="H13">
        <f t="shared" si="9"/>
        <v>985789.64133795025</v>
      </c>
      <c r="I13">
        <f t="shared" si="1"/>
        <v>0</v>
      </c>
      <c r="J13">
        <f t="shared" si="2"/>
        <v>1272455.4833426082</v>
      </c>
      <c r="K13">
        <f t="shared" si="3"/>
        <v>1271872.309884012</v>
      </c>
      <c r="L13">
        <f t="shared" si="10"/>
        <v>1271872.309884012</v>
      </c>
      <c r="M13">
        <f t="shared" si="4"/>
        <v>0</v>
      </c>
      <c r="N13" s="29">
        <f t="shared" si="11"/>
        <v>1271872.309884012</v>
      </c>
      <c r="O13" s="29">
        <f t="shared" si="5"/>
        <v>1271807.115073734</v>
      </c>
      <c r="P13" s="29">
        <f t="shared" si="12"/>
        <v>1271807.115073734</v>
      </c>
      <c r="Q13">
        <f t="shared" si="13"/>
        <v>0</v>
      </c>
      <c r="R13" s="29">
        <f t="shared" si="14"/>
        <v>1271807.115073734</v>
      </c>
      <c r="S13" s="29">
        <f t="shared" si="6"/>
        <v>1271807.0554027008</v>
      </c>
      <c r="T13" s="29">
        <f t="shared" si="15"/>
        <v>1271807.0554027008</v>
      </c>
      <c r="U13">
        <f t="shared" si="16"/>
        <v>0</v>
      </c>
      <c r="V13" s="29">
        <f t="shared" si="17"/>
        <v>1271807.0554027008</v>
      </c>
      <c r="W13" s="29">
        <f t="shared" si="7"/>
        <v>1271807.0554027022</v>
      </c>
      <c r="X13" s="29">
        <f t="shared" si="18"/>
        <v>1271807.0554027022</v>
      </c>
      <c r="Y13">
        <f t="shared" si="19"/>
        <v>0</v>
      </c>
    </row>
    <row r="14" spans="1:26" x14ac:dyDescent="0.25">
      <c r="A14" s="4" t="s">
        <v>14</v>
      </c>
      <c r="B14" s="7" t="s">
        <v>56</v>
      </c>
      <c r="C14" s="2" t="s">
        <v>681</v>
      </c>
      <c r="D14">
        <f>VLOOKUP(B14,'Model allocations'!$A$1:$L$317,3,FALSE)</f>
        <v>1235715.3716398529</v>
      </c>
      <c r="E14" s="31">
        <f>VLOOKUP(B14,'Initial adjusted formula count'!$A$1:$P$317,12,FALSE)</f>
        <v>0.107499112021232</v>
      </c>
      <c r="F14">
        <f>VLOOKUP(B14,'Model allocations'!$A$1:$L$317,8,FALSE)</f>
        <v>1163579.7736674501</v>
      </c>
      <c r="G14" s="30">
        <f t="shared" si="8"/>
        <v>0.85</v>
      </c>
      <c r="H14">
        <f t="shared" si="9"/>
        <v>1050358.065893875</v>
      </c>
      <c r="I14">
        <f t="shared" si="1"/>
        <v>0</v>
      </c>
      <c r="J14">
        <f t="shared" si="2"/>
        <v>1163579.7736674501</v>
      </c>
      <c r="K14">
        <f t="shared" si="3"/>
        <v>1163046.4985550041</v>
      </c>
      <c r="L14">
        <f t="shared" si="10"/>
        <v>1163046.4985550041</v>
      </c>
      <c r="M14">
        <f t="shared" si="4"/>
        <v>0</v>
      </c>
      <c r="N14" s="29">
        <f t="shared" si="11"/>
        <v>1163046.4985550041</v>
      </c>
      <c r="O14" s="29">
        <f t="shared" si="5"/>
        <v>1162986.8820390783</v>
      </c>
      <c r="P14" s="29">
        <f t="shared" si="12"/>
        <v>1162986.8820390783</v>
      </c>
      <c r="Q14">
        <f t="shared" si="13"/>
        <v>0</v>
      </c>
      <c r="R14" s="29">
        <f t="shared" si="14"/>
        <v>1162986.8820390783</v>
      </c>
      <c r="S14" s="29">
        <f t="shared" si="6"/>
        <v>1162986.8274737059</v>
      </c>
      <c r="T14" s="29">
        <f t="shared" si="15"/>
        <v>1162986.8274737059</v>
      </c>
      <c r="U14">
        <f t="shared" si="16"/>
        <v>0</v>
      </c>
      <c r="V14" s="29">
        <f t="shared" si="17"/>
        <v>1162986.8274737059</v>
      </c>
      <c r="W14" s="29">
        <f t="shared" si="7"/>
        <v>1162986.8274737073</v>
      </c>
      <c r="X14" s="29">
        <f t="shared" si="18"/>
        <v>1162986.8274737073</v>
      </c>
      <c r="Y14">
        <f t="shared" si="19"/>
        <v>0</v>
      </c>
    </row>
    <row r="15" spans="1:26" x14ac:dyDescent="0.25">
      <c r="A15" s="4" t="s">
        <v>682</v>
      </c>
      <c r="B15" s="7" t="s">
        <v>99</v>
      </c>
      <c r="C15" s="2" t="s">
        <v>683</v>
      </c>
      <c r="D15">
        <f>VLOOKUP(B15,'Model allocations'!$A$1:$L$317,3,FALSE)</f>
        <v>0</v>
      </c>
      <c r="E15" s="31">
        <f>VLOOKUP(B15,'Initial adjusted formula count'!$A$1:$P$317,12,FALSE)</f>
        <v>0.125</v>
      </c>
      <c r="F15">
        <f>VLOOKUP(B15,'Model allocations'!$A$1:$L$317,8,FALSE)</f>
        <v>0</v>
      </c>
      <c r="G15" s="30">
        <f t="shared" si="8"/>
        <v>0.85</v>
      </c>
      <c r="H15">
        <f t="shared" si="9"/>
        <v>0</v>
      </c>
      <c r="I15">
        <f t="shared" si="1"/>
        <v>0</v>
      </c>
      <c r="J15">
        <f t="shared" si="2"/>
        <v>0</v>
      </c>
      <c r="K15">
        <f t="shared" si="3"/>
        <v>0</v>
      </c>
      <c r="L15">
        <f t="shared" si="10"/>
        <v>0</v>
      </c>
      <c r="M15">
        <f t="shared" si="4"/>
        <v>0</v>
      </c>
      <c r="N15" s="29">
        <f t="shared" si="11"/>
        <v>0</v>
      </c>
      <c r="O15" s="29">
        <f t="shared" si="5"/>
        <v>0</v>
      </c>
      <c r="P15" s="29">
        <f t="shared" si="12"/>
        <v>0</v>
      </c>
      <c r="Q15">
        <f t="shared" si="13"/>
        <v>0</v>
      </c>
      <c r="R15" s="29">
        <f t="shared" si="14"/>
        <v>0</v>
      </c>
      <c r="S15" s="29">
        <f t="shared" si="6"/>
        <v>0</v>
      </c>
      <c r="T15" s="29">
        <f t="shared" si="15"/>
        <v>0</v>
      </c>
      <c r="U15">
        <f t="shared" si="16"/>
        <v>0</v>
      </c>
      <c r="V15" s="29">
        <f t="shared" si="17"/>
        <v>0</v>
      </c>
      <c r="W15" s="29">
        <f t="shared" si="7"/>
        <v>0</v>
      </c>
      <c r="X15" s="29">
        <f t="shared" si="18"/>
        <v>0</v>
      </c>
      <c r="Y15">
        <f t="shared" si="19"/>
        <v>0</v>
      </c>
    </row>
    <row r="16" spans="1:26" x14ac:dyDescent="0.25">
      <c r="A16" s="4" t="s">
        <v>684</v>
      </c>
      <c r="B16" s="7" t="s">
        <v>264</v>
      </c>
      <c r="C16" s="2" t="s">
        <v>685</v>
      </c>
      <c r="D16">
        <f>VLOOKUP(B16,'Model allocations'!$A$1:$L$317,3,FALSE)</f>
        <v>1977085.5260905998</v>
      </c>
      <c r="E16" s="31">
        <f>VLOOKUP(B16,'Initial adjusted formula count'!$A$1:$P$317,12,FALSE)</f>
        <v>0.103161876567575</v>
      </c>
      <c r="F16">
        <f>VLOOKUP(B16,'Model allocations'!$A$1:$L$317,8,FALSE)</f>
        <v>2180731.4260291015</v>
      </c>
      <c r="G16" s="30">
        <f t="shared" si="8"/>
        <v>0.85</v>
      </c>
      <c r="H16">
        <f t="shared" si="9"/>
        <v>1680522.6971770099</v>
      </c>
      <c r="I16">
        <f t="shared" si="1"/>
        <v>0</v>
      </c>
      <c r="J16">
        <f t="shared" si="2"/>
        <v>2180731.4260291015</v>
      </c>
      <c r="K16">
        <f t="shared" si="3"/>
        <v>2179731.9846304557</v>
      </c>
      <c r="L16">
        <f t="shared" si="10"/>
        <v>2179731.9846304557</v>
      </c>
      <c r="M16">
        <f t="shared" si="4"/>
        <v>0</v>
      </c>
      <c r="N16" s="29">
        <f t="shared" si="11"/>
        <v>2179731.9846304557</v>
      </c>
      <c r="O16" s="29">
        <f t="shared" si="5"/>
        <v>2179620.2539071036</v>
      </c>
      <c r="P16" s="29">
        <f t="shared" si="12"/>
        <v>2179620.2539071036</v>
      </c>
      <c r="Q16">
        <f t="shared" si="13"/>
        <v>0</v>
      </c>
      <c r="R16" s="29">
        <f t="shared" si="14"/>
        <v>2179620.2539071036</v>
      </c>
      <c r="S16" s="29">
        <f t="shared" si="6"/>
        <v>2179620.1516430173</v>
      </c>
      <c r="T16" s="29">
        <f t="shared" si="15"/>
        <v>2179620.1516430173</v>
      </c>
      <c r="U16">
        <f t="shared" si="16"/>
        <v>0</v>
      </c>
      <c r="V16" s="29">
        <f t="shared" si="17"/>
        <v>2179620.1516430173</v>
      </c>
      <c r="W16" s="29">
        <f t="shared" si="7"/>
        <v>2179620.1516430196</v>
      </c>
      <c r="X16" s="29">
        <f t="shared" si="18"/>
        <v>2179620.1516430196</v>
      </c>
      <c r="Y16">
        <f t="shared" si="19"/>
        <v>0</v>
      </c>
    </row>
    <row r="17" spans="1:25" x14ac:dyDescent="0.25">
      <c r="A17" s="4" t="s">
        <v>686</v>
      </c>
      <c r="B17" s="7" t="s">
        <v>314</v>
      </c>
      <c r="C17" s="2" t="s">
        <v>687</v>
      </c>
      <c r="D17">
        <f>VLOOKUP(B17,'Model allocations'!$A$1:$L$317,3,FALSE)</f>
        <v>10906.893975764393</v>
      </c>
      <c r="E17" s="31">
        <f>VLOOKUP(B17,'Initial adjusted formula count'!$A$1:$P$317,12,FALSE)</f>
        <v>0.113924050632911</v>
      </c>
      <c r="F17">
        <f>VLOOKUP(B17,'Model allocations'!$A$1:$L$317,8,FALSE)</f>
        <v>0</v>
      </c>
      <c r="G17" s="30">
        <f t="shared" si="8"/>
        <v>0.85</v>
      </c>
      <c r="H17">
        <f t="shared" si="9"/>
        <v>0</v>
      </c>
      <c r="I17">
        <f t="shared" si="1"/>
        <v>0</v>
      </c>
      <c r="J17">
        <f t="shared" si="2"/>
        <v>0</v>
      </c>
      <c r="K17">
        <f t="shared" si="3"/>
        <v>0</v>
      </c>
      <c r="L17">
        <f t="shared" si="10"/>
        <v>0</v>
      </c>
      <c r="M17">
        <f t="shared" si="4"/>
        <v>0</v>
      </c>
      <c r="N17" s="29">
        <f t="shared" si="11"/>
        <v>0</v>
      </c>
      <c r="O17" s="29">
        <f t="shared" si="5"/>
        <v>0</v>
      </c>
      <c r="P17" s="29">
        <f t="shared" si="12"/>
        <v>0</v>
      </c>
      <c r="Q17">
        <f t="shared" si="13"/>
        <v>0</v>
      </c>
      <c r="R17" s="29">
        <f t="shared" si="14"/>
        <v>0</v>
      </c>
      <c r="S17" s="29">
        <f t="shared" si="6"/>
        <v>0</v>
      </c>
      <c r="T17" s="29">
        <f t="shared" si="15"/>
        <v>0</v>
      </c>
      <c r="U17">
        <f t="shared" si="16"/>
        <v>0</v>
      </c>
      <c r="V17" s="29">
        <f t="shared" si="17"/>
        <v>0</v>
      </c>
      <c r="W17" s="29">
        <f t="shared" si="7"/>
        <v>0</v>
      </c>
      <c r="X17" s="29">
        <f t="shared" si="18"/>
        <v>0</v>
      </c>
      <c r="Y17">
        <f t="shared" si="19"/>
        <v>0</v>
      </c>
    </row>
    <row r="18" spans="1:25" x14ac:dyDescent="0.25">
      <c r="A18" s="4" t="s">
        <v>688</v>
      </c>
      <c r="B18" s="7" t="s">
        <v>316</v>
      </c>
      <c r="C18" s="2" t="s">
        <v>689</v>
      </c>
      <c r="D18">
        <f>VLOOKUP(B18,'Model allocations'!$A$1:$L$317,3,FALSE)</f>
        <v>267138.11059899989</v>
      </c>
      <c r="E18" s="31">
        <f>VLOOKUP(B18,'Initial adjusted formula count'!$A$1:$P$317,12,FALSE)</f>
        <v>0.123840258168616</v>
      </c>
      <c r="F18">
        <f>VLOOKUP(B18,'Model allocations'!$A$1:$L$317,8,FALSE)</f>
        <v>266833.21952607972</v>
      </c>
      <c r="G18" s="30">
        <f t="shared" si="8"/>
        <v>0.85</v>
      </c>
      <c r="H18">
        <f t="shared" si="9"/>
        <v>227067.3940091499</v>
      </c>
      <c r="I18">
        <f t="shared" si="1"/>
        <v>0</v>
      </c>
      <c r="J18">
        <f t="shared" si="2"/>
        <v>266833.21952607972</v>
      </c>
      <c r="K18">
        <f t="shared" si="3"/>
        <v>266710.92837048613</v>
      </c>
      <c r="L18">
        <f t="shared" si="10"/>
        <v>266710.92837048613</v>
      </c>
      <c r="M18">
        <f t="shared" si="4"/>
        <v>0</v>
      </c>
      <c r="N18" s="29">
        <f t="shared" si="11"/>
        <v>266710.92837048613</v>
      </c>
      <c r="O18" s="29">
        <f t="shared" si="5"/>
        <v>266697.25705439644</v>
      </c>
      <c r="P18" s="29">
        <f t="shared" si="12"/>
        <v>266697.25705439644</v>
      </c>
      <c r="Q18">
        <f t="shared" si="13"/>
        <v>0</v>
      </c>
      <c r="R18" s="29">
        <f t="shared" si="14"/>
        <v>266697.25705439644</v>
      </c>
      <c r="S18" s="29">
        <f t="shared" si="6"/>
        <v>266697.24454141338</v>
      </c>
      <c r="T18" s="29">
        <f t="shared" si="15"/>
        <v>266697.24454141338</v>
      </c>
      <c r="U18">
        <f t="shared" si="16"/>
        <v>0</v>
      </c>
      <c r="V18" s="29">
        <f t="shared" si="17"/>
        <v>266697.24454141338</v>
      </c>
      <c r="W18" s="29">
        <f t="shared" si="7"/>
        <v>266697.24454141367</v>
      </c>
      <c r="X18" s="29">
        <f t="shared" si="18"/>
        <v>266697.24454141367</v>
      </c>
      <c r="Y18">
        <f t="shared" si="19"/>
        <v>0</v>
      </c>
    </row>
    <row r="19" spans="1:25" x14ac:dyDescent="0.25">
      <c r="A19" s="4" t="s">
        <v>690</v>
      </c>
      <c r="B19" s="7" t="s">
        <v>318</v>
      </c>
      <c r="C19" s="2" t="s">
        <v>691</v>
      </c>
      <c r="D19">
        <f>VLOOKUP(B19,'Model allocations'!$A$1:$L$317,3,FALSE)</f>
        <v>24089.814939311054</v>
      </c>
      <c r="E19" s="31">
        <f>VLOOKUP(B19,'Initial adjusted formula count'!$A$1:$P$317,12,FALSE)</f>
        <v>0.11009174311926601</v>
      </c>
      <c r="F19">
        <f>VLOOKUP(B19,'Model allocations'!$A$1:$L$317,8,FALSE)</f>
        <v>20859.925956436204</v>
      </c>
      <c r="G19" s="30">
        <f t="shared" si="8"/>
        <v>0.85</v>
      </c>
      <c r="H19">
        <f t="shared" si="9"/>
        <v>20476.342698414395</v>
      </c>
      <c r="I19">
        <f t="shared" si="1"/>
        <v>0</v>
      </c>
      <c r="J19">
        <f t="shared" si="2"/>
        <v>20859.925956436204</v>
      </c>
      <c r="K19">
        <f t="shared" si="3"/>
        <v>20850.365735803483</v>
      </c>
      <c r="L19">
        <f t="shared" si="10"/>
        <v>20850.365735803483</v>
      </c>
      <c r="M19">
        <f t="shared" si="4"/>
        <v>0</v>
      </c>
      <c r="N19" s="29">
        <f t="shared" si="11"/>
        <v>20850.365735803483</v>
      </c>
      <c r="O19" s="29">
        <f t="shared" si="5"/>
        <v>20849.296968421881</v>
      </c>
      <c r="P19" s="29">
        <f t="shared" si="12"/>
        <v>20849.296968421881</v>
      </c>
      <c r="Q19">
        <f t="shared" si="13"/>
        <v>0</v>
      </c>
      <c r="R19" s="29">
        <f t="shared" si="14"/>
        <v>20849.296968421881</v>
      </c>
      <c r="S19" s="29">
        <f t="shared" si="6"/>
        <v>20849.295990208226</v>
      </c>
      <c r="T19" s="29">
        <f t="shared" si="15"/>
        <v>20849.295990208226</v>
      </c>
      <c r="U19">
        <f t="shared" si="16"/>
        <v>0</v>
      </c>
      <c r="V19" s="29">
        <f t="shared" si="17"/>
        <v>20849.295990208226</v>
      </c>
      <c r="W19" s="29">
        <f t="shared" si="7"/>
        <v>20849.295990208251</v>
      </c>
      <c r="X19" s="29">
        <f t="shared" si="18"/>
        <v>20849.295990208251</v>
      </c>
      <c r="Y19">
        <f t="shared" si="19"/>
        <v>0</v>
      </c>
    </row>
    <row r="20" spans="1:25" x14ac:dyDescent="0.25">
      <c r="A20" s="4" t="s">
        <v>10</v>
      </c>
      <c r="B20" s="7" t="s">
        <v>55</v>
      </c>
      <c r="C20" s="2" t="s">
        <v>692</v>
      </c>
      <c r="D20">
        <f>VLOOKUP(B20,'Model allocations'!$A$1:$L$317,3,FALSE)</f>
        <v>819124.2124931392</v>
      </c>
      <c r="E20" s="31">
        <f>VLOOKUP(B20,'Initial adjusted formula count'!$A$1:$P$317,12,FALSE)</f>
        <v>0.16207927174450701</v>
      </c>
      <c r="F20">
        <f>VLOOKUP(B20,'Model allocations'!$A$1:$L$317,8,FALSE)</f>
        <v>732185.23724915972</v>
      </c>
      <c r="G20" s="30">
        <f t="shared" si="8"/>
        <v>0.9</v>
      </c>
      <c r="H20">
        <f t="shared" si="9"/>
        <v>737211.79124382534</v>
      </c>
      <c r="I20">
        <f t="shared" si="1"/>
        <v>737211.79124382534</v>
      </c>
      <c r="J20">
        <f t="shared" si="2"/>
        <v>0</v>
      </c>
      <c r="K20">
        <f t="shared" si="3"/>
        <v>0</v>
      </c>
      <c r="L20">
        <f t="shared" si="10"/>
        <v>737211.79124382534</v>
      </c>
      <c r="M20">
        <f t="shared" si="4"/>
        <v>0</v>
      </c>
      <c r="N20" s="29">
        <f t="shared" si="11"/>
        <v>0</v>
      </c>
      <c r="O20" s="29">
        <f t="shared" si="5"/>
        <v>0</v>
      </c>
      <c r="P20" s="29">
        <f t="shared" si="12"/>
        <v>737211.79124382534</v>
      </c>
      <c r="Q20">
        <f t="shared" si="13"/>
        <v>0</v>
      </c>
      <c r="R20" s="29">
        <f t="shared" si="14"/>
        <v>0</v>
      </c>
      <c r="S20" s="29">
        <f t="shared" si="6"/>
        <v>0</v>
      </c>
      <c r="T20" s="29">
        <f t="shared" si="15"/>
        <v>737211.79124382534</v>
      </c>
      <c r="U20">
        <f t="shared" si="16"/>
        <v>0</v>
      </c>
      <c r="V20" s="29">
        <f t="shared" si="17"/>
        <v>0</v>
      </c>
      <c r="W20" s="29">
        <f t="shared" si="7"/>
        <v>0</v>
      </c>
      <c r="X20" s="29">
        <f t="shared" si="18"/>
        <v>737211.79124382534</v>
      </c>
      <c r="Y20">
        <f t="shared" si="19"/>
        <v>0</v>
      </c>
    </row>
    <row r="21" spans="1:25" x14ac:dyDescent="0.25">
      <c r="A21" s="4" t="s">
        <v>693</v>
      </c>
      <c r="B21" s="7" t="s">
        <v>320</v>
      </c>
      <c r="C21" s="2" t="s">
        <v>694</v>
      </c>
      <c r="D21">
        <f>VLOOKUP(B21,'Model allocations'!$A$1:$L$317,3,FALSE)</f>
        <v>208567.25116782496</v>
      </c>
      <c r="E21" s="31">
        <f>VLOOKUP(B21,'Initial adjusted formula count'!$A$1:$P$317,12,FALSE)</f>
        <v>0.255005268703899</v>
      </c>
      <c r="F21">
        <f>VLOOKUP(B21,'Model allocations'!$A$1:$L$317,8,FALSE)</f>
        <v>210337.58672739839</v>
      </c>
      <c r="G21" s="30">
        <f t="shared" si="8"/>
        <v>0.9</v>
      </c>
      <c r="H21">
        <f t="shared" si="9"/>
        <v>187710.52605104246</v>
      </c>
      <c r="I21">
        <f t="shared" si="1"/>
        <v>0</v>
      </c>
      <c r="J21">
        <f t="shared" si="2"/>
        <v>210337.58672739839</v>
      </c>
      <c r="K21">
        <f t="shared" si="3"/>
        <v>210241.18783601845</v>
      </c>
      <c r="L21">
        <f t="shared" si="10"/>
        <v>210241.18783601845</v>
      </c>
      <c r="M21">
        <f t="shared" si="4"/>
        <v>0</v>
      </c>
      <c r="N21" s="29">
        <f t="shared" si="11"/>
        <v>210241.18783601845</v>
      </c>
      <c r="O21" s="29">
        <f t="shared" si="5"/>
        <v>210230.41109825391</v>
      </c>
      <c r="P21" s="29">
        <f t="shared" si="12"/>
        <v>210230.41109825391</v>
      </c>
      <c r="Q21">
        <f t="shared" si="13"/>
        <v>0</v>
      </c>
      <c r="R21" s="29">
        <f t="shared" si="14"/>
        <v>210230.41109825391</v>
      </c>
      <c r="S21" s="29">
        <f t="shared" si="6"/>
        <v>210230.40123459956</v>
      </c>
      <c r="T21" s="29">
        <f t="shared" si="15"/>
        <v>210230.40123459956</v>
      </c>
      <c r="U21">
        <f t="shared" si="16"/>
        <v>0</v>
      </c>
      <c r="V21" s="29">
        <f t="shared" si="17"/>
        <v>210230.40123459956</v>
      </c>
      <c r="W21" s="29">
        <f t="shared" si="7"/>
        <v>210230.40123459979</v>
      </c>
      <c r="X21" s="29">
        <f t="shared" si="18"/>
        <v>210230.40123459979</v>
      </c>
      <c r="Y21">
        <f t="shared" si="19"/>
        <v>0</v>
      </c>
    </row>
    <row r="22" spans="1:25" x14ac:dyDescent="0.25">
      <c r="A22" s="4" t="s">
        <v>695</v>
      </c>
      <c r="B22" s="7" t="s">
        <v>322</v>
      </c>
      <c r="C22" s="2" t="s">
        <v>696</v>
      </c>
      <c r="D22">
        <f>VLOOKUP(B22,'Model allocations'!$A$1:$L$317,3,FALSE)</f>
        <v>152217.50260669328</v>
      </c>
      <c r="E22" s="31">
        <f>VLOOKUP(B22,'Initial adjusted formula count'!$A$1:$P$317,12,FALSE)</f>
        <v>0.22727272727272699</v>
      </c>
      <c r="F22">
        <f>VLOOKUP(B22,'Model allocations'!$A$1:$L$317,8,FALSE)</f>
        <v>136995.75234602395</v>
      </c>
      <c r="G22" s="30">
        <f t="shared" si="8"/>
        <v>0.9</v>
      </c>
      <c r="H22">
        <f t="shared" si="9"/>
        <v>136995.75234602395</v>
      </c>
      <c r="I22">
        <f t="shared" si="1"/>
        <v>0</v>
      </c>
      <c r="J22">
        <f t="shared" si="2"/>
        <v>136995.75234602395</v>
      </c>
      <c r="K22">
        <f t="shared" si="3"/>
        <v>136932.96642718083</v>
      </c>
      <c r="L22">
        <f t="shared" si="10"/>
        <v>136932.96642718083</v>
      </c>
      <c r="M22">
        <f t="shared" si="4"/>
        <v>136995.75234602395</v>
      </c>
      <c r="N22" s="29">
        <f t="shared" si="11"/>
        <v>0</v>
      </c>
      <c r="O22" s="29">
        <f t="shared" si="5"/>
        <v>0</v>
      </c>
      <c r="P22" s="29">
        <f t="shared" si="12"/>
        <v>136995.75234602395</v>
      </c>
      <c r="Q22">
        <f t="shared" si="13"/>
        <v>0</v>
      </c>
      <c r="R22" s="29">
        <f t="shared" si="14"/>
        <v>0</v>
      </c>
      <c r="S22" s="29">
        <f t="shared" si="6"/>
        <v>0</v>
      </c>
      <c r="T22" s="29">
        <f t="shared" si="15"/>
        <v>136995.75234602395</v>
      </c>
      <c r="U22">
        <f t="shared" si="16"/>
        <v>0</v>
      </c>
      <c r="V22" s="29">
        <f t="shared" si="17"/>
        <v>0</v>
      </c>
      <c r="W22" s="29">
        <f t="shared" si="7"/>
        <v>0</v>
      </c>
      <c r="X22" s="29">
        <f t="shared" si="18"/>
        <v>136995.75234602395</v>
      </c>
      <c r="Y22">
        <f t="shared" si="19"/>
        <v>0</v>
      </c>
    </row>
    <row r="23" spans="1:25" x14ac:dyDescent="0.25">
      <c r="A23" s="4" t="s">
        <v>697</v>
      </c>
      <c r="B23" s="7" t="s">
        <v>324</v>
      </c>
      <c r="C23" s="2" t="s">
        <v>698</v>
      </c>
      <c r="D23">
        <f>VLOOKUP(B23,'Model allocations'!$A$1:$L$317,3,FALSE)</f>
        <v>23268.04048163072</v>
      </c>
      <c r="E23" s="31">
        <f>VLOOKUP(B23,'Initial adjusted formula count'!$A$1:$P$317,12,FALSE)</f>
        <v>0.23214285714285701</v>
      </c>
      <c r="F23">
        <f>VLOOKUP(B23,'Model allocations'!$A$1:$L$317,8,FALSE)</f>
        <v>22598.253119472552</v>
      </c>
      <c r="G23" s="30">
        <f t="shared" si="8"/>
        <v>0.9</v>
      </c>
      <c r="H23">
        <f t="shared" si="9"/>
        <v>20941.236433467649</v>
      </c>
      <c r="I23">
        <f t="shared" si="1"/>
        <v>0</v>
      </c>
      <c r="J23">
        <f t="shared" si="2"/>
        <v>22598.253119472552</v>
      </c>
      <c r="K23">
        <f t="shared" si="3"/>
        <v>22587.896213787102</v>
      </c>
      <c r="L23">
        <f t="shared" si="10"/>
        <v>22587.896213787102</v>
      </c>
      <c r="M23">
        <f t="shared" si="4"/>
        <v>0</v>
      </c>
      <c r="N23" s="29">
        <f t="shared" si="11"/>
        <v>22587.896213787102</v>
      </c>
      <c r="O23" s="29">
        <f t="shared" si="5"/>
        <v>22586.738382457032</v>
      </c>
      <c r="P23" s="29">
        <f t="shared" si="12"/>
        <v>22586.738382457032</v>
      </c>
      <c r="Q23">
        <f t="shared" si="13"/>
        <v>0</v>
      </c>
      <c r="R23" s="29">
        <f t="shared" si="14"/>
        <v>22586.738382457032</v>
      </c>
      <c r="S23" s="29">
        <f t="shared" si="6"/>
        <v>22586.73732272557</v>
      </c>
      <c r="T23" s="29">
        <f t="shared" si="15"/>
        <v>22586.73732272557</v>
      </c>
      <c r="U23">
        <f t="shared" si="16"/>
        <v>0</v>
      </c>
      <c r="V23" s="29">
        <f t="shared" si="17"/>
        <v>22586.73732272557</v>
      </c>
      <c r="W23" s="29">
        <f t="shared" si="7"/>
        <v>22586.737322725596</v>
      </c>
      <c r="X23" s="29">
        <f t="shared" si="18"/>
        <v>22586.737322725596</v>
      </c>
      <c r="Y23">
        <f t="shared" si="19"/>
        <v>0</v>
      </c>
    </row>
    <row r="24" spans="1:25" x14ac:dyDescent="0.25">
      <c r="A24" s="4" t="s">
        <v>699</v>
      </c>
      <c r="B24" s="7" t="s">
        <v>326</v>
      </c>
      <c r="C24" s="2" t="s">
        <v>700</v>
      </c>
      <c r="D24">
        <f>VLOOKUP(B24,'Model allocations'!$A$1:$L$317,3,FALSE)</f>
        <v>383870.28646256687</v>
      </c>
      <c r="E24" s="31">
        <f>VLOOKUP(B24,'Initial adjusted formula count'!$A$1:$P$317,12,FALSE)</f>
        <v>0.109353695118626</v>
      </c>
      <c r="F24">
        <f>VLOOKUP(B24,'Model allocations'!$A$1:$L$317,8,FALSE)</f>
        <v>348534.5961887883</v>
      </c>
      <c r="G24" s="30">
        <f t="shared" si="8"/>
        <v>0.85</v>
      </c>
      <c r="H24">
        <f t="shared" si="9"/>
        <v>326289.74349318183</v>
      </c>
      <c r="I24">
        <f t="shared" si="1"/>
        <v>0</v>
      </c>
      <c r="J24">
        <f t="shared" si="2"/>
        <v>348534.5961887883</v>
      </c>
      <c r="K24">
        <f t="shared" si="3"/>
        <v>348374.86083571659</v>
      </c>
      <c r="L24">
        <f t="shared" si="10"/>
        <v>348374.86083571659</v>
      </c>
      <c r="M24">
        <f t="shared" si="4"/>
        <v>0</v>
      </c>
      <c r="N24" s="29">
        <f t="shared" si="11"/>
        <v>348374.86083571659</v>
      </c>
      <c r="O24" s="29">
        <f t="shared" si="5"/>
        <v>348357.00351404893</v>
      </c>
      <c r="P24" s="29">
        <f t="shared" si="12"/>
        <v>348357.00351404893</v>
      </c>
      <c r="Q24">
        <f t="shared" si="13"/>
        <v>0</v>
      </c>
      <c r="R24" s="29">
        <f t="shared" si="14"/>
        <v>348357.00351404893</v>
      </c>
      <c r="S24" s="29">
        <f t="shared" si="6"/>
        <v>348356.98716972908</v>
      </c>
      <c r="T24" s="29">
        <f t="shared" si="15"/>
        <v>348356.98716972908</v>
      </c>
      <c r="U24">
        <f t="shared" si="16"/>
        <v>0</v>
      </c>
      <c r="V24" s="29">
        <f t="shared" si="17"/>
        <v>348356.98716972908</v>
      </c>
      <c r="W24" s="29">
        <f t="shared" si="7"/>
        <v>348356.98716972949</v>
      </c>
      <c r="X24" s="29">
        <f t="shared" si="18"/>
        <v>348356.98716972949</v>
      </c>
      <c r="Y24">
        <f t="shared" si="19"/>
        <v>0</v>
      </c>
    </row>
    <row r="25" spans="1:25" x14ac:dyDescent="0.25">
      <c r="A25" s="4" t="s">
        <v>701</v>
      </c>
      <c r="B25" s="7" t="s">
        <v>101</v>
      </c>
      <c r="C25" s="2" t="s">
        <v>702</v>
      </c>
      <c r="D25">
        <f>VLOOKUP(B25,'Model allocations'!$A$1:$L$317,3,FALSE)</f>
        <v>226621.01927421574</v>
      </c>
      <c r="E25" s="31">
        <f>VLOOKUP(B25,'Initial adjusted formula count'!$A$1:$P$317,12,FALSE)</f>
        <v>3.6312474876055198E-2</v>
      </c>
      <c r="F25">
        <f>VLOOKUP(B25,'Model allocations'!$A$1:$L$317,8,FALSE)</f>
        <v>235543.33059142547</v>
      </c>
      <c r="G25" s="30">
        <f t="shared" si="8"/>
        <v>0.85</v>
      </c>
      <c r="H25">
        <f t="shared" si="9"/>
        <v>192627.86638308337</v>
      </c>
      <c r="I25">
        <f t="shared" si="1"/>
        <v>0</v>
      </c>
      <c r="J25">
        <f t="shared" si="2"/>
        <v>235543.33059142547</v>
      </c>
      <c r="K25">
        <f t="shared" si="3"/>
        <v>235435.379766781</v>
      </c>
      <c r="L25">
        <f t="shared" si="10"/>
        <v>235435.379766781</v>
      </c>
      <c r="M25">
        <f t="shared" si="4"/>
        <v>0</v>
      </c>
      <c r="N25" s="29">
        <f t="shared" si="11"/>
        <v>235435.379766781</v>
      </c>
      <c r="O25" s="29">
        <f t="shared" si="5"/>
        <v>235423.31160176371</v>
      </c>
      <c r="P25" s="29">
        <f t="shared" si="12"/>
        <v>235423.31160176371</v>
      </c>
      <c r="Q25">
        <f t="shared" si="13"/>
        <v>0</v>
      </c>
      <c r="R25" s="29">
        <f t="shared" si="14"/>
        <v>235423.31160176371</v>
      </c>
      <c r="S25" s="29">
        <f t="shared" si="6"/>
        <v>235423.30055610114</v>
      </c>
      <c r="T25" s="29">
        <f t="shared" si="15"/>
        <v>235423.30055610114</v>
      </c>
      <c r="U25">
        <f t="shared" si="16"/>
        <v>0</v>
      </c>
      <c r="V25" s="29">
        <f t="shared" si="17"/>
        <v>235423.30055610114</v>
      </c>
      <c r="W25" s="29">
        <f t="shared" si="7"/>
        <v>235423.3005561014</v>
      </c>
      <c r="X25" s="29">
        <f t="shared" si="18"/>
        <v>235423.3005561014</v>
      </c>
      <c r="Y25">
        <f t="shared" si="19"/>
        <v>0</v>
      </c>
    </row>
    <row r="26" spans="1:25" x14ac:dyDescent="0.25">
      <c r="A26" s="4" t="s">
        <v>703</v>
      </c>
      <c r="B26" s="7" t="s">
        <v>328</v>
      </c>
      <c r="C26" s="2" t="s">
        <v>704</v>
      </c>
      <c r="D26">
        <f>VLOOKUP(B26,'Model allocations'!$A$1:$L$317,3,FALSE)</f>
        <v>96359.259757244217</v>
      </c>
      <c r="E26" s="31">
        <f>VLOOKUP(B26,'Initial adjusted formula count'!$A$1:$P$317,12,FALSE)</f>
        <v>0.17431192660550501</v>
      </c>
      <c r="F26">
        <f>VLOOKUP(B26,'Model allocations'!$A$1:$L$317,8,FALSE)</f>
        <v>86723.333781519803</v>
      </c>
      <c r="G26" s="30">
        <f t="shared" si="8"/>
        <v>0.9</v>
      </c>
      <c r="H26">
        <f t="shared" si="9"/>
        <v>86723.333781519803</v>
      </c>
      <c r="I26">
        <f t="shared" si="1"/>
        <v>0</v>
      </c>
      <c r="J26">
        <f t="shared" si="2"/>
        <v>86723.333781519803</v>
      </c>
      <c r="K26">
        <f t="shared" si="3"/>
        <v>86683.587993031004</v>
      </c>
      <c r="L26">
        <f t="shared" si="10"/>
        <v>86683.587993031004</v>
      </c>
      <c r="M26">
        <f t="shared" si="4"/>
        <v>86723.333781519803</v>
      </c>
      <c r="N26" s="29">
        <f t="shared" si="11"/>
        <v>0</v>
      </c>
      <c r="O26" s="29">
        <f t="shared" si="5"/>
        <v>0</v>
      </c>
      <c r="P26" s="29">
        <f t="shared" si="12"/>
        <v>86723.333781519803</v>
      </c>
      <c r="Q26">
        <f t="shared" si="13"/>
        <v>0</v>
      </c>
      <c r="R26" s="29">
        <f t="shared" si="14"/>
        <v>0</v>
      </c>
      <c r="S26" s="29">
        <f t="shared" si="6"/>
        <v>0</v>
      </c>
      <c r="T26" s="29">
        <f t="shared" si="15"/>
        <v>86723.333781519803</v>
      </c>
      <c r="U26">
        <f t="shared" si="16"/>
        <v>0</v>
      </c>
      <c r="V26" s="29">
        <f t="shared" si="17"/>
        <v>0</v>
      </c>
      <c r="W26" s="29">
        <f t="shared" si="7"/>
        <v>0</v>
      </c>
      <c r="X26" s="29">
        <f t="shared" si="18"/>
        <v>86723.333781519803</v>
      </c>
      <c r="Y26">
        <f t="shared" si="19"/>
        <v>0</v>
      </c>
    </row>
    <row r="27" spans="1:25" x14ac:dyDescent="0.25">
      <c r="A27" s="4" t="s">
        <v>705</v>
      </c>
      <c r="B27" s="7" t="s">
        <v>103</v>
      </c>
      <c r="C27" s="2" t="s">
        <v>706</v>
      </c>
      <c r="D27">
        <f>VLOOKUP(B27,'Model allocations'!$A$1:$L$317,3,FALSE)</f>
        <v>0</v>
      </c>
      <c r="E27" s="31">
        <f>VLOOKUP(B27,'Initial adjusted formula count'!$A$1:$P$317,12,FALSE)</f>
        <v>1.9138755980861202E-2</v>
      </c>
      <c r="F27">
        <f>VLOOKUP(B27,'Model allocations'!$A$1:$L$317,8,FALSE)</f>
        <v>0</v>
      </c>
      <c r="G27" s="30">
        <f t="shared" si="8"/>
        <v>0.85</v>
      </c>
      <c r="H27">
        <f t="shared" si="9"/>
        <v>0</v>
      </c>
      <c r="I27">
        <f t="shared" si="1"/>
        <v>0</v>
      </c>
      <c r="J27">
        <f t="shared" si="2"/>
        <v>0</v>
      </c>
      <c r="K27">
        <f t="shared" si="3"/>
        <v>0</v>
      </c>
      <c r="L27">
        <f t="shared" si="10"/>
        <v>0</v>
      </c>
      <c r="M27">
        <f t="shared" si="4"/>
        <v>0</v>
      </c>
      <c r="N27" s="29">
        <f t="shared" si="11"/>
        <v>0</v>
      </c>
      <c r="O27" s="29">
        <f t="shared" si="5"/>
        <v>0</v>
      </c>
      <c r="P27" s="29">
        <f t="shared" si="12"/>
        <v>0</v>
      </c>
      <c r="Q27">
        <f t="shared" si="13"/>
        <v>0</v>
      </c>
      <c r="R27" s="29">
        <f t="shared" si="14"/>
        <v>0</v>
      </c>
      <c r="S27" s="29">
        <f t="shared" si="6"/>
        <v>0</v>
      </c>
      <c r="T27" s="29">
        <f t="shared" si="15"/>
        <v>0</v>
      </c>
      <c r="U27">
        <f t="shared" si="16"/>
        <v>0</v>
      </c>
      <c r="V27" s="29">
        <f t="shared" si="17"/>
        <v>0</v>
      </c>
      <c r="W27" s="29">
        <f t="shared" si="7"/>
        <v>0</v>
      </c>
      <c r="X27" s="29">
        <f t="shared" si="18"/>
        <v>0</v>
      </c>
      <c r="Y27">
        <f t="shared" si="19"/>
        <v>0</v>
      </c>
    </row>
    <row r="28" spans="1:25" x14ac:dyDescent="0.25">
      <c r="A28" s="4" t="s">
        <v>707</v>
      </c>
      <c r="B28" s="7" t="s">
        <v>330</v>
      </c>
      <c r="C28" s="2" t="s">
        <v>708</v>
      </c>
      <c r="D28">
        <f>VLOOKUP(B28,'Model allocations'!$A$1:$L$317,3,FALSE)</f>
        <v>151421.69390424096</v>
      </c>
      <c r="E28" s="31">
        <f>VLOOKUP(B28,'Initial adjusted formula count'!$A$1:$P$317,12,FALSE)</f>
        <v>9.8402555910543102E-2</v>
      </c>
      <c r="F28">
        <f>VLOOKUP(B28,'Model allocations'!$A$1:$L$317,8,FALSE)</f>
        <v>133851.19155379897</v>
      </c>
      <c r="G28" s="30">
        <f t="shared" si="8"/>
        <v>0.85</v>
      </c>
      <c r="H28">
        <f t="shared" si="9"/>
        <v>128708.43981860482</v>
      </c>
      <c r="I28">
        <f t="shared" si="1"/>
        <v>0</v>
      </c>
      <c r="J28">
        <f t="shared" si="2"/>
        <v>133851.19155379897</v>
      </c>
      <c r="K28">
        <f t="shared" si="3"/>
        <v>133789.84680473901</v>
      </c>
      <c r="L28">
        <f t="shared" si="10"/>
        <v>133789.84680473901</v>
      </c>
      <c r="M28">
        <f t="shared" si="4"/>
        <v>0</v>
      </c>
      <c r="N28" s="29">
        <f t="shared" si="11"/>
        <v>133789.84680473901</v>
      </c>
      <c r="O28" s="29">
        <f t="shared" si="5"/>
        <v>133782.98888070704</v>
      </c>
      <c r="P28" s="29">
        <f t="shared" si="12"/>
        <v>133782.98888070704</v>
      </c>
      <c r="Q28">
        <f t="shared" si="13"/>
        <v>0</v>
      </c>
      <c r="R28" s="29">
        <f t="shared" si="14"/>
        <v>133782.98888070704</v>
      </c>
      <c r="S28" s="29">
        <f t="shared" si="6"/>
        <v>133782.98260383608</v>
      </c>
      <c r="T28" s="29">
        <f t="shared" si="15"/>
        <v>133782.98260383608</v>
      </c>
      <c r="U28">
        <f t="shared" si="16"/>
        <v>0</v>
      </c>
      <c r="V28" s="29">
        <f t="shared" si="17"/>
        <v>133782.98260383608</v>
      </c>
      <c r="W28" s="29">
        <f t="shared" si="7"/>
        <v>133782.98260383622</v>
      </c>
      <c r="X28" s="29">
        <f t="shared" si="18"/>
        <v>133782.98260383622</v>
      </c>
      <c r="Y28">
        <f t="shared" si="19"/>
        <v>0</v>
      </c>
    </row>
    <row r="29" spans="1:25" x14ac:dyDescent="0.25">
      <c r="A29" s="4" t="s">
        <v>709</v>
      </c>
      <c r="B29" s="7" t="s">
        <v>332</v>
      </c>
      <c r="C29" s="2" t="s">
        <v>710</v>
      </c>
      <c r="D29">
        <f>VLOOKUP(B29,'Model allocations'!$A$1:$L$317,3,FALSE)</f>
        <v>142818.18856877266</v>
      </c>
      <c r="E29" s="31">
        <f>VLOOKUP(B29,'Initial adjusted formula count'!$A$1:$P$317,12,FALSE)</f>
        <v>0.110152621101526</v>
      </c>
      <c r="F29">
        <f>VLOOKUP(B29,'Model allocations'!$A$1:$L$317,8,FALSE)</f>
        <v>144281.15453201695</v>
      </c>
      <c r="G29" s="30">
        <f t="shared" si="8"/>
        <v>0.85</v>
      </c>
      <c r="H29">
        <f t="shared" si="9"/>
        <v>121395.46028345676</v>
      </c>
      <c r="I29">
        <f t="shared" si="1"/>
        <v>0</v>
      </c>
      <c r="J29">
        <f t="shared" si="2"/>
        <v>144281.15453201695</v>
      </c>
      <c r="K29">
        <f t="shared" si="3"/>
        <v>144215.02967264064</v>
      </c>
      <c r="L29">
        <f t="shared" si="10"/>
        <v>144215.02967264064</v>
      </c>
      <c r="M29">
        <f t="shared" si="4"/>
        <v>0</v>
      </c>
      <c r="N29" s="29">
        <f t="shared" si="11"/>
        <v>144215.02967264064</v>
      </c>
      <c r="O29" s="29">
        <f t="shared" si="5"/>
        <v>144207.63736491787</v>
      </c>
      <c r="P29" s="29">
        <f t="shared" si="12"/>
        <v>144207.63736491787</v>
      </c>
      <c r="Q29">
        <f t="shared" si="13"/>
        <v>0</v>
      </c>
      <c r="R29" s="29">
        <f t="shared" si="14"/>
        <v>144207.63736491787</v>
      </c>
      <c r="S29" s="29">
        <f t="shared" si="6"/>
        <v>144207.63059894007</v>
      </c>
      <c r="T29" s="29">
        <f t="shared" si="15"/>
        <v>144207.63059894007</v>
      </c>
      <c r="U29">
        <f t="shared" si="16"/>
        <v>0</v>
      </c>
      <c r="V29" s="29">
        <f t="shared" si="17"/>
        <v>144207.63059894007</v>
      </c>
      <c r="W29" s="29">
        <f t="shared" si="7"/>
        <v>144207.63059894025</v>
      </c>
      <c r="X29" s="29">
        <f t="shared" si="18"/>
        <v>144207.63059894025</v>
      </c>
      <c r="Y29">
        <f t="shared" si="19"/>
        <v>0</v>
      </c>
    </row>
    <row r="30" spans="1:25" x14ac:dyDescent="0.25">
      <c r="A30" s="4" t="s">
        <v>711</v>
      </c>
      <c r="B30" s="7" t="s">
        <v>105</v>
      </c>
      <c r="C30" s="2" t="s">
        <v>712</v>
      </c>
      <c r="D30">
        <f>VLOOKUP(B30,'Model allocations'!$A$1:$L$317,3,FALSE)</f>
        <v>160025.19923970915</v>
      </c>
      <c r="E30" s="31">
        <f>VLOOKUP(B30,'Initial adjusted formula count'!$A$1:$P$317,12,FALSE)</f>
        <v>0.116797110174594</v>
      </c>
      <c r="F30">
        <f>VLOOKUP(B30,'Model allocations'!$A$1:$L$317,8,FALSE)</f>
        <v>168617.73481452596</v>
      </c>
      <c r="G30" s="30">
        <f t="shared" si="8"/>
        <v>0.85</v>
      </c>
      <c r="H30">
        <f t="shared" si="9"/>
        <v>136021.41935375278</v>
      </c>
      <c r="I30">
        <f t="shared" si="1"/>
        <v>0</v>
      </c>
      <c r="J30">
        <f t="shared" si="2"/>
        <v>168617.73481452596</v>
      </c>
      <c r="K30">
        <f t="shared" si="3"/>
        <v>168540.45636441145</v>
      </c>
      <c r="L30">
        <f t="shared" si="10"/>
        <v>168540.45636441145</v>
      </c>
      <c r="M30">
        <f t="shared" si="4"/>
        <v>0</v>
      </c>
      <c r="N30" s="29">
        <f t="shared" si="11"/>
        <v>168540.45636441145</v>
      </c>
      <c r="O30" s="29">
        <f t="shared" si="5"/>
        <v>168531.81716141014</v>
      </c>
      <c r="P30" s="29">
        <f t="shared" si="12"/>
        <v>168531.81716141014</v>
      </c>
      <c r="Q30">
        <f t="shared" si="13"/>
        <v>0</v>
      </c>
      <c r="R30" s="29">
        <f t="shared" si="14"/>
        <v>168531.81716141014</v>
      </c>
      <c r="S30" s="29">
        <f t="shared" si="6"/>
        <v>168531.80925418308</v>
      </c>
      <c r="T30" s="29">
        <f t="shared" si="15"/>
        <v>168531.80925418308</v>
      </c>
      <c r="U30">
        <f t="shared" si="16"/>
        <v>0</v>
      </c>
      <c r="V30" s="29">
        <f t="shared" si="17"/>
        <v>168531.80925418308</v>
      </c>
      <c r="W30" s="29">
        <f t="shared" si="7"/>
        <v>168531.80925418326</v>
      </c>
      <c r="X30" s="29">
        <f t="shared" si="18"/>
        <v>168531.80925418326</v>
      </c>
      <c r="Y30">
        <f t="shared" si="19"/>
        <v>0</v>
      </c>
    </row>
    <row r="31" spans="1:25" x14ac:dyDescent="0.25">
      <c r="A31" s="4" t="s">
        <v>8</v>
      </c>
      <c r="B31" s="7" t="s">
        <v>66</v>
      </c>
      <c r="C31" s="2" t="s">
        <v>713</v>
      </c>
      <c r="D31">
        <f>VLOOKUP(B31,'Model allocations'!$A$1:$L$317,3,FALSE)</f>
        <v>63398.866922579939</v>
      </c>
      <c r="E31" s="31">
        <f>VLOOKUP(B31,'Initial adjusted formula count'!$A$1:$P$317,12,FALSE)</f>
        <v>0.10646043117432499</v>
      </c>
      <c r="F31">
        <f>VLOOKUP(B31,'Model allocations'!$A$1:$L$317,8,FALSE)</f>
        <v>61063.481067522691</v>
      </c>
      <c r="G31" s="30">
        <f t="shared" si="8"/>
        <v>0.85</v>
      </c>
      <c r="H31">
        <f t="shared" si="9"/>
        <v>53889.036884192945</v>
      </c>
      <c r="I31">
        <f t="shared" si="1"/>
        <v>0</v>
      </c>
      <c r="J31">
        <f t="shared" si="2"/>
        <v>61063.481067522691</v>
      </c>
      <c r="K31">
        <f t="shared" si="3"/>
        <v>61035.495332921972</v>
      </c>
      <c r="L31">
        <f t="shared" si="10"/>
        <v>61035.495332921972</v>
      </c>
      <c r="M31">
        <f t="shared" si="4"/>
        <v>0</v>
      </c>
      <c r="N31" s="29">
        <f t="shared" si="11"/>
        <v>61035.495332921972</v>
      </c>
      <c r="O31" s="29">
        <f t="shared" si="5"/>
        <v>61032.366718903475</v>
      </c>
      <c r="P31" s="29">
        <f t="shared" si="12"/>
        <v>61032.366718903475</v>
      </c>
      <c r="Q31">
        <f t="shared" si="13"/>
        <v>0</v>
      </c>
      <c r="R31" s="29">
        <f t="shared" si="14"/>
        <v>61032.366718903475</v>
      </c>
      <c r="S31" s="29">
        <f t="shared" si="6"/>
        <v>61032.363855368319</v>
      </c>
      <c r="T31" s="29">
        <f t="shared" si="15"/>
        <v>61032.363855368319</v>
      </c>
      <c r="U31">
        <f t="shared" si="16"/>
        <v>0</v>
      </c>
      <c r="V31" s="29">
        <f t="shared" si="17"/>
        <v>61032.363855368319</v>
      </c>
      <c r="W31" s="29">
        <f t="shared" si="7"/>
        <v>61032.363855368392</v>
      </c>
      <c r="X31" s="29">
        <f t="shared" si="18"/>
        <v>61032.363855368392</v>
      </c>
      <c r="Y31">
        <f t="shared" si="19"/>
        <v>0</v>
      </c>
    </row>
    <row r="32" spans="1:25" x14ac:dyDescent="0.25">
      <c r="A32" s="4" t="s">
        <v>714</v>
      </c>
      <c r="B32" s="7" t="s">
        <v>334</v>
      </c>
      <c r="C32" s="2" t="s">
        <v>715</v>
      </c>
      <c r="D32">
        <f>VLOOKUP(B32,'Model allocations'!$A$1:$L$317,3,FALSE)</f>
        <v>23229.464405764236</v>
      </c>
      <c r="E32" s="31">
        <f>VLOOKUP(B32,'Initial adjusted formula count'!$A$1:$P$317,12,FALSE)</f>
        <v>0.25531914893617003</v>
      </c>
      <c r="F32">
        <f>VLOOKUP(B32,'Model allocations'!$A$1:$L$317,8,FALSE)</f>
        <v>20906.517965187813</v>
      </c>
      <c r="G32" s="30">
        <f t="shared" si="8"/>
        <v>0.9</v>
      </c>
      <c r="H32">
        <f t="shared" si="9"/>
        <v>20906.517965187813</v>
      </c>
      <c r="I32">
        <f t="shared" si="1"/>
        <v>0</v>
      </c>
      <c r="J32">
        <f t="shared" si="2"/>
        <v>20906.517965187813</v>
      </c>
      <c r="K32">
        <f t="shared" si="3"/>
        <v>20896.936391177122</v>
      </c>
      <c r="L32">
        <f t="shared" si="10"/>
        <v>20896.936391177122</v>
      </c>
      <c r="M32">
        <f t="shared" si="4"/>
        <v>20906.517965187813</v>
      </c>
      <c r="N32" s="29">
        <f t="shared" si="11"/>
        <v>0</v>
      </c>
      <c r="O32" s="29">
        <f t="shared" si="5"/>
        <v>0</v>
      </c>
      <c r="P32" s="29">
        <f t="shared" si="12"/>
        <v>20906.517965187813</v>
      </c>
      <c r="Q32">
        <f t="shared" si="13"/>
        <v>0</v>
      </c>
      <c r="R32" s="29">
        <f t="shared" si="14"/>
        <v>0</v>
      </c>
      <c r="S32" s="29">
        <f t="shared" si="6"/>
        <v>0</v>
      </c>
      <c r="T32" s="29">
        <f t="shared" si="15"/>
        <v>20906.517965187813</v>
      </c>
      <c r="U32">
        <f t="shared" si="16"/>
        <v>0</v>
      </c>
      <c r="V32" s="29">
        <f t="shared" si="17"/>
        <v>0</v>
      </c>
      <c r="W32" s="29">
        <f t="shared" si="7"/>
        <v>0</v>
      </c>
      <c r="X32" s="29">
        <f t="shared" si="18"/>
        <v>20906.517965187813</v>
      </c>
      <c r="Y32">
        <f t="shared" si="19"/>
        <v>0</v>
      </c>
    </row>
    <row r="33" spans="1:25" x14ac:dyDescent="0.25">
      <c r="A33" s="4" t="s">
        <v>716</v>
      </c>
      <c r="B33" s="7" t="s">
        <v>107</v>
      </c>
      <c r="C33" s="2" t="s">
        <v>717</v>
      </c>
      <c r="D33">
        <f>VLOOKUP(B33,'Model allocations'!$A$1:$L$317,3,FALSE)</f>
        <v>751086.0157863769</v>
      </c>
      <c r="E33" s="31">
        <f>VLOOKUP(B33,'Initial adjusted formula count'!$A$1:$P$317,12,FALSE)</f>
        <v>7.0639978457948102E-2</v>
      </c>
      <c r="F33">
        <f>VLOOKUP(B33,'Model allocations'!$A$1:$L$317,8,FALSE)</f>
        <v>684031.73865480372</v>
      </c>
      <c r="G33" s="30">
        <f t="shared" si="8"/>
        <v>0.85</v>
      </c>
      <c r="H33">
        <f t="shared" si="9"/>
        <v>638423.11341842031</v>
      </c>
      <c r="I33">
        <f t="shared" si="1"/>
        <v>0</v>
      </c>
      <c r="J33">
        <f t="shared" si="2"/>
        <v>684031.73865480372</v>
      </c>
      <c r="K33">
        <f t="shared" si="3"/>
        <v>683718.24308655574</v>
      </c>
      <c r="L33">
        <f t="shared" si="10"/>
        <v>683718.24308655574</v>
      </c>
      <c r="M33">
        <f t="shared" si="4"/>
        <v>0</v>
      </c>
      <c r="N33" s="29">
        <f t="shared" si="11"/>
        <v>683718.24308655574</v>
      </c>
      <c r="O33" s="29">
        <f t="shared" si="5"/>
        <v>683683.19642283395</v>
      </c>
      <c r="P33" s="29">
        <f t="shared" si="12"/>
        <v>683683.19642283395</v>
      </c>
      <c r="Q33">
        <f t="shared" si="13"/>
        <v>0</v>
      </c>
      <c r="R33" s="29">
        <f t="shared" si="14"/>
        <v>683683.19642283395</v>
      </c>
      <c r="S33" s="29">
        <f t="shared" si="6"/>
        <v>683683.16434557771</v>
      </c>
      <c r="T33" s="29">
        <f t="shared" si="15"/>
        <v>683683.16434557771</v>
      </c>
      <c r="U33">
        <f t="shared" si="16"/>
        <v>0</v>
      </c>
      <c r="V33" s="29">
        <f t="shared" si="17"/>
        <v>683683.16434557771</v>
      </c>
      <c r="W33" s="29">
        <f t="shared" si="7"/>
        <v>683683.16434557852</v>
      </c>
      <c r="X33" s="29">
        <f t="shared" si="18"/>
        <v>683683.16434557852</v>
      </c>
      <c r="Y33">
        <f t="shared" si="19"/>
        <v>0</v>
      </c>
    </row>
    <row r="34" spans="1:25" x14ac:dyDescent="0.25">
      <c r="A34" s="4" t="s">
        <v>718</v>
      </c>
      <c r="B34" s="7" t="s">
        <v>266</v>
      </c>
      <c r="C34" s="2" t="s">
        <v>719</v>
      </c>
      <c r="D34">
        <f>VLOOKUP(B34,'Model allocations'!$A$1:$L$317,3,FALSE)</f>
        <v>1594229.5386622641</v>
      </c>
      <c r="E34" s="31">
        <f>VLOOKUP(B34,'Initial adjusted formula count'!$A$1:$P$317,12,FALSE)</f>
        <v>8.5457621186490099E-2</v>
      </c>
      <c r="F34">
        <f>VLOOKUP(B34,'Model allocations'!$A$1:$L$317,8,FALSE)</f>
        <v>1355095.1078629245</v>
      </c>
      <c r="G34" s="30">
        <f t="shared" si="8"/>
        <v>0.85</v>
      </c>
      <c r="H34">
        <f t="shared" si="9"/>
        <v>1355095.1078629245</v>
      </c>
      <c r="I34">
        <f t="shared" si="1"/>
        <v>0</v>
      </c>
      <c r="J34">
        <f t="shared" si="2"/>
        <v>1355095.1078629245</v>
      </c>
      <c r="K34">
        <f t="shared" si="3"/>
        <v>1354474.0602026142</v>
      </c>
      <c r="L34">
        <f t="shared" si="10"/>
        <v>1354474.0602026142</v>
      </c>
      <c r="M34">
        <f t="shared" si="4"/>
        <v>1355095.1078629245</v>
      </c>
      <c r="N34" s="29">
        <f t="shared" si="11"/>
        <v>0</v>
      </c>
      <c r="O34" s="29">
        <f t="shared" si="5"/>
        <v>0</v>
      </c>
      <c r="P34" s="29">
        <f t="shared" si="12"/>
        <v>1355095.1078629245</v>
      </c>
      <c r="Q34">
        <f t="shared" si="13"/>
        <v>0</v>
      </c>
      <c r="R34" s="29">
        <f t="shared" si="14"/>
        <v>0</v>
      </c>
      <c r="S34" s="29">
        <f t="shared" si="6"/>
        <v>0</v>
      </c>
      <c r="T34" s="29">
        <f t="shared" si="15"/>
        <v>1355095.1078629245</v>
      </c>
      <c r="U34">
        <f t="shared" si="16"/>
        <v>0</v>
      </c>
      <c r="V34" s="29">
        <f t="shared" si="17"/>
        <v>0</v>
      </c>
      <c r="W34" s="29">
        <f t="shared" si="7"/>
        <v>0</v>
      </c>
      <c r="X34" s="29">
        <f t="shared" si="18"/>
        <v>1355095.1078629245</v>
      </c>
      <c r="Y34">
        <f t="shared" si="19"/>
        <v>0</v>
      </c>
    </row>
    <row r="35" spans="1:25" x14ac:dyDescent="0.25">
      <c r="A35" s="4" t="s">
        <v>720</v>
      </c>
      <c r="B35" s="7" t="s">
        <v>336</v>
      </c>
      <c r="C35" s="2" t="s">
        <v>721</v>
      </c>
      <c r="D35">
        <f>VLOOKUP(B35,'Model allocations'!$A$1:$L$317,3,FALSE)</f>
        <v>662469.91083105397</v>
      </c>
      <c r="E35" s="31">
        <f>VLOOKUP(B35,'Initial adjusted formula count'!$A$1:$P$317,12,FALSE)</f>
        <v>0.19820027688048</v>
      </c>
      <c r="F35">
        <f>VLOOKUP(B35,'Model allocations'!$A$1:$L$317,8,FALSE)</f>
        <v>746611.5165241122</v>
      </c>
      <c r="G35" s="30">
        <f t="shared" si="8"/>
        <v>0.9</v>
      </c>
      <c r="H35">
        <f t="shared" si="9"/>
        <v>596222.91974794865</v>
      </c>
      <c r="I35">
        <f t="shared" si="1"/>
        <v>0</v>
      </c>
      <c r="J35">
        <f t="shared" si="2"/>
        <v>746611.5165241122</v>
      </c>
      <c r="K35">
        <f t="shared" si="3"/>
        <v>746269.340293966</v>
      </c>
      <c r="L35">
        <f t="shared" si="10"/>
        <v>746269.340293966</v>
      </c>
      <c r="M35">
        <f t="shared" si="4"/>
        <v>0</v>
      </c>
      <c r="N35" s="29">
        <f t="shared" si="11"/>
        <v>746269.340293966</v>
      </c>
      <c r="O35" s="29">
        <f t="shared" si="5"/>
        <v>746231.08732809941</v>
      </c>
      <c r="P35" s="29">
        <f t="shared" si="12"/>
        <v>746231.08732809941</v>
      </c>
      <c r="Q35">
        <f t="shared" si="13"/>
        <v>0</v>
      </c>
      <c r="R35" s="29">
        <f t="shared" si="14"/>
        <v>746231.08732809941</v>
      </c>
      <c r="S35" s="29">
        <f t="shared" si="6"/>
        <v>746231.0523162022</v>
      </c>
      <c r="T35" s="29">
        <f t="shared" si="15"/>
        <v>746231.0523162022</v>
      </c>
      <c r="U35">
        <f t="shared" si="16"/>
        <v>0</v>
      </c>
      <c r="V35" s="29">
        <f t="shared" si="17"/>
        <v>746231.0523162022</v>
      </c>
      <c r="W35" s="29">
        <f t="shared" si="7"/>
        <v>746231.05231620301</v>
      </c>
      <c r="X35" s="29">
        <f t="shared" si="18"/>
        <v>746231.05231620301</v>
      </c>
      <c r="Y35">
        <f t="shared" si="19"/>
        <v>0</v>
      </c>
    </row>
    <row r="36" spans="1:25" x14ac:dyDescent="0.25">
      <c r="A36" s="4" t="s">
        <v>722</v>
      </c>
      <c r="B36" s="7" t="s">
        <v>338</v>
      </c>
      <c r="C36" s="2" t="s">
        <v>723</v>
      </c>
      <c r="D36">
        <f>VLOOKUP(B36,'Model allocations'!$A$1:$L$317,3,FALSE)</f>
        <v>247222.93011732632</v>
      </c>
      <c r="E36" s="31">
        <f>VLOOKUP(B36,'Initial adjusted formula count'!$A$1:$P$317,12,FALSE)</f>
        <v>0.138562543192813</v>
      </c>
      <c r="F36">
        <f>VLOOKUP(B36,'Model allocations'!$A$1:$L$317,8,FALSE)</f>
        <v>348534.5961887883</v>
      </c>
      <c r="G36" s="30">
        <f t="shared" si="8"/>
        <v>0.85</v>
      </c>
      <c r="H36">
        <f t="shared" si="9"/>
        <v>210139.49059972737</v>
      </c>
      <c r="I36">
        <f t="shared" si="1"/>
        <v>0</v>
      </c>
      <c r="J36">
        <f t="shared" si="2"/>
        <v>348534.5961887883</v>
      </c>
      <c r="K36">
        <f t="shared" si="3"/>
        <v>348374.86083571659</v>
      </c>
      <c r="L36">
        <f t="shared" si="10"/>
        <v>348374.86083571659</v>
      </c>
      <c r="M36">
        <f t="shared" si="4"/>
        <v>0</v>
      </c>
      <c r="N36" s="29">
        <f t="shared" si="11"/>
        <v>348374.86083571659</v>
      </c>
      <c r="O36" s="29">
        <f t="shared" si="5"/>
        <v>348357.00351404893</v>
      </c>
      <c r="P36" s="29">
        <f t="shared" si="12"/>
        <v>348357.00351404893</v>
      </c>
      <c r="Q36">
        <f t="shared" si="13"/>
        <v>0</v>
      </c>
      <c r="R36" s="29">
        <f t="shared" si="14"/>
        <v>348357.00351404893</v>
      </c>
      <c r="S36" s="29">
        <f t="shared" si="6"/>
        <v>348356.98716972908</v>
      </c>
      <c r="T36" s="29">
        <f t="shared" si="15"/>
        <v>348356.98716972908</v>
      </c>
      <c r="U36">
        <f t="shared" si="16"/>
        <v>0</v>
      </c>
      <c r="V36" s="29">
        <f t="shared" si="17"/>
        <v>348356.98716972908</v>
      </c>
      <c r="W36" s="29">
        <f t="shared" si="7"/>
        <v>348356.98716972949</v>
      </c>
      <c r="X36" s="29">
        <f t="shared" si="18"/>
        <v>348356.98716972949</v>
      </c>
      <c r="Y36">
        <f t="shared" si="19"/>
        <v>0</v>
      </c>
    </row>
    <row r="37" spans="1:25" x14ac:dyDescent="0.25">
      <c r="A37" s="4" t="s">
        <v>724</v>
      </c>
      <c r="B37" s="7" t="s">
        <v>268</v>
      </c>
      <c r="C37" s="2" t="s">
        <v>725</v>
      </c>
      <c r="D37">
        <f>VLOOKUP(B37,'Model allocations'!$A$1:$L$317,3,FALSE)</f>
        <v>753667.06738701742</v>
      </c>
      <c r="E37" s="31">
        <f>VLOOKUP(B37,'Initial adjusted formula count'!$A$1:$P$317,12,FALSE)</f>
        <v>0.114381164492523</v>
      </c>
      <c r="F37">
        <f>VLOOKUP(B37,'Model allocations'!$A$1:$L$317,8,FALSE)</f>
        <v>640617.00727896474</v>
      </c>
      <c r="G37" s="30">
        <f t="shared" si="8"/>
        <v>0.85</v>
      </c>
      <c r="H37">
        <f t="shared" si="9"/>
        <v>640617.00727896474</v>
      </c>
      <c r="I37">
        <f t="shared" si="1"/>
        <v>0</v>
      </c>
      <c r="J37">
        <f t="shared" si="2"/>
        <v>640617.00727896474</v>
      </c>
      <c r="K37">
        <f t="shared" si="3"/>
        <v>640323.40892471117</v>
      </c>
      <c r="L37">
        <f t="shared" si="10"/>
        <v>640323.40892471117</v>
      </c>
      <c r="M37">
        <f t="shared" si="4"/>
        <v>640617.00727896474</v>
      </c>
      <c r="N37" s="29">
        <f t="shared" si="11"/>
        <v>0</v>
      </c>
      <c r="O37" s="29">
        <f t="shared" si="5"/>
        <v>0</v>
      </c>
      <c r="P37" s="29">
        <f t="shared" si="12"/>
        <v>640617.00727896474</v>
      </c>
      <c r="Q37">
        <f t="shared" si="13"/>
        <v>0</v>
      </c>
      <c r="R37" s="29">
        <f t="shared" si="14"/>
        <v>0</v>
      </c>
      <c r="S37" s="29">
        <f t="shared" si="6"/>
        <v>0</v>
      </c>
      <c r="T37" s="29">
        <f t="shared" si="15"/>
        <v>640617.00727896474</v>
      </c>
      <c r="U37">
        <f t="shared" si="16"/>
        <v>0</v>
      </c>
      <c r="V37" s="29">
        <f t="shared" si="17"/>
        <v>0</v>
      </c>
      <c r="W37" s="29">
        <f t="shared" si="7"/>
        <v>0</v>
      </c>
      <c r="X37" s="29">
        <f t="shared" si="18"/>
        <v>640617.00727896474</v>
      </c>
      <c r="Y37">
        <f t="shared" si="19"/>
        <v>0</v>
      </c>
    </row>
    <row r="38" spans="1:25" x14ac:dyDescent="0.25">
      <c r="A38" s="4" t="s">
        <v>726</v>
      </c>
      <c r="B38" s="7" t="s">
        <v>340</v>
      </c>
      <c r="C38" s="2" t="s">
        <v>727</v>
      </c>
      <c r="D38">
        <f>VLOOKUP(B38,'Model allocations'!$A$1:$L$317,3,FALSE)</f>
        <v>155596.35784154371</v>
      </c>
      <c r="E38" s="31">
        <f>VLOOKUP(B38,'Initial adjusted formula count'!$A$1:$P$317,12,FALSE)</f>
        <v>0.161904761904762</v>
      </c>
      <c r="F38">
        <f>VLOOKUP(B38,'Model allocations'!$A$1:$L$317,8,FALSE)</f>
        <v>140036.72205738933</v>
      </c>
      <c r="G38" s="30">
        <f t="shared" si="8"/>
        <v>0.9</v>
      </c>
      <c r="H38">
        <f t="shared" si="9"/>
        <v>140036.72205738933</v>
      </c>
      <c r="I38">
        <f t="shared" si="1"/>
        <v>0</v>
      </c>
      <c r="J38">
        <f t="shared" si="2"/>
        <v>140036.72205738933</v>
      </c>
      <c r="K38">
        <f t="shared" si="3"/>
        <v>139972.54244513434</v>
      </c>
      <c r="L38">
        <f t="shared" si="10"/>
        <v>139972.54244513434</v>
      </c>
      <c r="M38">
        <f t="shared" si="4"/>
        <v>140036.72205738933</v>
      </c>
      <c r="N38" s="29">
        <f t="shared" si="11"/>
        <v>0</v>
      </c>
      <c r="O38" s="29">
        <f t="shared" si="5"/>
        <v>0</v>
      </c>
      <c r="P38" s="29">
        <f t="shared" si="12"/>
        <v>140036.72205738933</v>
      </c>
      <c r="Q38">
        <f t="shared" si="13"/>
        <v>0</v>
      </c>
      <c r="R38" s="29">
        <f t="shared" si="14"/>
        <v>0</v>
      </c>
      <c r="S38" s="29">
        <f t="shared" si="6"/>
        <v>0</v>
      </c>
      <c r="T38" s="29">
        <f t="shared" si="15"/>
        <v>140036.72205738933</v>
      </c>
      <c r="U38">
        <f t="shared" si="16"/>
        <v>0</v>
      </c>
      <c r="V38" s="29">
        <f t="shared" si="17"/>
        <v>0</v>
      </c>
      <c r="W38" s="29">
        <f t="shared" si="7"/>
        <v>0</v>
      </c>
      <c r="X38" s="29">
        <f t="shared" si="18"/>
        <v>140036.72205738933</v>
      </c>
      <c r="Y38">
        <f t="shared" si="19"/>
        <v>0</v>
      </c>
    </row>
    <row r="39" spans="1:25" x14ac:dyDescent="0.25">
      <c r="A39" s="4" t="s">
        <v>728</v>
      </c>
      <c r="B39" s="7" t="s">
        <v>109</v>
      </c>
      <c r="C39" s="2" t="s">
        <v>729</v>
      </c>
      <c r="D39">
        <f>VLOOKUP(B39,'Model allocations'!$A$1:$L$317,3,FALSE)</f>
        <v>151969.38939565056</v>
      </c>
      <c r="E39" s="31">
        <f>VLOOKUP(B39,'Initial adjusted formula count'!$A$1:$P$317,12,FALSE)</f>
        <v>0.135957066189624</v>
      </c>
      <c r="F39">
        <f>VLOOKUP(B39,'Model allocations'!$A$1:$L$317,8,FALSE)</f>
        <v>132112.86439076255</v>
      </c>
      <c r="G39" s="30">
        <f t="shared" si="8"/>
        <v>0.85</v>
      </c>
      <c r="H39">
        <f t="shared" si="9"/>
        <v>129173.98098630298</v>
      </c>
      <c r="I39">
        <f t="shared" si="1"/>
        <v>0</v>
      </c>
      <c r="J39">
        <f t="shared" si="2"/>
        <v>132112.86439076255</v>
      </c>
      <c r="K39">
        <f t="shared" si="3"/>
        <v>132052.3163267553</v>
      </c>
      <c r="L39">
        <f t="shared" si="10"/>
        <v>132052.3163267553</v>
      </c>
      <c r="M39">
        <f t="shared" si="4"/>
        <v>0</v>
      </c>
      <c r="N39" s="29">
        <f t="shared" si="11"/>
        <v>132052.3163267553</v>
      </c>
      <c r="O39" s="29">
        <f t="shared" si="5"/>
        <v>132045.54746667182</v>
      </c>
      <c r="P39" s="29">
        <f t="shared" si="12"/>
        <v>132045.54746667182</v>
      </c>
      <c r="Q39">
        <f t="shared" si="13"/>
        <v>0</v>
      </c>
      <c r="R39" s="29">
        <f t="shared" si="14"/>
        <v>132045.54746667182</v>
      </c>
      <c r="S39" s="29">
        <f t="shared" si="6"/>
        <v>132045.54127131865</v>
      </c>
      <c r="T39" s="29">
        <f t="shared" si="15"/>
        <v>132045.54127131865</v>
      </c>
      <c r="U39">
        <f t="shared" si="16"/>
        <v>0</v>
      </c>
      <c r="V39" s="29">
        <f t="shared" si="17"/>
        <v>132045.54127131865</v>
      </c>
      <c r="W39" s="29">
        <f t="shared" si="7"/>
        <v>132045.5412713188</v>
      </c>
      <c r="X39" s="29">
        <f t="shared" si="18"/>
        <v>132045.5412713188</v>
      </c>
      <c r="Y39">
        <f t="shared" si="19"/>
        <v>0</v>
      </c>
    </row>
    <row r="40" spans="1:25" x14ac:dyDescent="0.25">
      <c r="A40" s="4" t="s">
        <v>730</v>
      </c>
      <c r="B40" s="7" t="s">
        <v>342</v>
      </c>
      <c r="C40" s="2" t="s">
        <v>731</v>
      </c>
      <c r="D40">
        <f>VLOOKUP(B40,'Model allocations'!$A$1:$L$317,3,FALSE)</f>
        <v>521372.42332937499</v>
      </c>
      <c r="E40" s="31">
        <f>VLOOKUP(B40,'Initial adjusted formula count'!$A$1:$P$317,12,FALSE)</f>
        <v>0.18896501983411501</v>
      </c>
      <c r="F40">
        <f>VLOOKUP(B40,'Model allocations'!$A$1:$L$317,8,FALSE)</f>
        <v>469373.72974886751</v>
      </c>
      <c r="G40" s="30">
        <f t="shared" si="8"/>
        <v>0.9</v>
      </c>
      <c r="H40">
        <f t="shared" si="9"/>
        <v>469235.1809964375</v>
      </c>
      <c r="I40">
        <f t="shared" si="1"/>
        <v>0</v>
      </c>
      <c r="J40">
        <f t="shared" si="2"/>
        <v>469373.72974886751</v>
      </c>
      <c r="K40">
        <f t="shared" si="3"/>
        <v>469158.61314562667</v>
      </c>
      <c r="L40">
        <f t="shared" si="10"/>
        <v>469158.61314562667</v>
      </c>
      <c r="M40">
        <f t="shared" si="4"/>
        <v>469235.1809964375</v>
      </c>
      <c r="N40" s="29">
        <f t="shared" si="11"/>
        <v>0</v>
      </c>
      <c r="O40" s="29">
        <f t="shared" si="5"/>
        <v>0</v>
      </c>
      <c r="P40" s="29">
        <f t="shared" si="12"/>
        <v>469235.1809964375</v>
      </c>
      <c r="Q40">
        <f t="shared" si="13"/>
        <v>0</v>
      </c>
      <c r="R40" s="29">
        <f t="shared" si="14"/>
        <v>0</v>
      </c>
      <c r="S40" s="29">
        <f t="shared" si="6"/>
        <v>0</v>
      </c>
      <c r="T40" s="29">
        <f t="shared" si="15"/>
        <v>469235.1809964375</v>
      </c>
      <c r="U40">
        <f t="shared" si="16"/>
        <v>0</v>
      </c>
      <c r="V40" s="29">
        <f t="shared" si="17"/>
        <v>0</v>
      </c>
      <c r="W40" s="29">
        <f t="shared" si="7"/>
        <v>0</v>
      </c>
      <c r="X40" s="29">
        <f t="shared" si="18"/>
        <v>469235.1809964375</v>
      </c>
      <c r="Y40">
        <f t="shared" si="19"/>
        <v>0</v>
      </c>
    </row>
    <row r="41" spans="1:25" x14ac:dyDescent="0.25">
      <c r="A41" s="4" t="s">
        <v>732</v>
      </c>
      <c r="B41" s="7" t="s">
        <v>344</v>
      </c>
      <c r="C41" s="2" t="s">
        <v>733</v>
      </c>
      <c r="D41">
        <f>VLOOKUP(B41,'Model allocations'!$A$1:$L$317,3,FALSE)</f>
        <v>128192.22949847669</v>
      </c>
      <c r="E41" s="31">
        <f>VLOOKUP(B41,'Initial adjusted formula count'!$A$1:$P$317,12,FALSE)</f>
        <v>0.14656771799628901</v>
      </c>
      <c r="F41">
        <f>VLOOKUP(B41,'Model allocations'!$A$1:$L$317,8,FALSE)</f>
        <v>137327.84587987163</v>
      </c>
      <c r="G41" s="30">
        <f t="shared" si="8"/>
        <v>0.85</v>
      </c>
      <c r="H41">
        <f t="shared" si="9"/>
        <v>108963.39507370519</v>
      </c>
      <c r="I41">
        <f t="shared" si="1"/>
        <v>0</v>
      </c>
      <c r="J41">
        <f t="shared" si="2"/>
        <v>137327.84587987163</v>
      </c>
      <c r="K41">
        <f t="shared" si="3"/>
        <v>137264.90776070621</v>
      </c>
      <c r="L41">
        <f t="shared" si="10"/>
        <v>137264.90776070621</v>
      </c>
      <c r="M41">
        <f t="shared" si="4"/>
        <v>0</v>
      </c>
      <c r="N41" s="29">
        <f t="shared" si="11"/>
        <v>137264.90776070621</v>
      </c>
      <c r="O41" s="29">
        <f t="shared" si="5"/>
        <v>137257.8717087773</v>
      </c>
      <c r="P41" s="29">
        <f t="shared" si="12"/>
        <v>137257.8717087773</v>
      </c>
      <c r="Q41">
        <f t="shared" si="13"/>
        <v>0</v>
      </c>
      <c r="R41" s="29">
        <f t="shared" si="14"/>
        <v>137257.8717087773</v>
      </c>
      <c r="S41" s="29">
        <f t="shared" si="6"/>
        <v>137257.86526887072</v>
      </c>
      <c r="T41" s="29">
        <f t="shared" si="15"/>
        <v>137257.86526887072</v>
      </c>
      <c r="U41">
        <f t="shared" si="16"/>
        <v>0</v>
      </c>
      <c r="V41" s="29">
        <f t="shared" si="17"/>
        <v>137257.86526887072</v>
      </c>
      <c r="W41" s="29">
        <f t="shared" si="7"/>
        <v>137257.86526887087</v>
      </c>
      <c r="X41" s="29">
        <f t="shared" si="18"/>
        <v>137257.86526887087</v>
      </c>
      <c r="Y41">
        <f t="shared" si="19"/>
        <v>0</v>
      </c>
    </row>
    <row r="42" spans="1:25" x14ac:dyDescent="0.25">
      <c r="A42" s="4" t="s">
        <v>734</v>
      </c>
      <c r="B42" s="7" t="s">
        <v>346</v>
      </c>
      <c r="C42" s="2" t="s">
        <v>735</v>
      </c>
      <c r="D42">
        <f>VLOOKUP(B42,'Model allocations'!$A$1:$L$317,3,FALSE)</f>
        <v>1713818.262825272</v>
      </c>
      <c r="E42" s="31">
        <f>VLOOKUP(B42,'Initial adjusted formula count'!$A$1:$P$317,12,FALSE)</f>
        <v>0.151860178403075</v>
      </c>
      <c r="F42">
        <f>VLOOKUP(B42,'Model allocations'!$A$1:$L$317,8,FALSE)</f>
        <v>1820028.5396990592</v>
      </c>
      <c r="G42" s="30">
        <f t="shared" si="8"/>
        <v>0.9</v>
      </c>
      <c r="H42">
        <f t="shared" si="9"/>
        <v>1542436.436542745</v>
      </c>
      <c r="I42">
        <f t="shared" si="1"/>
        <v>0</v>
      </c>
      <c r="J42">
        <f t="shared" si="2"/>
        <v>1820028.5396990592</v>
      </c>
      <c r="K42">
        <f t="shared" si="3"/>
        <v>1819194.4104488543</v>
      </c>
      <c r="L42">
        <f t="shared" si="10"/>
        <v>1819194.4104488543</v>
      </c>
      <c r="M42">
        <f t="shared" si="4"/>
        <v>0</v>
      </c>
      <c r="N42" s="29">
        <f t="shared" si="11"/>
        <v>1819194.4104488543</v>
      </c>
      <c r="O42" s="29">
        <f t="shared" si="5"/>
        <v>1819101.1604948093</v>
      </c>
      <c r="P42" s="29">
        <f t="shared" si="12"/>
        <v>1819101.1604948093</v>
      </c>
      <c r="Q42">
        <f t="shared" si="13"/>
        <v>0</v>
      </c>
      <c r="R42" s="29">
        <f t="shared" si="14"/>
        <v>1819101.1604948093</v>
      </c>
      <c r="S42" s="29">
        <f t="shared" si="6"/>
        <v>1819101.0751456677</v>
      </c>
      <c r="T42" s="29">
        <f t="shared" si="15"/>
        <v>1819101.0751456677</v>
      </c>
      <c r="U42">
        <f t="shared" si="16"/>
        <v>0</v>
      </c>
      <c r="V42" s="29">
        <f t="shared" si="17"/>
        <v>1819101.0751456677</v>
      </c>
      <c r="W42" s="29">
        <f t="shared" si="7"/>
        <v>1819101.0751456697</v>
      </c>
      <c r="X42" s="29">
        <f t="shared" si="18"/>
        <v>1819101.0751456697</v>
      </c>
      <c r="Y42">
        <f t="shared" si="19"/>
        <v>0</v>
      </c>
    </row>
    <row r="43" spans="1:25" x14ac:dyDescent="0.25">
      <c r="A43" s="4" t="s">
        <v>736</v>
      </c>
      <c r="B43" s="7" t="s">
        <v>270</v>
      </c>
      <c r="C43" s="2" t="s">
        <v>737</v>
      </c>
      <c r="D43">
        <f>VLOOKUP(B43,'Model allocations'!$A$1:$L$317,3,FALSE)</f>
        <v>38715.774009607056</v>
      </c>
      <c r="E43" s="31">
        <f>VLOOKUP(B43,'Initial adjusted formula count'!$A$1:$P$317,12,FALSE)</f>
        <v>9.8070739549839206E-2</v>
      </c>
      <c r="F43">
        <f>VLOOKUP(B43,'Model allocations'!$A$1:$L$317,8,FALSE)</f>
        <v>53018.978472608695</v>
      </c>
      <c r="G43" s="30">
        <f t="shared" si="8"/>
        <v>0.85</v>
      </c>
      <c r="H43">
        <f t="shared" si="9"/>
        <v>32908.407908165995</v>
      </c>
      <c r="I43">
        <f t="shared" si="1"/>
        <v>0</v>
      </c>
      <c r="J43">
        <f t="shared" si="2"/>
        <v>53018.978472608695</v>
      </c>
      <c r="K43">
        <f t="shared" si="3"/>
        <v>52994.679578500531</v>
      </c>
      <c r="L43">
        <f t="shared" si="10"/>
        <v>52994.679578500531</v>
      </c>
      <c r="M43">
        <f t="shared" si="4"/>
        <v>0</v>
      </c>
      <c r="N43" s="29">
        <f t="shared" si="11"/>
        <v>52994.679578500531</v>
      </c>
      <c r="O43" s="29">
        <f t="shared" si="5"/>
        <v>52991.96312807229</v>
      </c>
      <c r="P43" s="29">
        <f t="shared" si="12"/>
        <v>52991.96312807229</v>
      </c>
      <c r="Q43">
        <f t="shared" si="13"/>
        <v>0</v>
      </c>
      <c r="R43" s="29">
        <f t="shared" si="14"/>
        <v>52991.96312807229</v>
      </c>
      <c r="S43" s="29">
        <f t="shared" si="6"/>
        <v>52991.960641779238</v>
      </c>
      <c r="T43" s="29">
        <f t="shared" si="15"/>
        <v>52991.960641779238</v>
      </c>
      <c r="U43">
        <f t="shared" si="16"/>
        <v>0</v>
      </c>
      <c r="V43" s="29">
        <f t="shared" si="17"/>
        <v>52991.960641779238</v>
      </c>
      <c r="W43" s="29">
        <f t="shared" si="7"/>
        <v>52991.960641779297</v>
      </c>
      <c r="X43" s="29">
        <f t="shared" si="18"/>
        <v>52991.960641779297</v>
      </c>
      <c r="Y43">
        <f t="shared" si="19"/>
        <v>0</v>
      </c>
    </row>
    <row r="44" spans="1:25" x14ac:dyDescent="0.25">
      <c r="A44" s="4" t="s">
        <v>738</v>
      </c>
      <c r="B44" s="7" t="s">
        <v>348</v>
      </c>
      <c r="C44" s="2" t="s">
        <v>739</v>
      </c>
      <c r="D44">
        <f>VLOOKUP(B44,'Model allocations'!$A$1:$L$317,3,FALSE)</f>
        <v>186696.06577966068</v>
      </c>
      <c r="E44" s="31">
        <f>VLOOKUP(B44,'Initial adjusted formula count'!$A$1:$P$317,12,FALSE)</f>
        <v>0.14292706803720001</v>
      </c>
      <c r="F44">
        <f>VLOOKUP(B44,'Model allocations'!$A$1:$L$317,8,FALSE)</f>
        <v>253795.76580330715</v>
      </c>
      <c r="G44" s="30">
        <f t="shared" si="8"/>
        <v>0.85</v>
      </c>
      <c r="H44">
        <f t="shared" si="9"/>
        <v>158691.65591271158</v>
      </c>
      <c r="I44">
        <f t="shared" si="1"/>
        <v>0</v>
      </c>
      <c r="J44">
        <f t="shared" si="2"/>
        <v>253795.76580330715</v>
      </c>
      <c r="K44">
        <f t="shared" si="3"/>
        <v>253679.44978560903</v>
      </c>
      <c r="L44">
        <f t="shared" si="10"/>
        <v>253679.44978560903</v>
      </c>
      <c r="M44">
        <f t="shared" si="4"/>
        <v>0</v>
      </c>
      <c r="N44" s="29">
        <f t="shared" si="11"/>
        <v>253679.44978560903</v>
      </c>
      <c r="O44" s="29">
        <f t="shared" si="5"/>
        <v>253666.44644913287</v>
      </c>
      <c r="P44" s="29">
        <f t="shared" si="12"/>
        <v>253666.44644913287</v>
      </c>
      <c r="Q44">
        <f t="shared" si="13"/>
        <v>0</v>
      </c>
      <c r="R44" s="29">
        <f t="shared" si="14"/>
        <v>253666.44644913287</v>
      </c>
      <c r="S44" s="29">
        <f t="shared" si="6"/>
        <v>253666.43454753334</v>
      </c>
      <c r="T44" s="29">
        <f t="shared" si="15"/>
        <v>253666.43454753334</v>
      </c>
      <c r="U44">
        <f t="shared" si="16"/>
        <v>0</v>
      </c>
      <c r="V44" s="29">
        <f t="shared" si="17"/>
        <v>253666.43454753334</v>
      </c>
      <c r="W44" s="29">
        <f t="shared" si="7"/>
        <v>253666.43454753363</v>
      </c>
      <c r="X44" s="29">
        <f t="shared" si="18"/>
        <v>253666.43454753363</v>
      </c>
      <c r="Y44">
        <f t="shared" si="19"/>
        <v>0</v>
      </c>
    </row>
    <row r="45" spans="1:25" x14ac:dyDescent="0.25">
      <c r="A45" s="4" t="s">
        <v>740</v>
      </c>
      <c r="B45" s="7" t="s">
        <v>350</v>
      </c>
      <c r="C45" s="2" t="s">
        <v>741</v>
      </c>
      <c r="D45">
        <f>VLOOKUP(B45,'Model allocations'!$A$1:$L$317,3,FALSE)</f>
        <v>14625.959070295998</v>
      </c>
      <c r="E45" s="31">
        <f>VLOOKUP(B45,'Initial adjusted formula count'!$A$1:$P$317,12,FALSE)</f>
        <v>3.5999999999999997E-2</v>
      </c>
      <c r="F45">
        <f>VLOOKUP(B45,'Model allocations'!$A$1:$L$317,8,FALSE)</f>
        <v>0</v>
      </c>
      <c r="G45" s="30">
        <f t="shared" si="8"/>
        <v>0.85</v>
      </c>
      <c r="H45">
        <f t="shared" si="9"/>
        <v>0</v>
      </c>
      <c r="I45">
        <f t="shared" si="1"/>
        <v>0</v>
      </c>
      <c r="J45">
        <f t="shared" si="2"/>
        <v>0</v>
      </c>
      <c r="K45">
        <f t="shared" si="3"/>
        <v>0</v>
      </c>
      <c r="L45">
        <f t="shared" si="10"/>
        <v>0</v>
      </c>
      <c r="M45">
        <f t="shared" si="4"/>
        <v>0</v>
      </c>
      <c r="N45" s="29">
        <f t="shared" si="11"/>
        <v>0</v>
      </c>
      <c r="O45" s="29">
        <f t="shared" si="5"/>
        <v>0</v>
      </c>
      <c r="P45" s="29">
        <f t="shared" si="12"/>
        <v>0</v>
      </c>
      <c r="Q45">
        <f t="shared" si="13"/>
        <v>0</v>
      </c>
      <c r="R45" s="29">
        <f t="shared" si="14"/>
        <v>0</v>
      </c>
      <c r="S45" s="29">
        <f t="shared" si="6"/>
        <v>0</v>
      </c>
      <c r="T45" s="29">
        <f t="shared" si="15"/>
        <v>0</v>
      </c>
      <c r="U45">
        <f t="shared" si="16"/>
        <v>0</v>
      </c>
      <c r="V45" s="29">
        <f t="shared" si="17"/>
        <v>0</v>
      </c>
      <c r="W45" s="29">
        <f t="shared" si="7"/>
        <v>0</v>
      </c>
      <c r="X45" s="29">
        <f t="shared" si="18"/>
        <v>0</v>
      </c>
      <c r="Y45">
        <f t="shared" si="19"/>
        <v>0</v>
      </c>
    </row>
    <row r="46" spans="1:25" x14ac:dyDescent="0.25">
      <c r="A46" s="4" t="s">
        <v>742</v>
      </c>
      <c r="B46" s="7" t="s">
        <v>352</v>
      </c>
      <c r="C46" s="2" t="s">
        <v>743</v>
      </c>
      <c r="D46">
        <f>VLOOKUP(B46,'Model allocations'!$A$1:$L$317,3,FALSE)</f>
        <v>36995.072942513398</v>
      </c>
      <c r="E46" s="31">
        <f>VLOOKUP(B46,'Initial adjusted formula count'!$A$1:$P$317,12,FALSE)</f>
        <v>0.18446601941747601</v>
      </c>
      <c r="F46">
        <f>VLOOKUP(B46,'Model allocations'!$A$1:$L$317,8,FALSE)</f>
        <v>33295.565648262062</v>
      </c>
      <c r="G46" s="30">
        <f t="shared" si="8"/>
        <v>0.9</v>
      </c>
      <c r="H46">
        <f t="shared" si="9"/>
        <v>33295.565648262062</v>
      </c>
      <c r="I46">
        <f t="shared" si="1"/>
        <v>0</v>
      </c>
      <c r="J46">
        <f t="shared" si="2"/>
        <v>33295.565648262062</v>
      </c>
      <c r="K46">
        <f t="shared" si="3"/>
        <v>33280.306104467258</v>
      </c>
      <c r="L46">
        <f t="shared" si="10"/>
        <v>33280.306104467258</v>
      </c>
      <c r="M46">
        <f t="shared" si="4"/>
        <v>33295.565648262062</v>
      </c>
      <c r="N46" s="29">
        <f t="shared" si="11"/>
        <v>0</v>
      </c>
      <c r="O46" s="29">
        <f t="shared" si="5"/>
        <v>0</v>
      </c>
      <c r="P46" s="29">
        <f t="shared" si="12"/>
        <v>33295.565648262062</v>
      </c>
      <c r="Q46">
        <f t="shared" si="13"/>
        <v>0</v>
      </c>
      <c r="R46" s="29">
        <f t="shared" si="14"/>
        <v>0</v>
      </c>
      <c r="S46" s="29">
        <f t="shared" si="6"/>
        <v>0</v>
      </c>
      <c r="T46" s="29">
        <f t="shared" si="15"/>
        <v>33295.565648262062</v>
      </c>
      <c r="U46">
        <f t="shared" si="16"/>
        <v>0</v>
      </c>
      <c r="V46" s="29">
        <f t="shared" si="17"/>
        <v>0</v>
      </c>
      <c r="W46" s="29">
        <f t="shared" si="7"/>
        <v>0</v>
      </c>
      <c r="X46" s="29">
        <f t="shared" si="18"/>
        <v>33295.565648262062</v>
      </c>
      <c r="Y46">
        <f t="shared" si="19"/>
        <v>0</v>
      </c>
    </row>
    <row r="47" spans="1:25" x14ac:dyDescent="0.25">
      <c r="A47" s="4" t="s">
        <v>744</v>
      </c>
      <c r="B47" s="7" t="s">
        <v>353</v>
      </c>
      <c r="C47" s="2" t="s">
        <v>745</v>
      </c>
      <c r="D47">
        <f>VLOOKUP(B47,'Model allocations'!$A$1:$L$317,3,FALSE)</f>
        <v>88119.434482081328</v>
      </c>
      <c r="E47" s="31">
        <f>VLOOKUP(B47,'Initial adjusted formula count'!$A$1:$P$317,12,FALSE)</f>
        <v>0.138339920948617</v>
      </c>
      <c r="F47">
        <f>VLOOKUP(B47,'Model allocations'!$A$1:$L$317,8,FALSE)</f>
        <v>91262.176059408361</v>
      </c>
      <c r="G47" s="30">
        <f t="shared" si="8"/>
        <v>0.85</v>
      </c>
      <c r="H47">
        <f t="shared" si="9"/>
        <v>74901.519309769123</v>
      </c>
      <c r="I47">
        <f t="shared" si="1"/>
        <v>0</v>
      </c>
      <c r="J47">
        <f t="shared" si="2"/>
        <v>91262.176059408361</v>
      </c>
      <c r="K47">
        <f t="shared" si="3"/>
        <v>91220.350094140202</v>
      </c>
      <c r="L47">
        <f t="shared" si="10"/>
        <v>91220.350094140202</v>
      </c>
      <c r="M47">
        <f t="shared" si="4"/>
        <v>0</v>
      </c>
      <c r="N47" s="29">
        <f t="shared" si="11"/>
        <v>91220.350094140202</v>
      </c>
      <c r="O47" s="29">
        <f t="shared" si="5"/>
        <v>91215.674236845676</v>
      </c>
      <c r="P47" s="29">
        <f t="shared" si="12"/>
        <v>91215.674236845676</v>
      </c>
      <c r="Q47">
        <f t="shared" si="13"/>
        <v>0</v>
      </c>
      <c r="R47" s="29">
        <f t="shared" si="14"/>
        <v>91215.674236845676</v>
      </c>
      <c r="S47" s="29">
        <f t="shared" si="6"/>
        <v>91215.669957160921</v>
      </c>
      <c r="T47" s="29">
        <f t="shared" si="15"/>
        <v>91215.669957160921</v>
      </c>
      <c r="U47">
        <f t="shared" si="16"/>
        <v>0</v>
      </c>
      <c r="V47" s="29">
        <f t="shared" si="17"/>
        <v>91215.669957160921</v>
      </c>
      <c r="W47" s="29">
        <f t="shared" si="7"/>
        <v>91215.669957161022</v>
      </c>
      <c r="X47" s="29">
        <f t="shared" si="18"/>
        <v>91215.669957161022</v>
      </c>
      <c r="Y47">
        <f t="shared" si="19"/>
        <v>0</v>
      </c>
    </row>
    <row r="48" spans="1:25" x14ac:dyDescent="0.25">
      <c r="A48" s="4" t="s">
        <v>746</v>
      </c>
      <c r="B48" s="7" t="s">
        <v>354</v>
      </c>
      <c r="C48" s="2" t="s">
        <v>747</v>
      </c>
      <c r="D48">
        <f>VLOOKUP(B48,'Model allocations'!$A$1:$L$317,3,FALSE)</f>
        <v>275312.17073498358</v>
      </c>
      <c r="E48" s="31">
        <f>VLOOKUP(B48,'Initial adjusted formula count'!$A$1:$P$317,12,FALSE)</f>
        <v>0.17445328031809099</v>
      </c>
      <c r="F48">
        <f>VLOOKUP(B48,'Model allocations'!$A$1:$L$317,8,FALSE)</f>
        <v>305076.41711287951</v>
      </c>
      <c r="G48" s="30">
        <f t="shared" si="8"/>
        <v>0.9</v>
      </c>
      <c r="H48">
        <f t="shared" si="9"/>
        <v>247780.95366148523</v>
      </c>
      <c r="I48">
        <f t="shared" si="1"/>
        <v>0</v>
      </c>
      <c r="J48">
        <f t="shared" si="2"/>
        <v>305076.41711287951</v>
      </c>
      <c r="K48">
        <f t="shared" si="3"/>
        <v>304936.59888612595</v>
      </c>
      <c r="L48">
        <f t="shared" si="10"/>
        <v>304936.59888612595</v>
      </c>
      <c r="M48">
        <f t="shared" si="4"/>
        <v>0</v>
      </c>
      <c r="N48" s="29">
        <f t="shared" si="11"/>
        <v>304936.59888612595</v>
      </c>
      <c r="O48" s="29">
        <f t="shared" si="5"/>
        <v>304920.96816316998</v>
      </c>
      <c r="P48" s="29">
        <f t="shared" si="12"/>
        <v>304920.96816316998</v>
      </c>
      <c r="Q48">
        <f t="shared" si="13"/>
        <v>0</v>
      </c>
      <c r="R48" s="29">
        <f t="shared" si="14"/>
        <v>304920.96816316998</v>
      </c>
      <c r="S48" s="29">
        <f t="shared" si="6"/>
        <v>304920.95385679521</v>
      </c>
      <c r="T48" s="29">
        <f t="shared" si="15"/>
        <v>304920.95385679521</v>
      </c>
      <c r="U48">
        <f t="shared" si="16"/>
        <v>0</v>
      </c>
      <c r="V48" s="29">
        <f t="shared" si="17"/>
        <v>304920.95385679521</v>
      </c>
      <c r="W48" s="29">
        <f t="shared" si="7"/>
        <v>304920.95385679556</v>
      </c>
      <c r="X48" s="29">
        <f t="shared" si="18"/>
        <v>304920.95385679556</v>
      </c>
      <c r="Y48">
        <f t="shared" si="19"/>
        <v>0</v>
      </c>
    </row>
    <row r="49" spans="1:25" x14ac:dyDescent="0.25">
      <c r="A49" s="4" t="s">
        <v>748</v>
      </c>
      <c r="B49" s="7" t="s">
        <v>356</v>
      </c>
      <c r="C49" s="2" t="s">
        <v>749</v>
      </c>
      <c r="D49">
        <f>VLOOKUP(B49,'Model allocations'!$A$1:$L$317,3,FALSE)</f>
        <v>121309.42523010213</v>
      </c>
      <c r="E49" s="31">
        <f>VLOOKUP(B49,'Initial adjusted formula count'!$A$1:$P$317,12,FALSE)</f>
        <v>0.140226628895184</v>
      </c>
      <c r="F49">
        <f>VLOOKUP(B49,'Model allocations'!$A$1:$L$317,8,FALSE)</f>
        <v>103113.01144558682</v>
      </c>
      <c r="G49" s="30">
        <f t="shared" si="8"/>
        <v>0.85</v>
      </c>
      <c r="H49">
        <f t="shared" si="9"/>
        <v>103113.01144558682</v>
      </c>
      <c r="I49">
        <f t="shared" si="1"/>
        <v>0</v>
      </c>
      <c r="J49">
        <f t="shared" si="2"/>
        <v>103113.01144558682</v>
      </c>
      <c r="K49">
        <f t="shared" si="3"/>
        <v>103065.75417623778</v>
      </c>
      <c r="L49">
        <f t="shared" si="10"/>
        <v>103065.75417623778</v>
      </c>
      <c r="M49">
        <f t="shared" si="4"/>
        <v>103113.01144558682</v>
      </c>
      <c r="N49" s="29">
        <f t="shared" si="11"/>
        <v>0</v>
      </c>
      <c r="O49" s="29">
        <f t="shared" si="5"/>
        <v>0</v>
      </c>
      <c r="P49" s="29">
        <f t="shared" si="12"/>
        <v>103113.01144558682</v>
      </c>
      <c r="Q49">
        <f t="shared" si="13"/>
        <v>0</v>
      </c>
      <c r="R49" s="29">
        <f t="shared" si="14"/>
        <v>0</v>
      </c>
      <c r="S49" s="29">
        <f t="shared" si="6"/>
        <v>0</v>
      </c>
      <c r="T49" s="29">
        <f t="shared" si="15"/>
        <v>103113.01144558682</v>
      </c>
      <c r="U49">
        <f t="shared" si="16"/>
        <v>0</v>
      </c>
      <c r="V49" s="29">
        <f t="shared" si="17"/>
        <v>0</v>
      </c>
      <c r="W49" s="29">
        <f t="shared" si="7"/>
        <v>0</v>
      </c>
      <c r="X49" s="29">
        <f t="shared" si="18"/>
        <v>103113.01144558682</v>
      </c>
      <c r="Y49">
        <f t="shared" si="19"/>
        <v>0</v>
      </c>
    </row>
    <row r="50" spans="1:25" x14ac:dyDescent="0.25">
      <c r="A50" s="4" t="s">
        <v>750</v>
      </c>
      <c r="B50" s="7" t="s">
        <v>111</v>
      </c>
      <c r="C50" s="2" t="s">
        <v>751</v>
      </c>
      <c r="D50">
        <f>VLOOKUP(B50,'Model allocations'!$A$1:$L$317,3,FALSE)</f>
        <v>50760.681479262581</v>
      </c>
      <c r="E50" s="31">
        <f>VLOOKUP(B50,'Initial adjusted formula count'!$A$1:$P$317,12,FALSE)</f>
        <v>8.6142322097378293E-2</v>
      </c>
      <c r="F50">
        <f>VLOOKUP(B50,'Model allocations'!$A$1:$L$317,8,FALSE)</f>
        <v>43146.579257373196</v>
      </c>
      <c r="G50" s="30">
        <f t="shared" si="8"/>
        <v>0.85</v>
      </c>
      <c r="H50">
        <f t="shared" si="9"/>
        <v>43146.579257373196</v>
      </c>
      <c r="I50">
        <f t="shared" si="1"/>
        <v>0</v>
      </c>
      <c r="J50">
        <f t="shared" si="2"/>
        <v>43146.579257373196</v>
      </c>
      <c r="K50">
        <f t="shared" si="3"/>
        <v>43126.804938993104</v>
      </c>
      <c r="L50">
        <f t="shared" si="10"/>
        <v>43126.804938993104</v>
      </c>
      <c r="M50">
        <f t="shared" si="4"/>
        <v>43146.579257373196</v>
      </c>
      <c r="N50" s="29">
        <f t="shared" si="11"/>
        <v>0</v>
      </c>
      <c r="O50" s="29">
        <f t="shared" si="5"/>
        <v>0</v>
      </c>
      <c r="P50" s="29">
        <f t="shared" si="12"/>
        <v>43146.579257373196</v>
      </c>
      <c r="Q50">
        <f t="shared" si="13"/>
        <v>0</v>
      </c>
      <c r="R50" s="29">
        <f t="shared" si="14"/>
        <v>0</v>
      </c>
      <c r="S50" s="29">
        <f t="shared" si="6"/>
        <v>0</v>
      </c>
      <c r="T50" s="29">
        <f t="shared" si="15"/>
        <v>43146.579257373196</v>
      </c>
      <c r="U50">
        <f t="shared" si="16"/>
        <v>0</v>
      </c>
      <c r="V50" s="29">
        <f t="shared" si="17"/>
        <v>0</v>
      </c>
      <c r="W50" s="29">
        <f t="shared" si="7"/>
        <v>0</v>
      </c>
      <c r="X50" s="29">
        <f t="shared" si="18"/>
        <v>43146.579257373196</v>
      </c>
      <c r="Y50">
        <f t="shared" si="19"/>
        <v>0</v>
      </c>
    </row>
    <row r="51" spans="1:25" x14ac:dyDescent="0.25">
      <c r="A51" s="4" t="s">
        <v>752</v>
      </c>
      <c r="B51" s="7" t="s">
        <v>113</v>
      </c>
      <c r="C51" s="2" t="s">
        <v>753</v>
      </c>
      <c r="D51">
        <f>VLOOKUP(B51,'Model allocations'!$A$1:$L$317,3,FALSE)</f>
        <v>41296.825610247528</v>
      </c>
      <c r="E51" s="31">
        <f>VLOOKUP(B51,'Initial adjusted formula count'!$A$1:$P$317,12,FALSE)</f>
        <v>0.117460317460317</v>
      </c>
      <c r="F51">
        <f>VLOOKUP(B51,'Model allocations'!$A$1:$L$317,8,FALSE)</f>
        <v>35275.665261593349</v>
      </c>
      <c r="G51" s="30">
        <f t="shared" si="8"/>
        <v>0.85</v>
      </c>
      <c r="H51">
        <f t="shared" si="9"/>
        <v>35102.3017687104</v>
      </c>
      <c r="I51">
        <f t="shared" si="1"/>
        <v>0</v>
      </c>
      <c r="J51">
        <f t="shared" si="2"/>
        <v>35275.665261593349</v>
      </c>
      <c r="K51">
        <f t="shared" si="3"/>
        <v>35259.498227080796</v>
      </c>
      <c r="L51">
        <f t="shared" si="10"/>
        <v>35259.498227080796</v>
      </c>
      <c r="M51">
        <f t="shared" si="4"/>
        <v>0</v>
      </c>
      <c r="N51" s="29">
        <f t="shared" si="11"/>
        <v>35259.498227080796</v>
      </c>
      <c r="O51" s="29">
        <f t="shared" si="5"/>
        <v>35257.69086302424</v>
      </c>
      <c r="P51" s="29">
        <f t="shared" si="12"/>
        <v>35257.69086302424</v>
      </c>
      <c r="Q51">
        <f t="shared" si="13"/>
        <v>0</v>
      </c>
      <c r="R51" s="29">
        <f t="shared" si="14"/>
        <v>35257.69086302424</v>
      </c>
      <c r="S51" s="29">
        <f t="shared" si="6"/>
        <v>35257.68920879317</v>
      </c>
      <c r="T51" s="29">
        <f t="shared" si="15"/>
        <v>35257.68920879317</v>
      </c>
      <c r="U51">
        <f t="shared" si="16"/>
        <v>0</v>
      </c>
      <c r="V51" s="29">
        <f t="shared" si="17"/>
        <v>35257.68920879317</v>
      </c>
      <c r="W51" s="29">
        <f t="shared" si="7"/>
        <v>35257.689208793214</v>
      </c>
      <c r="X51" s="29">
        <f t="shared" si="18"/>
        <v>35257.689208793214</v>
      </c>
      <c r="Y51">
        <f t="shared" si="19"/>
        <v>0</v>
      </c>
    </row>
    <row r="52" spans="1:25" x14ac:dyDescent="0.25">
      <c r="A52" s="4" t="s">
        <v>754</v>
      </c>
      <c r="B52" s="7" t="s">
        <v>358</v>
      </c>
      <c r="C52" s="2" t="s">
        <v>755</v>
      </c>
      <c r="D52">
        <f>VLOOKUP(B52,'Model allocations'!$A$1:$L$317,3,FALSE)</f>
        <v>34414.021341872947</v>
      </c>
      <c r="E52" s="31">
        <f>VLOOKUP(B52,'Initial adjusted formula count'!$A$1:$P$317,12,FALSE)</f>
        <v>0.19758064516129001</v>
      </c>
      <c r="F52">
        <f>VLOOKUP(B52,'Model allocations'!$A$1:$L$317,8,FALSE)</f>
        <v>42589.015494390573</v>
      </c>
      <c r="G52" s="30">
        <f t="shared" si="8"/>
        <v>0.9</v>
      </c>
      <c r="H52">
        <f t="shared" si="9"/>
        <v>30972.619207685653</v>
      </c>
      <c r="I52">
        <f t="shared" si="1"/>
        <v>0</v>
      </c>
      <c r="J52">
        <f t="shared" si="2"/>
        <v>42589.015494390573</v>
      </c>
      <c r="K52">
        <f t="shared" si="3"/>
        <v>42569.496710598767</v>
      </c>
      <c r="L52">
        <f t="shared" si="10"/>
        <v>42569.496710598767</v>
      </c>
      <c r="M52">
        <f t="shared" si="4"/>
        <v>0</v>
      </c>
      <c r="N52" s="29">
        <f t="shared" si="11"/>
        <v>42569.496710598767</v>
      </c>
      <c r="O52" s="29">
        <f t="shared" si="5"/>
        <v>42567.314643861326</v>
      </c>
      <c r="P52" s="29">
        <f t="shared" si="12"/>
        <v>42567.314643861326</v>
      </c>
      <c r="Q52">
        <f t="shared" si="13"/>
        <v>0</v>
      </c>
      <c r="R52" s="29">
        <f t="shared" si="14"/>
        <v>42567.314643861326</v>
      </c>
      <c r="S52" s="29">
        <f t="shared" si="6"/>
        <v>42567.312646675105</v>
      </c>
      <c r="T52" s="29">
        <f t="shared" si="15"/>
        <v>42567.312646675105</v>
      </c>
      <c r="U52">
        <f t="shared" si="16"/>
        <v>0</v>
      </c>
      <c r="V52" s="29">
        <f t="shared" si="17"/>
        <v>42567.312646675105</v>
      </c>
      <c r="W52" s="29">
        <f t="shared" si="7"/>
        <v>42567.312646675156</v>
      </c>
      <c r="X52" s="29">
        <f t="shared" si="18"/>
        <v>42567.312646675156</v>
      </c>
      <c r="Y52">
        <f t="shared" si="19"/>
        <v>0</v>
      </c>
    </row>
    <row r="53" spans="1:25" x14ac:dyDescent="0.25">
      <c r="A53" s="4" t="s">
        <v>756</v>
      </c>
      <c r="B53" s="7" t="s">
        <v>360</v>
      </c>
      <c r="C53" s="2" t="s">
        <v>757</v>
      </c>
      <c r="D53">
        <f>VLOOKUP(B53,'Model allocations'!$A$1:$L$317,3,FALSE)</f>
        <v>84467.834456753146</v>
      </c>
      <c r="E53" s="31">
        <f>VLOOKUP(B53,'Initial adjusted formula count'!$A$1:$P$317,12,FALSE)</f>
        <v>0.10213556174559001</v>
      </c>
      <c r="F53">
        <f>VLOOKUP(B53,'Model allocations'!$A$1:$L$317,8,FALSE)</f>
        <v>95607.993966999245</v>
      </c>
      <c r="G53" s="30">
        <f t="shared" si="8"/>
        <v>0.85</v>
      </c>
      <c r="H53">
        <f t="shared" si="9"/>
        <v>71797.659288240175</v>
      </c>
      <c r="I53">
        <f t="shared" si="1"/>
        <v>0</v>
      </c>
      <c r="J53">
        <f t="shared" si="2"/>
        <v>95607.993966999245</v>
      </c>
      <c r="K53">
        <f t="shared" si="3"/>
        <v>95564.176289099269</v>
      </c>
      <c r="L53">
        <f t="shared" si="10"/>
        <v>95564.176289099269</v>
      </c>
      <c r="M53">
        <f t="shared" si="4"/>
        <v>0</v>
      </c>
      <c r="N53" s="29">
        <f t="shared" si="11"/>
        <v>95564.176289099269</v>
      </c>
      <c r="O53" s="29">
        <f t="shared" si="5"/>
        <v>95559.277771933586</v>
      </c>
      <c r="P53" s="29">
        <f t="shared" si="12"/>
        <v>95559.277771933586</v>
      </c>
      <c r="Q53">
        <f t="shared" si="13"/>
        <v>0</v>
      </c>
      <c r="R53" s="29">
        <f t="shared" si="14"/>
        <v>95559.277771933586</v>
      </c>
      <c r="S53" s="29">
        <f t="shared" si="6"/>
        <v>95559.273288454322</v>
      </c>
      <c r="T53" s="29">
        <f t="shared" si="15"/>
        <v>95559.273288454322</v>
      </c>
      <c r="U53">
        <f t="shared" si="16"/>
        <v>0</v>
      </c>
      <c r="V53" s="29">
        <f t="shared" si="17"/>
        <v>95559.273288454322</v>
      </c>
      <c r="W53" s="29">
        <f t="shared" si="7"/>
        <v>95559.273288454424</v>
      </c>
      <c r="X53" s="29">
        <f t="shared" si="18"/>
        <v>95559.273288454424</v>
      </c>
      <c r="Y53">
        <f t="shared" si="19"/>
        <v>0</v>
      </c>
    </row>
    <row r="54" spans="1:25" x14ac:dyDescent="0.25">
      <c r="A54" s="4" t="s">
        <v>758</v>
      </c>
      <c r="B54" s="7" t="s">
        <v>362</v>
      </c>
      <c r="C54" s="2" t="s">
        <v>759</v>
      </c>
      <c r="D54">
        <f>VLOOKUP(B54,'Model allocations'!$A$1:$L$317,3,FALSE)</f>
        <v>57643.485747637176</v>
      </c>
      <c r="E54" s="31">
        <f>VLOOKUP(B54,'Initial adjusted formula count'!$A$1:$P$317,12,FALSE)</f>
        <v>0.181286549707602</v>
      </c>
      <c r="F54">
        <f>VLOOKUP(B54,'Model allocations'!$A$1:$L$317,8,FALSE)</f>
        <v>53888.14205412686</v>
      </c>
      <c r="G54" s="30">
        <f t="shared" si="8"/>
        <v>0.9</v>
      </c>
      <c r="H54">
        <f t="shared" si="9"/>
        <v>51879.137172873459</v>
      </c>
      <c r="I54">
        <f t="shared" si="1"/>
        <v>0</v>
      </c>
      <c r="J54">
        <f t="shared" si="2"/>
        <v>53888.14205412686</v>
      </c>
      <c r="K54">
        <f t="shared" si="3"/>
        <v>53863.444817492331</v>
      </c>
      <c r="L54">
        <f t="shared" si="10"/>
        <v>53863.444817492331</v>
      </c>
      <c r="M54">
        <f t="shared" si="4"/>
        <v>0</v>
      </c>
      <c r="N54" s="29">
        <f t="shared" si="11"/>
        <v>53863.444817492331</v>
      </c>
      <c r="O54" s="29">
        <f t="shared" si="5"/>
        <v>53860.683835089847</v>
      </c>
      <c r="P54" s="29">
        <f t="shared" si="12"/>
        <v>53860.683835089847</v>
      </c>
      <c r="Q54">
        <f t="shared" si="13"/>
        <v>0</v>
      </c>
      <c r="R54" s="29">
        <f t="shared" si="14"/>
        <v>53860.683835089847</v>
      </c>
      <c r="S54" s="29">
        <f t="shared" si="6"/>
        <v>53860.6813080379</v>
      </c>
      <c r="T54" s="29">
        <f t="shared" si="15"/>
        <v>53860.6813080379</v>
      </c>
      <c r="U54">
        <f t="shared" si="16"/>
        <v>0</v>
      </c>
      <c r="V54" s="29">
        <f t="shared" si="17"/>
        <v>53860.6813080379</v>
      </c>
      <c r="W54" s="29">
        <f t="shared" si="7"/>
        <v>53860.681308037958</v>
      </c>
      <c r="X54" s="29">
        <f t="shared" si="18"/>
        <v>53860.681308037958</v>
      </c>
      <c r="Y54">
        <f t="shared" si="19"/>
        <v>0</v>
      </c>
    </row>
    <row r="55" spans="1:25" x14ac:dyDescent="0.25">
      <c r="A55" s="8" t="s">
        <v>760</v>
      </c>
      <c r="B55" s="7" t="s">
        <v>364</v>
      </c>
      <c r="C55" s="2" t="s">
        <v>761</v>
      </c>
      <c r="D55">
        <f>VLOOKUP(B55,'Model allocations'!$A$1:$L$317,3,FALSE)</f>
        <v>13047.876867303326</v>
      </c>
      <c r="E55" s="31">
        <f>VLOOKUP(B55,'Initial adjusted formula count'!$A$1:$P$317,12,FALSE)</f>
        <v>0.14912280701754399</v>
      </c>
      <c r="F55">
        <f>VLOOKUP(B55,'Model allocations'!$A$1:$L$317,8,FALSE)</f>
        <v>14775.780885808976</v>
      </c>
      <c r="G55" s="30">
        <f t="shared" si="8"/>
        <v>0.85</v>
      </c>
      <c r="H55">
        <f t="shared" si="9"/>
        <v>11090.695337207828</v>
      </c>
      <c r="I55">
        <f t="shared" si="1"/>
        <v>0</v>
      </c>
      <c r="J55">
        <f t="shared" si="2"/>
        <v>14775.780885808976</v>
      </c>
      <c r="K55">
        <f t="shared" si="3"/>
        <v>14769.0090628608</v>
      </c>
      <c r="L55">
        <f t="shared" si="10"/>
        <v>14769.0090628608</v>
      </c>
      <c r="M55">
        <f t="shared" si="4"/>
        <v>0</v>
      </c>
      <c r="N55" s="29">
        <f t="shared" si="11"/>
        <v>14769.0090628608</v>
      </c>
      <c r="O55" s="29">
        <f t="shared" si="5"/>
        <v>14768.25201929883</v>
      </c>
      <c r="P55" s="29">
        <f t="shared" si="12"/>
        <v>14768.25201929883</v>
      </c>
      <c r="Q55">
        <f t="shared" si="13"/>
        <v>0</v>
      </c>
      <c r="R55" s="29">
        <f t="shared" si="14"/>
        <v>14768.25201929883</v>
      </c>
      <c r="S55" s="29">
        <f t="shared" si="6"/>
        <v>14768.251326397491</v>
      </c>
      <c r="T55" s="29">
        <f t="shared" si="15"/>
        <v>14768.251326397491</v>
      </c>
      <c r="U55">
        <f t="shared" si="16"/>
        <v>0</v>
      </c>
      <c r="V55" s="29">
        <f t="shared" si="17"/>
        <v>14768.251326397491</v>
      </c>
      <c r="W55" s="29">
        <f t="shared" si="7"/>
        <v>14768.251326397507</v>
      </c>
      <c r="X55" s="29">
        <f t="shared" si="18"/>
        <v>14768.251326397507</v>
      </c>
      <c r="Y55">
        <f t="shared" si="19"/>
        <v>0</v>
      </c>
    </row>
    <row r="56" spans="1:25" x14ac:dyDescent="0.25">
      <c r="A56" s="4" t="s">
        <v>762</v>
      </c>
      <c r="B56" s="7" t="s">
        <v>366</v>
      </c>
      <c r="C56" s="2" t="s">
        <v>763</v>
      </c>
      <c r="D56">
        <f>VLOOKUP(B56,'Model allocations'!$A$1:$L$317,3,FALSE)</f>
        <v>41986.318782638773</v>
      </c>
      <c r="E56" s="31">
        <f>VLOOKUP(B56,'Initial adjusted formula count'!$A$1:$P$317,12,FALSE)</f>
        <v>0.33333333333333298</v>
      </c>
      <c r="F56">
        <f>VLOOKUP(B56,'Model allocations'!$A$1:$L$317,8,FALSE)</f>
        <v>47803.996983499623</v>
      </c>
      <c r="G56" s="30">
        <f t="shared" si="8"/>
        <v>0.95</v>
      </c>
      <c r="H56">
        <f t="shared" si="9"/>
        <v>39887.002843506831</v>
      </c>
      <c r="I56">
        <f t="shared" si="1"/>
        <v>0</v>
      </c>
      <c r="J56">
        <f t="shared" si="2"/>
        <v>47803.996983499623</v>
      </c>
      <c r="K56">
        <f t="shared" si="3"/>
        <v>47782.088144549634</v>
      </c>
      <c r="L56">
        <f t="shared" si="10"/>
        <v>47782.088144549634</v>
      </c>
      <c r="M56">
        <f t="shared" si="4"/>
        <v>0</v>
      </c>
      <c r="N56" s="29">
        <f t="shared" si="11"/>
        <v>47782.088144549634</v>
      </c>
      <c r="O56" s="29">
        <f t="shared" si="5"/>
        <v>47779.638885966793</v>
      </c>
      <c r="P56" s="29">
        <f t="shared" si="12"/>
        <v>47779.638885966793</v>
      </c>
      <c r="Q56">
        <f t="shared" si="13"/>
        <v>0</v>
      </c>
      <c r="R56" s="29">
        <f t="shared" si="14"/>
        <v>47779.638885966793</v>
      </c>
      <c r="S56" s="29">
        <f t="shared" si="6"/>
        <v>47779.636644227161</v>
      </c>
      <c r="T56" s="29">
        <f t="shared" si="15"/>
        <v>47779.636644227161</v>
      </c>
      <c r="U56">
        <f t="shared" si="16"/>
        <v>0</v>
      </c>
      <c r="V56" s="29">
        <f t="shared" si="17"/>
        <v>47779.636644227161</v>
      </c>
      <c r="W56" s="29">
        <f t="shared" si="7"/>
        <v>47779.636644227212</v>
      </c>
      <c r="X56" s="29">
        <f t="shared" si="18"/>
        <v>47779.636644227212</v>
      </c>
      <c r="Y56">
        <f t="shared" si="19"/>
        <v>0</v>
      </c>
    </row>
    <row r="57" spans="1:25" x14ac:dyDescent="0.25">
      <c r="A57" s="4" t="s">
        <v>764</v>
      </c>
      <c r="B57" s="7" t="s">
        <v>368</v>
      </c>
      <c r="C57" s="2" t="s">
        <v>765</v>
      </c>
      <c r="D57">
        <f>VLOOKUP(B57,'Model allocations'!$A$1:$L$317,3,FALSE)</f>
        <v>73476.057869617842</v>
      </c>
      <c r="E57" s="31">
        <f>VLOOKUP(B57,'Initial adjusted formula count'!$A$1:$P$317,12,FALSE)</f>
        <v>0.232198142414861</v>
      </c>
      <c r="F57">
        <f>VLOOKUP(B57,'Model allocations'!$A$1:$L$317,8,FALSE)</f>
        <v>66128.452082656062</v>
      </c>
      <c r="G57" s="30">
        <f t="shared" si="8"/>
        <v>0.9</v>
      </c>
      <c r="H57">
        <f t="shared" si="9"/>
        <v>66128.452082656062</v>
      </c>
      <c r="I57">
        <f t="shared" si="1"/>
        <v>0</v>
      </c>
      <c r="J57">
        <f t="shared" si="2"/>
        <v>66128.452082656062</v>
      </c>
      <c r="K57">
        <f t="shared" si="3"/>
        <v>66098.145043535653</v>
      </c>
      <c r="L57">
        <f t="shared" si="10"/>
        <v>66098.145043535653</v>
      </c>
      <c r="M57">
        <f t="shared" si="4"/>
        <v>66128.452082656062</v>
      </c>
      <c r="N57" s="29">
        <f t="shared" si="11"/>
        <v>0</v>
      </c>
      <c r="O57" s="29">
        <f t="shared" si="5"/>
        <v>0</v>
      </c>
      <c r="P57" s="29">
        <f t="shared" si="12"/>
        <v>66128.452082656062</v>
      </c>
      <c r="Q57">
        <f t="shared" si="13"/>
        <v>0</v>
      </c>
      <c r="R57" s="29">
        <f t="shared" si="14"/>
        <v>0</v>
      </c>
      <c r="S57" s="29">
        <f t="shared" si="6"/>
        <v>0</v>
      </c>
      <c r="T57" s="29">
        <f t="shared" si="15"/>
        <v>66128.452082656062</v>
      </c>
      <c r="U57">
        <f t="shared" si="16"/>
        <v>0</v>
      </c>
      <c r="V57" s="29">
        <f t="shared" si="17"/>
        <v>0</v>
      </c>
      <c r="W57" s="29">
        <f t="shared" si="7"/>
        <v>0</v>
      </c>
      <c r="X57" s="29">
        <f t="shared" si="18"/>
        <v>66128.452082656062</v>
      </c>
      <c r="Y57">
        <f t="shared" si="19"/>
        <v>0</v>
      </c>
    </row>
    <row r="58" spans="1:25" x14ac:dyDescent="0.25">
      <c r="A58" s="4" t="s">
        <v>766</v>
      </c>
      <c r="B58" s="7" t="s">
        <v>115</v>
      </c>
      <c r="C58" s="2" t="s">
        <v>767</v>
      </c>
      <c r="D58">
        <f>VLOOKUP(B58,'Model allocations'!$A$1:$L$317,3,FALSE)</f>
        <v>0</v>
      </c>
      <c r="E58" s="31">
        <f>VLOOKUP(B58,'Initial adjusted formula count'!$A$1:$P$317,12,FALSE)</f>
        <v>2.6548672566371698E-2</v>
      </c>
      <c r="F58">
        <f>VLOOKUP(B58,'Model allocations'!$A$1:$L$317,8,FALSE)</f>
        <v>0</v>
      </c>
      <c r="G58" s="30">
        <f t="shared" si="8"/>
        <v>0.85</v>
      </c>
      <c r="H58">
        <f t="shared" si="9"/>
        <v>0</v>
      </c>
      <c r="I58">
        <f t="shared" si="1"/>
        <v>0</v>
      </c>
      <c r="J58">
        <f t="shared" si="2"/>
        <v>0</v>
      </c>
      <c r="K58">
        <f t="shared" si="3"/>
        <v>0</v>
      </c>
      <c r="L58">
        <f t="shared" si="10"/>
        <v>0</v>
      </c>
      <c r="M58">
        <f t="shared" si="4"/>
        <v>0</v>
      </c>
      <c r="N58" s="29">
        <f t="shared" si="11"/>
        <v>0</v>
      </c>
      <c r="O58" s="29">
        <f t="shared" si="5"/>
        <v>0</v>
      </c>
      <c r="P58" s="29">
        <f t="shared" si="12"/>
        <v>0</v>
      </c>
      <c r="Q58">
        <f t="shared" si="13"/>
        <v>0</v>
      </c>
      <c r="R58" s="29">
        <f t="shared" si="14"/>
        <v>0</v>
      </c>
      <c r="S58" s="29">
        <f t="shared" si="6"/>
        <v>0</v>
      </c>
      <c r="T58" s="29">
        <f t="shared" si="15"/>
        <v>0</v>
      </c>
      <c r="U58">
        <f t="shared" si="16"/>
        <v>0</v>
      </c>
      <c r="V58" s="29">
        <f t="shared" si="17"/>
        <v>0</v>
      </c>
      <c r="W58" s="29">
        <f t="shared" si="7"/>
        <v>0</v>
      </c>
      <c r="X58" s="29">
        <f t="shared" si="18"/>
        <v>0</v>
      </c>
      <c r="Y58">
        <f t="shared" si="19"/>
        <v>0</v>
      </c>
    </row>
    <row r="59" spans="1:25" x14ac:dyDescent="0.25">
      <c r="A59" s="4" t="s">
        <v>768</v>
      </c>
      <c r="B59" s="7" t="s">
        <v>272</v>
      </c>
      <c r="C59" s="2" t="s">
        <v>769</v>
      </c>
      <c r="D59">
        <f>VLOOKUP(B59,'Model allocations'!$A$1:$L$317,3,FALSE)</f>
        <v>56998.619999272443</v>
      </c>
      <c r="E59" s="31">
        <f>VLOOKUP(B59,'Initial adjusted formula count'!$A$1:$P$317,12,FALSE)</f>
        <v>8.89328063241107E-2</v>
      </c>
      <c r="F59">
        <f>VLOOKUP(B59,'Model allocations'!$A$1:$L$317,8,FALSE)</f>
        <v>48448.826999381577</v>
      </c>
      <c r="G59" s="30">
        <f t="shared" si="8"/>
        <v>0.85</v>
      </c>
      <c r="H59">
        <f t="shared" si="9"/>
        <v>48448.826999381577</v>
      </c>
      <c r="I59">
        <f t="shared" si="1"/>
        <v>0</v>
      </c>
      <c r="J59">
        <f t="shared" si="2"/>
        <v>48448.826999381577</v>
      </c>
      <c r="K59">
        <f t="shared" si="3"/>
        <v>48426.622631231949</v>
      </c>
      <c r="L59">
        <f t="shared" si="10"/>
        <v>48426.622631231949</v>
      </c>
      <c r="M59">
        <f t="shared" si="4"/>
        <v>48448.826999381577</v>
      </c>
      <c r="N59" s="29">
        <f t="shared" si="11"/>
        <v>0</v>
      </c>
      <c r="O59" s="29">
        <f t="shared" si="5"/>
        <v>0</v>
      </c>
      <c r="P59" s="29">
        <f t="shared" si="12"/>
        <v>48448.826999381577</v>
      </c>
      <c r="Q59">
        <f t="shared" si="13"/>
        <v>0</v>
      </c>
      <c r="R59" s="29">
        <f t="shared" si="14"/>
        <v>0</v>
      </c>
      <c r="S59" s="29">
        <f t="shared" si="6"/>
        <v>0</v>
      </c>
      <c r="T59" s="29">
        <f t="shared" si="15"/>
        <v>48448.826999381577</v>
      </c>
      <c r="U59">
        <f t="shared" si="16"/>
        <v>0</v>
      </c>
      <c r="V59" s="29">
        <f t="shared" si="17"/>
        <v>0</v>
      </c>
      <c r="W59" s="29">
        <f t="shared" si="7"/>
        <v>0</v>
      </c>
      <c r="X59" s="29">
        <f t="shared" si="18"/>
        <v>48448.826999381577</v>
      </c>
      <c r="Y59">
        <f t="shared" si="19"/>
        <v>0</v>
      </c>
    </row>
    <row r="60" spans="1:25" x14ac:dyDescent="0.25">
      <c r="A60" s="4" t="s">
        <v>770</v>
      </c>
      <c r="B60" s="7" t="s">
        <v>370</v>
      </c>
      <c r="C60" s="2" t="s">
        <v>771</v>
      </c>
      <c r="D60">
        <f>VLOOKUP(B60,'Model allocations'!$A$1:$L$317,3,FALSE)</f>
        <v>69688.393217292716</v>
      </c>
      <c r="E60" s="31">
        <f>VLOOKUP(B60,'Initial adjusted formula count'!$A$1:$P$317,12,FALSE)</f>
        <v>0.13945578231292499</v>
      </c>
      <c r="F60">
        <f>VLOOKUP(B60,'Model allocations'!$A$1:$L$317,8,FALSE)</f>
        <v>71271.413684490341</v>
      </c>
      <c r="G60" s="30">
        <f t="shared" si="8"/>
        <v>0.85</v>
      </c>
      <c r="H60">
        <f t="shared" si="9"/>
        <v>59235.134234698809</v>
      </c>
      <c r="I60">
        <f t="shared" si="1"/>
        <v>0</v>
      </c>
      <c r="J60">
        <f t="shared" si="2"/>
        <v>71271.413684490341</v>
      </c>
      <c r="K60">
        <f t="shared" si="3"/>
        <v>71238.74959732854</v>
      </c>
      <c r="L60">
        <f t="shared" si="10"/>
        <v>71238.74959732854</v>
      </c>
      <c r="M60">
        <f t="shared" si="4"/>
        <v>0</v>
      </c>
      <c r="N60" s="29">
        <f t="shared" si="11"/>
        <v>71238.74959732854</v>
      </c>
      <c r="O60" s="29">
        <f t="shared" si="5"/>
        <v>71235.097975441386</v>
      </c>
      <c r="P60" s="29">
        <f t="shared" si="12"/>
        <v>71235.097975441386</v>
      </c>
      <c r="Q60">
        <f t="shared" si="13"/>
        <v>0</v>
      </c>
      <c r="R60" s="29">
        <f t="shared" si="14"/>
        <v>71235.097975441386</v>
      </c>
      <c r="S60" s="29">
        <f t="shared" si="6"/>
        <v>71235.094633211382</v>
      </c>
      <c r="T60" s="29">
        <f t="shared" si="15"/>
        <v>71235.094633211382</v>
      </c>
      <c r="U60">
        <f t="shared" si="16"/>
        <v>0</v>
      </c>
      <c r="V60" s="29">
        <f t="shared" si="17"/>
        <v>71235.094633211382</v>
      </c>
      <c r="W60" s="29">
        <f t="shared" si="7"/>
        <v>71235.094633211454</v>
      </c>
      <c r="X60" s="29">
        <f t="shared" si="18"/>
        <v>71235.094633211454</v>
      </c>
      <c r="Y60">
        <f t="shared" si="19"/>
        <v>0</v>
      </c>
    </row>
    <row r="61" spans="1:25" x14ac:dyDescent="0.25">
      <c r="A61" s="4" t="s">
        <v>772</v>
      </c>
      <c r="B61" s="7" t="s">
        <v>372</v>
      </c>
      <c r="C61" s="2" t="s">
        <v>773</v>
      </c>
      <c r="D61">
        <f>VLOOKUP(B61,'Model allocations'!$A$1:$L$317,3,FALSE)</f>
        <v>69359.766505138759</v>
      </c>
      <c r="E61" s="31">
        <f>VLOOKUP(B61,'Initial adjusted formula count'!$A$1:$P$317,12,FALSE)</f>
        <v>0.179883945841393</v>
      </c>
      <c r="F61">
        <f>VLOOKUP(B61,'Model allocations'!$A$1:$L$317,8,FALSE)</f>
        <v>80832.21308119029</v>
      </c>
      <c r="G61" s="30">
        <f t="shared" si="8"/>
        <v>0.9</v>
      </c>
      <c r="H61">
        <f t="shared" si="9"/>
        <v>62423.789854624883</v>
      </c>
      <c r="I61">
        <f t="shared" si="1"/>
        <v>0</v>
      </c>
      <c r="J61">
        <f t="shared" si="2"/>
        <v>80832.21308119029</v>
      </c>
      <c r="K61">
        <f t="shared" si="3"/>
        <v>80795.167226238496</v>
      </c>
      <c r="L61">
        <f t="shared" si="10"/>
        <v>80795.167226238496</v>
      </c>
      <c r="M61">
        <f t="shared" si="4"/>
        <v>0</v>
      </c>
      <c r="N61" s="29">
        <f t="shared" si="11"/>
        <v>80795.167226238496</v>
      </c>
      <c r="O61" s="29">
        <f t="shared" si="5"/>
        <v>80791.025752634785</v>
      </c>
      <c r="P61" s="29">
        <f t="shared" si="12"/>
        <v>80791.025752634785</v>
      </c>
      <c r="Q61">
        <f t="shared" si="13"/>
        <v>0</v>
      </c>
      <c r="R61" s="29">
        <f t="shared" si="14"/>
        <v>80791.025752634785</v>
      </c>
      <c r="S61" s="29">
        <f t="shared" si="6"/>
        <v>80791.021962056868</v>
      </c>
      <c r="T61" s="29">
        <f t="shared" si="15"/>
        <v>80791.021962056868</v>
      </c>
      <c r="U61">
        <f t="shared" si="16"/>
        <v>0</v>
      </c>
      <c r="V61" s="29">
        <f t="shared" si="17"/>
        <v>80791.021962056868</v>
      </c>
      <c r="W61" s="29">
        <f t="shared" si="7"/>
        <v>80791.021962056955</v>
      </c>
      <c r="X61" s="29">
        <f t="shared" si="18"/>
        <v>80791.021962056955</v>
      </c>
      <c r="Y61">
        <f t="shared" si="19"/>
        <v>0</v>
      </c>
    </row>
    <row r="62" spans="1:25" x14ac:dyDescent="0.25">
      <c r="A62" s="4" t="s">
        <v>774</v>
      </c>
      <c r="B62" s="7" t="s">
        <v>374</v>
      </c>
      <c r="C62" s="2" t="s">
        <v>775</v>
      </c>
      <c r="D62">
        <f>VLOOKUP(B62,'Model allocations'!$A$1:$L$317,3,FALSE)</f>
        <v>290798.48033882648</v>
      </c>
      <c r="E62" s="31">
        <f>VLOOKUP(B62,'Initial adjusted formula count'!$A$1:$P$317,12,FALSE)</f>
        <v>9.9287808965228305E-2</v>
      </c>
      <c r="F62">
        <f>VLOOKUP(B62,'Model allocations'!$A$1:$L$317,8,FALSE)</f>
        <v>247178.7082880025</v>
      </c>
      <c r="G62" s="30">
        <f t="shared" si="8"/>
        <v>0.85</v>
      </c>
      <c r="H62">
        <f t="shared" si="9"/>
        <v>247178.7082880025</v>
      </c>
      <c r="I62">
        <f t="shared" si="1"/>
        <v>0</v>
      </c>
      <c r="J62">
        <f t="shared" si="2"/>
        <v>247178.7082880025</v>
      </c>
      <c r="K62">
        <f t="shared" si="3"/>
        <v>247065.42490474027</v>
      </c>
      <c r="L62">
        <f t="shared" si="10"/>
        <v>247065.42490474027</v>
      </c>
      <c r="M62">
        <f t="shared" si="4"/>
        <v>247178.7082880025</v>
      </c>
      <c r="N62" s="29">
        <f t="shared" si="11"/>
        <v>0</v>
      </c>
      <c r="O62" s="29">
        <f t="shared" si="5"/>
        <v>0</v>
      </c>
      <c r="P62" s="29">
        <f t="shared" si="12"/>
        <v>247178.7082880025</v>
      </c>
      <c r="Q62">
        <f t="shared" si="13"/>
        <v>0</v>
      </c>
      <c r="R62" s="29">
        <f t="shared" si="14"/>
        <v>0</v>
      </c>
      <c r="S62" s="29">
        <f t="shared" si="6"/>
        <v>0</v>
      </c>
      <c r="T62" s="29">
        <f t="shared" si="15"/>
        <v>247178.7082880025</v>
      </c>
      <c r="U62">
        <f t="shared" si="16"/>
        <v>0</v>
      </c>
      <c r="V62" s="29">
        <f t="shared" si="17"/>
        <v>0</v>
      </c>
      <c r="W62" s="29">
        <f t="shared" si="7"/>
        <v>0</v>
      </c>
      <c r="X62" s="29">
        <f t="shared" si="18"/>
        <v>247178.7082880025</v>
      </c>
      <c r="Y62">
        <f t="shared" si="19"/>
        <v>0</v>
      </c>
    </row>
    <row r="63" spans="1:25" x14ac:dyDescent="0.25">
      <c r="A63" s="4" t="s">
        <v>776</v>
      </c>
      <c r="B63" s="7" t="s">
        <v>274</v>
      </c>
      <c r="C63" s="2" t="s">
        <v>777</v>
      </c>
      <c r="D63">
        <f>VLOOKUP(B63,'Model allocations'!$A$1:$L$317,3,FALSE)</f>
        <v>76571.19748566729</v>
      </c>
      <c r="E63" s="31">
        <f>VLOOKUP(B63,'Initial adjusted formula count'!$A$1:$P$317,12,FALSE)</f>
        <v>4.4483209768861803E-2</v>
      </c>
      <c r="F63">
        <f>VLOOKUP(B63,'Model allocations'!$A$1:$L$317,8,FALSE)</f>
        <v>88654.685314853836</v>
      </c>
      <c r="G63" s="30">
        <f t="shared" si="8"/>
        <v>0.85</v>
      </c>
      <c r="H63">
        <f t="shared" si="9"/>
        <v>65085.517862817193</v>
      </c>
      <c r="I63">
        <f t="shared" si="1"/>
        <v>0</v>
      </c>
      <c r="J63">
        <f t="shared" si="2"/>
        <v>88654.685314853836</v>
      </c>
      <c r="K63">
        <f t="shared" si="3"/>
        <v>88614.054377164764</v>
      </c>
      <c r="L63">
        <f t="shared" si="10"/>
        <v>88614.054377164764</v>
      </c>
      <c r="M63">
        <f t="shared" si="4"/>
        <v>0</v>
      </c>
      <c r="N63" s="29">
        <f t="shared" si="11"/>
        <v>88614.054377164764</v>
      </c>
      <c r="O63" s="29">
        <f t="shared" si="5"/>
        <v>88609.512115792939</v>
      </c>
      <c r="P63" s="29">
        <f t="shared" si="12"/>
        <v>88609.512115792939</v>
      </c>
      <c r="Q63">
        <f t="shared" si="13"/>
        <v>0</v>
      </c>
      <c r="R63" s="29">
        <f t="shared" si="14"/>
        <v>88609.512115792939</v>
      </c>
      <c r="S63" s="29">
        <f t="shared" si="6"/>
        <v>88609.507958384886</v>
      </c>
      <c r="T63" s="29">
        <f t="shared" si="15"/>
        <v>88609.507958384886</v>
      </c>
      <c r="U63">
        <f t="shared" si="16"/>
        <v>0</v>
      </c>
      <c r="V63" s="29">
        <f t="shared" si="17"/>
        <v>88609.507958384886</v>
      </c>
      <c r="W63" s="29">
        <f t="shared" si="7"/>
        <v>88609.507958384973</v>
      </c>
      <c r="X63" s="29">
        <f t="shared" si="18"/>
        <v>88609.507958384973</v>
      </c>
      <c r="Y63">
        <f t="shared" si="19"/>
        <v>0</v>
      </c>
    </row>
    <row r="64" spans="1:25" x14ac:dyDescent="0.25">
      <c r="A64" s="4" t="s">
        <v>778</v>
      </c>
      <c r="B64" s="7" t="s">
        <v>376</v>
      </c>
      <c r="C64" s="2" t="s">
        <v>779</v>
      </c>
      <c r="D64">
        <f>VLOOKUP(B64,'Model allocations'!$A$1:$L$317,3,FALSE)</f>
        <v>0</v>
      </c>
      <c r="E64" s="31">
        <f>VLOOKUP(B64,'Initial adjusted formula count'!$A$1:$P$317,12,FALSE)</f>
        <v>0.08</v>
      </c>
      <c r="F64">
        <f>VLOOKUP(B64,'Model allocations'!$A$1:$L$317,8,FALSE)</f>
        <v>0</v>
      </c>
      <c r="G64" s="30">
        <f t="shared" si="8"/>
        <v>0.85</v>
      </c>
      <c r="H64">
        <f t="shared" si="9"/>
        <v>0</v>
      </c>
      <c r="I64">
        <f t="shared" si="1"/>
        <v>0</v>
      </c>
      <c r="J64">
        <f t="shared" si="2"/>
        <v>0</v>
      </c>
      <c r="K64">
        <f t="shared" si="3"/>
        <v>0</v>
      </c>
      <c r="L64">
        <f t="shared" si="10"/>
        <v>0</v>
      </c>
      <c r="M64">
        <f t="shared" si="4"/>
        <v>0</v>
      </c>
      <c r="N64" s="29">
        <f t="shared" si="11"/>
        <v>0</v>
      </c>
      <c r="O64" s="29">
        <f t="shared" si="5"/>
        <v>0</v>
      </c>
      <c r="P64" s="29">
        <f t="shared" si="12"/>
        <v>0</v>
      </c>
      <c r="Q64">
        <f t="shared" si="13"/>
        <v>0</v>
      </c>
      <c r="R64" s="29">
        <f t="shared" si="14"/>
        <v>0</v>
      </c>
      <c r="S64" s="29">
        <f t="shared" si="6"/>
        <v>0</v>
      </c>
      <c r="T64" s="29">
        <f t="shared" si="15"/>
        <v>0</v>
      </c>
      <c r="U64">
        <f t="shared" si="16"/>
        <v>0</v>
      </c>
      <c r="V64" s="29">
        <f t="shared" si="17"/>
        <v>0</v>
      </c>
      <c r="W64" s="29">
        <f t="shared" si="7"/>
        <v>0</v>
      </c>
      <c r="X64" s="29">
        <f t="shared" si="18"/>
        <v>0</v>
      </c>
      <c r="Y64">
        <f t="shared" si="19"/>
        <v>0</v>
      </c>
    </row>
    <row r="65" spans="1:25" x14ac:dyDescent="0.25">
      <c r="A65" s="4" t="s">
        <v>780</v>
      </c>
      <c r="B65" s="7" t="s">
        <v>378</v>
      </c>
      <c r="C65" s="2" t="s">
        <v>781</v>
      </c>
      <c r="D65">
        <f>VLOOKUP(B65,'Model allocations'!$A$1:$L$317,3,FALSE)</f>
        <v>696883.93217292696</v>
      </c>
      <c r="E65" s="31">
        <f>VLOOKUP(B65,'Initial adjusted formula count'!$A$1:$P$317,12,FALSE)</f>
        <v>0.126458731169107</v>
      </c>
      <c r="F65">
        <f>VLOOKUP(B65,'Model allocations'!$A$1:$L$317,8,FALSE)</f>
        <v>592351.34234698792</v>
      </c>
      <c r="G65" s="30">
        <f t="shared" si="8"/>
        <v>0.85</v>
      </c>
      <c r="H65">
        <f t="shared" si="9"/>
        <v>592351.34234698792</v>
      </c>
      <c r="I65">
        <f t="shared" si="1"/>
        <v>0</v>
      </c>
      <c r="J65">
        <f t="shared" si="2"/>
        <v>592351.34234698792</v>
      </c>
      <c r="K65">
        <f t="shared" si="3"/>
        <v>592079.86441668496</v>
      </c>
      <c r="L65">
        <f t="shared" si="10"/>
        <v>592079.86441668496</v>
      </c>
      <c r="M65">
        <f t="shared" si="4"/>
        <v>592351.34234698792</v>
      </c>
      <c r="N65" s="29">
        <f t="shared" si="11"/>
        <v>0</v>
      </c>
      <c r="O65" s="29">
        <f t="shared" si="5"/>
        <v>0</v>
      </c>
      <c r="P65" s="29">
        <f t="shared" si="12"/>
        <v>592351.34234698792</v>
      </c>
      <c r="Q65">
        <f t="shared" si="13"/>
        <v>0</v>
      </c>
      <c r="R65" s="29">
        <f t="shared" si="14"/>
        <v>0</v>
      </c>
      <c r="S65" s="29">
        <f t="shared" si="6"/>
        <v>0</v>
      </c>
      <c r="T65" s="29">
        <f t="shared" si="15"/>
        <v>592351.34234698792</v>
      </c>
      <c r="U65">
        <f t="shared" si="16"/>
        <v>0</v>
      </c>
      <c r="V65" s="29">
        <f t="shared" si="17"/>
        <v>0</v>
      </c>
      <c r="W65" s="29">
        <f t="shared" si="7"/>
        <v>0</v>
      </c>
      <c r="X65" s="29">
        <f t="shared" si="18"/>
        <v>592351.34234698792</v>
      </c>
      <c r="Y65">
        <f t="shared" si="19"/>
        <v>0</v>
      </c>
    </row>
    <row r="66" spans="1:25" x14ac:dyDescent="0.25">
      <c r="A66" s="4" t="s">
        <v>782</v>
      </c>
      <c r="B66" s="7" t="s">
        <v>380</v>
      </c>
      <c r="C66" s="2" t="s">
        <v>783</v>
      </c>
      <c r="D66">
        <f>VLOOKUP(B66,'Model allocations'!$A$1:$L$317,3,FALSE)</f>
        <v>361347.22408966586</v>
      </c>
      <c r="E66" s="31">
        <f>VLOOKUP(B66,'Initial adjusted formula count'!$A$1:$P$317,12,FALSE)</f>
        <v>0.137717818999438</v>
      </c>
      <c r="F66">
        <f>VLOOKUP(B66,'Model allocations'!$A$1:$L$317,8,FALSE)</f>
        <v>425890.15494390571</v>
      </c>
      <c r="G66" s="30">
        <f t="shared" si="8"/>
        <v>0.85</v>
      </c>
      <c r="H66">
        <f t="shared" si="9"/>
        <v>307145.14047621598</v>
      </c>
      <c r="I66">
        <f t="shared" si="1"/>
        <v>0</v>
      </c>
      <c r="J66">
        <f t="shared" si="2"/>
        <v>425890.15494390571</v>
      </c>
      <c r="K66">
        <f t="shared" si="3"/>
        <v>425694.96710598766</v>
      </c>
      <c r="L66">
        <f t="shared" si="10"/>
        <v>425694.96710598766</v>
      </c>
      <c r="M66">
        <f t="shared" si="4"/>
        <v>0</v>
      </c>
      <c r="N66" s="29">
        <f t="shared" si="11"/>
        <v>425694.96710598766</v>
      </c>
      <c r="O66" s="29">
        <f t="shared" si="5"/>
        <v>425673.14643861324</v>
      </c>
      <c r="P66" s="29">
        <f t="shared" si="12"/>
        <v>425673.14643861324</v>
      </c>
      <c r="Q66">
        <f t="shared" si="13"/>
        <v>0</v>
      </c>
      <c r="R66" s="29">
        <f t="shared" si="14"/>
        <v>425673.14643861324</v>
      </c>
      <c r="S66" s="29">
        <f t="shared" si="6"/>
        <v>425673.12646675104</v>
      </c>
      <c r="T66" s="29">
        <f t="shared" si="15"/>
        <v>425673.12646675104</v>
      </c>
      <c r="U66">
        <f t="shared" si="16"/>
        <v>0</v>
      </c>
      <c r="V66" s="29">
        <f t="shared" si="17"/>
        <v>425673.12646675104</v>
      </c>
      <c r="W66" s="29">
        <f t="shared" si="7"/>
        <v>425673.12646675151</v>
      </c>
      <c r="X66" s="29">
        <f t="shared" si="18"/>
        <v>425673.12646675151</v>
      </c>
      <c r="Y66">
        <f t="shared" si="19"/>
        <v>0</v>
      </c>
    </row>
    <row r="67" spans="1:25" x14ac:dyDescent="0.25">
      <c r="A67" s="4" t="s">
        <v>784</v>
      </c>
      <c r="B67" s="7" t="s">
        <v>382</v>
      </c>
      <c r="C67" s="2" t="s">
        <v>785</v>
      </c>
      <c r="D67">
        <f>VLOOKUP(B67,'Model allocations'!$A$1:$L$317,3,FALSE)</f>
        <v>548043.28986932652</v>
      </c>
      <c r="E67" s="31">
        <f>VLOOKUP(B67,'Initial adjusted formula count'!$A$1:$P$317,12,FALSE)</f>
        <v>0.138697557921102</v>
      </c>
      <c r="F67">
        <f>VLOOKUP(B67,'Model allocations'!$A$1:$L$317,8,FALSE)</f>
        <v>770078.93322510284</v>
      </c>
      <c r="G67" s="30">
        <f t="shared" si="8"/>
        <v>0.85</v>
      </c>
      <c r="H67">
        <f t="shared" si="9"/>
        <v>465836.7963889275</v>
      </c>
      <c r="I67">
        <f t="shared" si="1"/>
        <v>0</v>
      </c>
      <c r="J67">
        <f t="shared" si="2"/>
        <v>770078.93322510284</v>
      </c>
      <c r="K67">
        <f t="shared" si="3"/>
        <v>769726.00174674485</v>
      </c>
      <c r="L67">
        <f t="shared" si="10"/>
        <v>769726.00174674485</v>
      </c>
      <c r="M67">
        <f t="shared" si="4"/>
        <v>0</v>
      </c>
      <c r="N67" s="29">
        <f t="shared" si="11"/>
        <v>769726.00174674485</v>
      </c>
      <c r="O67" s="29">
        <f t="shared" si="5"/>
        <v>769686.54641757393</v>
      </c>
      <c r="P67" s="29">
        <f t="shared" si="12"/>
        <v>769686.54641757393</v>
      </c>
      <c r="Q67">
        <f t="shared" si="13"/>
        <v>0</v>
      </c>
      <c r="R67" s="29">
        <f t="shared" si="14"/>
        <v>769686.54641757393</v>
      </c>
      <c r="S67" s="29">
        <f t="shared" si="6"/>
        <v>769686.51030518638</v>
      </c>
      <c r="T67" s="29">
        <f t="shared" si="15"/>
        <v>769686.51030518638</v>
      </c>
      <c r="U67">
        <f t="shared" si="16"/>
        <v>0</v>
      </c>
      <c r="V67" s="29">
        <f t="shared" si="17"/>
        <v>769686.51030518638</v>
      </c>
      <c r="W67" s="29">
        <f t="shared" si="7"/>
        <v>769686.51030518732</v>
      </c>
      <c r="X67" s="29">
        <f t="shared" si="18"/>
        <v>769686.51030518732</v>
      </c>
      <c r="Y67">
        <f t="shared" si="19"/>
        <v>0</v>
      </c>
    </row>
    <row r="68" spans="1:25" x14ac:dyDescent="0.25">
      <c r="A68" s="4" t="s">
        <v>786</v>
      </c>
      <c r="B68" s="7" t="s">
        <v>117</v>
      </c>
      <c r="C68" s="2" t="s">
        <v>787</v>
      </c>
      <c r="D68">
        <f>VLOOKUP(B68,'Model allocations'!$A$1:$L$317,3,FALSE)</f>
        <v>0</v>
      </c>
      <c r="E68" s="31">
        <f>VLOOKUP(B68,'Initial adjusted formula count'!$A$1:$P$317,12,FALSE)</f>
        <v>0.13375796178343899</v>
      </c>
      <c r="F68">
        <f>VLOOKUP(B68,'Model allocations'!$A$1:$L$317,8,FALSE)</f>
        <v>18252.435211881668</v>
      </c>
      <c r="G68" s="30">
        <f t="shared" si="8"/>
        <v>0.85</v>
      </c>
      <c r="H68">
        <f t="shared" si="9"/>
        <v>0</v>
      </c>
      <c r="I68">
        <f t="shared" ref="I68:I131" si="20">IF(F68&lt;H68,H68,0)</f>
        <v>0</v>
      </c>
      <c r="J68">
        <f t="shared" ref="J68:J131" si="21">IF(I68=0,F68,0)</f>
        <v>18252.435211881668</v>
      </c>
      <c r="K68">
        <f t="shared" ref="K68:K131" si="22">(J68/$J$3)*($F$3-$I$3)</f>
        <v>18244.070018828035</v>
      </c>
      <c r="L68">
        <f t="shared" si="10"/>
        <v>18244.070018828035</v>
      </c>
      <c r="M68">
        <f t="shared" ref="M68:M131" si="23">IF(L68&lt;H68,H68,0)</f>
        <v>0</v>
      </c>
      <c r="N68" s="29">
        <f t="shared" si="11"/>
        <v>18244.070018828035</v>
      </c>
      <c r="O68" s="29">
        <f t="shared" ref="O68:O131" si="24">((N68/$N$3)*($F$3-$I$3-$M$3))</f>
        <v>18243.134847369129</v>
      </c>
      <c r="P68" s="29">
        <f t="shared" si="12"/>
        <v>18243.134847369129</v>
      </c>
      <c r="Q68">
        <f t="shared" si="13"/>
        <v>0</v>
      </c>
      <c r="R68" s="29">
        <f t="shared" si="14"/>
        <v>18243.134847369129</v>
      </c>
      <c r="S68" s="29">
        <f t="shared" ref="S68:S131" si="25">((R68/$R$3)*($F$3-$I$3-$M$3-$Q$3))</f>
        <v>18243.13399143218</v>
      </c>
      <c r="T68" s="29">
        <f t="shared" si="15"/>
        <v>18243.13399143218</v>
      </c>
      <c r="U68">
        <f t="shared" si="16"/>
        <v>0</v>
      </c>
      <c r="V68" s="29">
        <f t="shared" si="17"/>
        <v>18243.13399143218</v>
      </c>
      <c r="W68" s="29">
        <f t="shared" ref="W68:W131" si="26">((V68/$V$3)*($F$3-$I$3-$M$3-$Q$3-$U$3))</f>
        <v>18243.133991432198</v>
      </c>
      <c r="X68" s="29">
        <f t="shared" si="18"/>
        <v>18243.133991432198</v>
      </c>
      <c r="Y68">
        <f t="shared" si="19"/>
        <v>0</v>
      </c>
    </row>
    <row r="69" spans="1:25" x14ac:dyDescent="0.25">
      <c r="A69" s="4" t="s">
        <v>788</v>
      </c>
      <c r="B69" s="7" t="s">
        <v>119</v>
      </c>
      <c r="C69" s="2" t="s">
        <v>789</v>
      </c>
      <c r="D69">
        <f>VLOOKUP(B69,'Model allocations'!$A$1:$L$317,3,FALSE)</f>
        <v>164326.95190744323</v>
      </c>
      <c r="E69" s="31">
        <f>VLOOKUP(B69,'Initial adjusted formula count'!$A$1:$P$317,12,FALSE)</f>
        <v>7.0657065706570599E-2</v>
      </c>
      <c r="F69">
        <f>VLOOKUP(B69,'Model allocations'!$A$1:$L$317,8,FALSE)</f>
        <v>139677.90912132675</v>
      </c>
      <c r="G69" s="30">
        <f t="shared" ref="G69:G132" si="27">IF(E69&lt;0.15,0.85,IF(AND(E69&gt;=0.15,E69&lt;0.3),0.9,0.95))</f>
        <v>0.85</v>
      </c>
      <c r="H69">
        <f t="shared" ref="H69:H132" si="28">IF(F69 = 0, 0, D69*G69)</f>
        <v>139677.90912132675</v>
      </c>
      <c r="I69">
        <f t="shared" si="20"/>
        <v>0</v>
      </c>
      <c r="J69">
        <f t="shared" si="21"/>
        <v>139677.90912132675</v>
      </c>
      <c r="K69">
        <f t="shared" si="22"/>
        <v>139613.89395504544</v>
      </c>
      <c r="L69">
        <f t="shared" ref="L69:L132" si="29">I69+K69</f>
        <v>139613.89395504544</v>
      </c>
      <c r="M69">
        <f t="shared" si="23"/>
        <v>139677.90912132675</v>
      </c>
      <c r="N69" s="29">
        <f t="shared" ref="N69:N132" si="30">IF($I69+$M69=0,L69,0)</f>
        <v>0</v>
      </c>
      <c r="O69" s="29">
        <f t="shared" si="24"/>
        <v>0</v>
      </c>
      <c r="P69" s="29">
        <f t="shared" ref="P69:P132" si="31">$I69+$M69+O69</f>
        <v>139677.90912132675</v>
      </c>
      <c r="Q69">
        <f t="shared" ref="Q69:Q132" si="32">IF(P69&lt;H69,H69,0)</f>
        <v>0</v>
      </c>
      <c r="R69" s="29">
        <f t="shared" ref="R69:R132" si="33">IF($I69+$M69+$Q69=0,P69,0)</f>
        <v>0</v>
      </c>
      <c r="S69" s="29">
        <f t="shared" si="25"/>
        <v>0</v>
      </c>
      <c r="T69" s="29">
        <f t="shared" ref="T69:T132" si="34">$I69+$M69+$Q69+S69</f>
        <v>139677.90912132675</v>
      </c>
      <c r="U69">
        <f t="shared" ref="U69:U132" si="35">IF(T69&lt;H69,H69,0)</f>
        <v>0</v>
      </c>
      <c r="V69" s="29">
        <f t="shared" ref="V69:V132" si="36">IF($I69+$M69+$Q69+U69=0,T69,0)</f>
        <v>0</v>
      </c>
      <c r="W69" s="29">
        <f t="shared" si="26"/>
        <v>0</v>
      </c>
      <c r="X69" s="29">
        <f t="shared" ref="X69:X132" si="37">$I69+$M69+$Q69+$U69+W69</f>
        <v>139677.90912132675</v>
      </c>
      <c r="Y69">
        <f t="shared" ref="Y69:Y132" si="38">IF(X69&lt;H69,H69,0)</f>
        <v>0</v>
      </c>
    </row>
    <row r="70" spans="1:25" x14ac:dyDescent="0.25">
      <c r="A70" s="4" t="s">
        <v>790</v>
      </c>
      <c r="B70" s="7" t="s">
        <v>121</v>
      </c>
      <c r="C70" s="2" t="s">
        <v>791</v>
      </c>
      <c r="D70">
        <f>VLOOKUP(B70,'Model allocations'!$A$1:$L$317,3,FALSE)</f>
        <v>1816199.9763173445</v>
      </c>
      <c r="E70" s="31">
        <f>VLOOKUP(B70,'Initial adjusted formula count'!$A$1:$P$317,12,FALSE)</f>
        <v>9.6499488229273303E-2</v>
      </c>
      <c r="F70">
        <f>VLOOKUP(B70,'Model allocations'!$A$1:$L$317,8,FALSE)</f>
        <v>2048618.5616383385</v>
      </c>
      <c r="G70" s="30">
        <f t="shared" si="27"/>
        <v>0.85</v>
      </c>
      <c r="H70">
        <f t="shared" si="28"/>
        <v>1543769.9798697426</v>
      </c>
      <c r="I70">
        <f t="shared" si="20"/>
        <v>0</v>
      </c>
      <c r="J70">
        <f t="shared" si="21"/>
        <v>2048618.5616383385</v>
      </c>
      <c r="K70">
        <f t="shared" si="22"/>
        <v>2047679.6683036997</v>
      </c>
      <c r="L70">
        <f t="shared" si="29"/>
        <v>2047679.6683036997</v>
      </c>
      <c r="M70">
        <f t="shared" si="23"/>
        <v>0</v>
      </c>
      <c r="N70" s="29">
        <f t="shared" si="30"/>
        <v>2047679.6683036997</v>
      </c>
      <c r="O70" s="29">
        <f t="shared" si="24"/>
        <v>2047574.7064404311</v>
      </c>
      <c r="P70" s="29">
        <f t="shared" si="31"/>
        <v>2047574.7064404311</v>
      </c>
      <c r="Q70">
        <f t="shared" si="32"/>
        <v>0</v>
      </c>
      <c r="R70" s="29">
        <f t="shared" si="33"/>
        <v>2047574.7064404311</v>
      </c>
      <c r="S70" s="29">
        <f t="shared" si="25"/>
        <v>2047574.6103716982</v>
      </c>
      <c r="T70" s="29">
        <f t="shared" si="34"/>
        <v>2047574.6103716982</v>
      </c>
      <c r="U70">
        <f t="shared" si="35"/>
        <v>0</v>
      </c>
      <c r="V70" s="29">
        <f t="shared" si="36"/>
        <v>2047574.6103716982</v>
      </c>
      <c r="W70" s="29">
        <f t="shared" si="26"/>
        <v>2047574.6103717005</v>
      </c>
      <c r="X70" s="29">
        <f t="shared" si="37"/>
        <v>2047574.6103717005</v>
      </c>
      <c r="Y70">
        <f t="shared" si="38"/>
        <v>0</v>
      </c>
    </row>
    <row r="71" spans="1:25" x14ac:dyDescent="0.25">
      <c r="A71" s="4" t="s">
        <v>792</v>
      </c>
      <c r="B71" s="7" t="s">
        <v>384</v>
      </c>
      <c r="C71" s="2" t="s">
        <v>793</v>
      </c>
      <c r="D71">
        <f>VLOOKUP(B71,'Model allocations'!$A$1:$L$317,3,FALSE)</f>
        <v>340698.81128454203</v>
      </c>
      <c r="E71" s="31">
        <f>VLOOKUP(B71,'Initial adjusted formula count'!$A$1:$P$317,12,FALSE)</f>
        <v>0.12371420628301399</v>
      </c>
      <c r="F71">
        <f>VLOOKUP(B71,'Model allocations'!$A$1:$L$317,8,FALSE)</f>
        <v>386777.79377558781</v>
      </c>
      <c r="G71" s="30">
        <f t="shared" si="27"/>
        <v>0.85</v>
      </c>
      <c r="H71">
        <f t="shared" si="28"/>
        <v>289593.98959186074</v>
      </c>
      <c r="I71">
        <f t="shared" si="20"/>
        <v>0</v>
      </c>
      <c r="J71">
        <f t="shared" si="21"/>
        <v>386777.79377558781</v>
      </c>
      <c r="K71">
        <f t="shared" si="22"/>
        <v>386600.53135135607</v>
      </c>
      <c r="L71">
        <f t="shared" si="29"/>
        <v>386600.53135135607</v>
      </c>
      <c r="M71">
        <f t="shared" si="23"/>
        <v>0</v>
      </c>
      <c r="N71" s="29">
        <f t="shared" si="30"/>
        <v>386600.53135135607</v>
      </c>
      <c r="O71" s="29">
        <f t="shared" si="24"/>
        <v>386580.71462282212</v>
      </c>
      <c r="P71" s="29">
        <f t="shared" si="31"/>
        <v>386580.71462282212</v>
      </c>
      <c r="Q71">
        <f t="shared" si="32"/>
        <v>0</v>
      </c>
      <c r="R71" s="29">
        <f t="shared" si="33"/>
        <v>386580.71462282212</v>
      </c>
      <c r="S71" s="29">
        <f t="shared" si="25"/>
        <v>386580.69648511056</v>
      </c>
      <c r="T71" s="29">
        <f t="shared" si="34"/>
        <v>386580.69648511056</v>
      </c>
      <c r="U71">
        <f t="shared" si="35"/>
        <v>0</v>
      </c>
      <c r="V71" s="29">
        <f t="shared" si="36"/>
        <v>386580.69648511056</v>
      </c>
      <c r="W71" s="29">
        <f t="shared" si="26"/>
        <v>386580.69648511102</v>
      </c>
      <c r="X71" s="29">
        <f t="shared" si="37"/>
        <v>386580.69648511102</v>
      </c>
      <c r="Y71">
        <f t="shared" si="38"/>
        <v>0</v>
      </c>
    </row>
    <row r="72" spans="1:25" x14ac:dyDescent="0.25">
      <c r="A72" s="4" t="s">
        <v>794</v>
      </c>
      <c r="B72" s="7" t="s">
        <v>386</v>
      </c>
      <c r="C72" s="2" t="s">
        <v>795</v>
      </c>
      <c r="D72">
        <f>VLOOKUP(B72,'Model allocations'!$A$1:$L$317,3,FALSE)</f>
        <v>282194.97500335809</v>
      </c>
      <c r="E72" s="31">
        <f>VLOOKUP(B72,'Initial adjusted formula count'!$A$1:$P$317,12,FALSE)</f>
        <v>0.15379786566227199</v>
      </c>
      <c r="F72">
        <f>VLOOKUP(B72,'Model allocations'!$A$1:$L$317,8,FALSE)</f>
        <v>253975.4775030223</v>
      </c>
      <c r="G72" s="30">
        <f t="shared" si="27"/>
        <v>0.9</v>
      </c>
      <c r="H72">
        <f t="shared" si="28"/>
        <v>253975.4775030223</v>
      </c>
      <c r="I72">
        <f t="shared" si="20"/>
        <v>0</v>
      </c>
      <c r="J72">
        <f t="shared" si="21"/>
        <v>253975.4775030223</v>
      </c>
      <c r="K72">
        <f t="shared" si="22"/>
        <v>253859.07912244793</v>
      </c>
      <c r="L72">
        <f t="shared" si="29"/>
        <v>253859.07912244793</v>
      </c>
      <c r="M72">
        <f t="shared" si="23"/>
        <v>253975.4775030223</v>
      </c>
      <c r="N72" s="29">
        <f t="shared" si="30"/>
        <v>0</v>
      </c>
      <c r="O72" s="29">
        <f t="shared" si="24"/>
        <v>0</v>
      </c>
      <c r="P72" s="29">
        <f t="shared" si="31"/>
        <v>253975.4775030223</v>
      </c>
      <c r="Q72">
        <f t="shared" si="32"/>
        <v>0</v>
      </c>
      <c r="R72" s="29">
        <f t="shared" si="33"/>
        <v>0</v>
      </c>
      <c r="S72" s="29">
        <f t="shared" si="25"/>
        <v>0</v>
      </c>
      <c r="T72" s="29">
        <f t="shared" si="34"/>
        <v>253975.4775030223</v>
      </c>
      <c r="U72">
        <f t="shared" si="35"/>
        <v>0</v>
      </c>
      <c r="V72" s="29">
        <f t="shared" si="36"/>
        <v>0</v>
      </c>
      <c r="W72" s="29">
        <f t="shared" si="26"/>
        <v>0</v>
      </c>
      <c r="X72" s="29">
        <f t="shared" si="37"/>
        <v>253975.4775030223</v>
      </c>
      <c r="Y72">
        <f t="shared" si="38"/>
        <v>0</v>
      </c>
    </row>
    <row r="73" spans="1:25" x14ac:dyDescent="0.25">
      <c r="A73" s="4" t="s">
        <v>796</v>
      </c>
      <c r="B73" s="7" t="s">
        <v>388</v>
      </c>
      <c r="C73" s="2" t="s">
        <v>797</v>
      </c>
      <c r="D73">
        <f>VLOOKUP(B73,'Model allocations'!$A$1:$L$317,3,FALSE)</f>
        <v>16099.928160323327</v>
      </c>
      <c r="E73" s="31">
        <f>VLOOKUP(B73,'Initial adjusted formula count'!$A$1:$P$317,12,FALSE)</f>
        <v>0.24444444444444399</v>
      </c>
      <c r="F73">
        <f>VLOOKUP(B73,'Model allocations'!$A$1:$L$317,8,FALSE)</f>
        <v>19121.598793399851</v>
      </c>
      <c r="G73" s="30">
        <f t="shared" si="27"/>
        <v>0.9</v>
      </c>
      <c r="H73">
        <f t="shared" si="28"/>
        <v>14489.935344290994</v>
      </c>
      <c r="I73">
        <f t="shared" si="20"/>
        <v>0</v>
      </c>
      <c r="J73">
        <f t="shared" si="21"/>
        <v>19121.598793399851</v>
      </c>
      <c r="K73">
        <f t="shared" si="22"/>
        <v>19112.835257819857</v>
      </c>
      <c r="L73">
        <f t="shared" si="29"/>
        <v>19112.835257819857</v>
      </c>
      <c r="M73">
        <f t="shared" si="23"/>
        <v>0</v>
      </c>
      <c r="N73" s="29">
        <f t="shared" si="30"/>
        <v>19112.835257819857</v>
      </c>
      <c r="O73" s="29">
        <f t="shared" si="24"/>
        <v>19111.855554386719</v>
      </c>
      <c r="P73" s="29">
        <f t="shared" si="31"/>
        <v>19111.855554386719</v>
      </c>
      <c r="Q73">
        <f t="shared" si="32"/>
        <v>0</v>
      </c>
      <c r="R73" s="29">
        <f t="shared" si="33"/>
        <v>19111.855554386719</v>
      </c>
      <c r="S73" s="29">
        <f t="shared" si="25"/>
        <v>19111.854657690867</v>
      </c>
      <c r="T73" s="29">
        <f t="shared" si="34"/>
        <v>19111.854657690867</v>
      </c>
      <c r="U73">
        <f t="shared" si="35"/>
        <v>0</v>
      </c>
      <c r="V73" s="29">
        <f t="shared" si="36"/>
        <v>19111.854657690867</v>
      </c>
      <c r="W73" s="29">
        <f t="shared" si="26"/>
        <v>19111.854657690888</v>
      </c>
      <c r="X73" s="29">
        <f t="shared" si="37"/>
        <v>19111.854657690888</v>
      </c>
      <c r="Y73">
        <f t="shared" si="38"/>
        <v>0</v>
      </c>
    </row>
    <row r="74" spans="1:25" x14ac:dyDescent="0.25">
      <c r="A74" s="4" t="s">
        <v>798</v>
      </c>
      <c r="B74" s="7" t="s">
        <v>390</v>
      </c>
      <c r="C74" s="2" t="s">
        <v>799</v>
      </c>
      <c r="D74">
        <f>VLOOKUP(B74,'Model allocations'!$A$1:$L$317,3,FALSE)</f>
        <v>60224.537348277634</v>
      </c>
      <c r="E74" s="31">
        <f>VLOOKUP(B74,'Initial adjusted formula count'!$A$1:$P$317,12,FALSE)</f>
        <v>0.17114914425427899</v>
      </c>
      <c r="F74">
        <f>VLOOKUP(B74,'Model allocations'!$A$1:$L$317,8,FALSE)</f>
        <v>60841.45070627224</v>
      </c>
      <c r="G74" s="30">
        <f t="shared" si="27"/>
        <v>0.9</v>
      </c>
      <c r="H74">
        <f t="shared" si="28"/>
        <v>54202.083613449875</v>
      </c>
      <c r="I74">
        <f t="shared" si="20"/>
        <v>0</v>
      </c>
      <c r="J74">
        <f t="shared" si="21"/>
        <v>60841.45070627224</v>
      </c>
      <c r="K74">
        <f t="shared" si="22"/>
        <v>60813.566729426799</v>
      </c>
      <c r="L74">
        <f t="shared" si="29"/>
        <v>60813.566729426799</v>
      </c>
      <c r="M74">
        <f t="shared" si="23"/>
        <v>0</v>
      </c>
      <c r="N74" s="29">
        <f t="shared" si="30"/>
        <v>60813.566729426799</v>
      </c>
      <c r="O74" s="29">
        <f t="shared" si="24"/>
        <v>60810.449491230451</v>
      </c>
      <c r="P74" s="29">
        <f t="shared" si="31"/>
        <v>60810.449491230451</v>
      </c>
      <c r="Q74">
        <f t="shared" si="32"/>
        <v>0</v>
      </c>
      <c r="R74" s="29">
        <f t="shared" si="33"/>
        <v>60810.449491230451</v>
      </c>
      <c r="S74" s="29">
        <f t="shared" si="25"/>
        <v>60810.446638107278</v>
      </c>
      <c r="T74" s="29">
        <f t="shared" si="34"/>
        <v>60810.446638107278</v>
      </c>
      <c r="U74">
        <f t="shared" si="35"/>
        <v>0</v>
      </c>
      <c r="V74" s="29">
        <f t="shared" si="36"/>
        <v>60810.446638107278</v>
      </c>
      <c r="W74" s="29">
        <f t="shared" si="26"/>
        <v>60810.446638107351</v>
      </c>
      <c r="X74" s="29">
        <f t="shared" si="37"/>
        <v>60810.446638107351</v>
      </c>
      <c r="Y74">
        <f t="shared" si="38"/>
        <v>0</v>
      </c>
    </row>
    <row r="75" spans="1:25" x14ac:dyDescent="0.25">
      <c r="A75" s="4" t="s">
        <v>800</v>
      </c>
      <c r="B75" s="7" t="s">
        <v>123</v>
      </c>
      <c r="C75" s="2" t="s">
        <v>801</v>
      </c>
      <c r="D75">
        <f>VLOOKUP(B75,'Model allocations'!$A$1:$L$317,3,FALSE)</f>
        <v>258965.51059759385</v>
      </c>
      <c r="E75" s="31">
        <f>VLOOKUP(B75,'Initial adjusted formula count'!$A$1:$P$317,12,FALSE)</f>
        <v>6.2126387702818101E-2</v>
      </c>
      <c r="F75">
        <f>VLOOKUP(B75,'Model allocations'!$A$1:$L$317,8,FALSE)</f>
        <v>252926.60222178895</v>
      </c>
      <c r="G75" s="30">
        <f t="shared" si="27"/>
        <v>0.85</v>
      </c>
      <c r="H75">
        <f t="shared" si="28"/>
        <v>220120.68400795475</v>
      </c>
      <c r="I75">
        <f t="shared" si="20"/>
        <v>0</v>
      </c>
      <c r="J75">
        <f t="shared" si="21"/>
        <v>252926.60222178895</v>
      </c>
      <c r="K75">
        <f t="shared" si="22"/>
        <v>252810.68454661718</v>
      </c>
      <c r="L75">
        <f t="shared" si="29"/>
        <v>252810.68454661718</v>
      </c>
      <c r="M75">
        <f t="shared" si="23"/>
        <v>0</v>
      </c>
      <c r="N75" s="29">
        <f t="shared" si="30"/>
        <v>252810.68454661718</v>
      </c>
      <c r="O75" s="29">
        <f t="shared" si="24"/>
        <v>252797.7257421152</v>
      </c>
      <c r="P75" s="29">
        <f t="shared" si="31"/>
        <v>252797.7257421152</v>
      </c>
      <c r="Q75">
        <f t="shared" si="32"/>
        <v>0</v>
      </c>
      <c r="R75" s="29">
        <f t="shared" si="33"/>
        <v>252797.7257421152</v>
      </c>
      <c r="S75" s="29">
        <f t="shared" si="25"/>
        <v>252797.7138812746</v>
      </c>
      <c r="T75" s="29">
        <f t="shared" si="34"/>
        <v>252797.7138812746</v>
      </c>
      <c r="U75">
        <f t="shared" si="35"/>
        <v>0</v>
      </c>
      <c r="V75" s="29">
        <f t="shared" si="36"/>
        <v>252797.7138812746</v>
      </c>
      <c r="W75" s="29">
        <f t="shared" si="26"/>
        <v>252797.71388127489</v>
      </c>
      <c r="X75" s="29">
        <f t="shared" si="37"/>
        <v>252797.71388127489</v>
      </c>
      <c r="Y75">
        <f t="shared" si="38"/>
        <v>0</v>
      </c>
    </row>
    <row r="76" spans="1:25" x14ac:dyDescent="0.25">
      <c r="A76" s="4" t="s">
        <v>802</v>
      </c>
      <c r="B76" s="7" t="s">
        <v>392</v>
      </c>
      <c r="C76" s="2" t="s">
        <v>803</v>
      </c>
      <c r="D76">
        <f>VLOOKUP(B76,'Model allocations'!$A$1:$L$317,3,FALSE)</f>
        <v>400062.99809927295</v>
      </c>
      <c r="E76" s="31">
        <f>VLOOKUP(B76,'Initial adjusted formula count'!$A$1:$P$317,12,FALSE)</f>
        <v>0.147867950481431</v>
      </c>
      <c r="F76">
        <f>VLOOKUP(B76,'Model allocations'!$A$1:$L$317,8,FALSE)</f>
        <v>373740.34005281515</v>
      </c>
      <c r="G76" s="30">
        <f t="shared" si="27"/>
        <v>0.85</v>
      </c>
      <c r="H76">
        <f t="shared" si="28"/>
        <v>340053.54838438198</v>
      </c>
      <c r="I76">
        <f t="shared" si="20"/>
        <v>0</v>
      </c>
      <c r="J76">
        <f t="shared" si="21"/>
        <v>373740.34005281515</v>
      </c>
      <c r="K76">
        <f t="shared" si="22"/>
        <v>373569.05276647885</v>
      </c>
      <c r="L76">
        <f t="shared" si="29"/>
        <v>373569.05276647885</v>
      </c>
      <c r="M76">
        <f t="shared" si="23"/>
        <v>0</v>
      </c>
      <c r="N76" s="29">
        <f t="shared" si="30"/>
        <v>373569.05276647885</v>
      </c>
      <c r="O76" s="29">
        <f t="shared" si="24"/>
        <v>373549.90401755844</v>
      </c>
      <c r="P76" s="29">
        <f t="shared" si="31"/>
        <v>373549.90401755844</v>
      </c>
      <c r="Q76">
        <f t="shared" si="32"/>
        <v>0</v>
      </c>
      <c r="R76" s="29">
        <f t="shared" si="33"/>
        <v>373549.90401755844</v>
      </c>
      <c r="S76" s="29">
        <f t="shared" si="25"/>
        <v>373549.8864912304</v>
      </c>
      <c r="T76" s="29">
        <f t="shared" si="34"/>
        <v>373549.8864912304</v>
      </c>
      <c r="U76">
        <f t="shared" si="35"/>
        <v>0</v>
      </c>
      <c r="V76" s="29">
        <f t="shared" si="36"/>
        <v>373549.8864912304</v>
      </c>
      <c r="W76" s="29">
        <f t="shared" si="26"/>
        <v>373549.88649123081</v>
      </c>
      <c r="X76" s="29">
        <f t="shared" si="37"/>
        <v>373549.88649123081</v>
      </c>
      <c r="Y76">
        <f t="shared" si="38"/>
        <v>0</v>
      </c>
    </row>
    <row r="77" spans="1:25" x14ac:dyDescent="0.25">
      <c r="A77" s="4" t="s">
        <v>804</v>
      </c>
      <c r="B77" s="7" t="s">
        <v>394</v>
      </c>
      <c r="C77" s="2" t="s">
        <v>805</v>
      </c>
      <c r="D77">
        <f>VLOOKUP(B77,'Model allocations'!$A$1:$L$317,3,FALSE)</f>
        <v>27407.73587200031</v>
      </c>
      <c r="E77" s="31">
        <f>VLOOKUP(B77,'Initial adjusted formula count'!$A$1:$P$317,12,FALSE)</f>
        <v>0.130769230769231</v>
      </c>
      <c r="F77">
        <f>VLOOKUP(B77,'Model allocations'!$A$1:$L$317,8,FALSE)</f>
        <v>23296.575491200263</v>
      </c>
      <c r="G77" s="30">
        <f t="shared" si="27"/>
        <v>0.85</v>
      </c>
      <c r="H77">
        <f t="shared" si="28"/>
        <v>23296.575491200263</v>
      </c>
      <c r="I77">
        <f t="shared" si="20"/>
        <v>0</v>
      </c>
      <c r="J77">
        <f t="shared" si="21"/>
        <v>23296.575491200263</v>
      </c>
      <c r="K77">
        <f t="shared" si="22"/>
        <v>23285.898540469574</v>
      </c>
      <c r="L77">
        <f t="shared" si="29"/>
        <v>23285.898540469574</v>
      </c>
      <c r="M77">
        <f t="shared" si="23"/>
        <v>23296.575491200263</v>
      </c>
      <c r="N77" s="29">
        <f t="shared" si="30"/>
        <v>0</v>
      </c>
      <c r="O77" s="29">
        <f t="shared" si="24"/>
        <v>0</v>
      </c>
      <c r="P77" s="29">
        <f t="shared" si="31"/>
        <v>23296.575491200263</v>
      </c>
      <c r="Q77">
        <f t="shared" si="32"/>
        <v>0</v>
      </c>
      <c r="R77" s="29">
        <f t="shared" si="33"/>
        <v>0</v>
      </c>
      <c r="S77" s="29">
        <f t="shared" si="25"/>
        <v>0</v>
      </c>
      <c r="T77" s="29">
        <f t="shared" si="34"/>
        <v>23296.575491200263</v>
      </c>
      <c r="U77">
        <f t="shared" si="35"/>
        <v>0</v>
      </c>
      <c r="V77" s="29">
        <f t="shared" si="36"/>
        <v>0</v>
      </c>
      <c r="W77" s="29">
        <f t="shared" si="26"/>
        <v>0</v>
      </c>
      <c r="X77" s="29">
        <f t="shared" si="37"/>
        <v>23296.575491200263</v>
      </c>
      <c r="Y77">
        <f t="shared" si="38"/>
        <v>0</v>
      </c>
    </row>
    <row r="78" spans="1:25" x14ac:dyDescent="0.25">
      <c r="A78" s="4" t="s">
        <v>806</v>
      </c>
      <c r="B78" s="7" t="s">
        <v>125</v>
      </c>
      <c r="C78" s="2" t="s">
        <v>807</v>
      </c>
      <c r="D78">
        <f>VLOOKUP(B78,'Model allocations'!$A$1:$L$317,3,FALSE)</f>
        <v>2020103.0527679417</v>
      </c>
      <c r="E78" s="31">
        <f>VLOOKUP(B78,'Initial adjusted formula count'!$A$1:$P$317,12,FALSE)</f>
        <v>0.106415389972145</v>
      </c>
      <c r="F78">
        <f>VLOOKUP(B78,'Model allocations'!$A$1:$L$317,8,FALSE)</f>
        <v>2125104.956811938</v>
      </c>
      <c r="G78" s="30">
        <f t="shared" si="27"/>
        <v>0.85</v>
      </c>
      <c r="H78">
        <f t="shared" si="28"/>
        <v>1717087.5948527504</v>
      </c>
      <c r="I78">
        <f t="shared" si="20"/>
        <v>0</v>
      </c>
      <c r="J78">
        <f t="shared" si="21"/>
        <v>2125104.956811938</v>
      </c>
      <c r="K78">
        <f t="shared" si="22"/>
        <v>2124131.0093349791</v>
      </c>
      <c r="L78">
        <f t="shared" si="29"/>
        <v>2124131.0093349791</v>
      </c>
      <c r="M78">
        <f t="shared" si="23"/>
        <v>0</v>
      </c>
      <c r="N78" s="29">
        <f t="shared" si="30"/>
        <v>2124131.0093349791</v>
      </c>
      <c r="O78" s="29">
        <f t="shared" si="24"/>
        <v>2124022.128657978</v>
      </c>
      <c r="P78" s="29">
        <f t="shared" si="31"/>
        <v>2124022.128657978</v>
      </c>
      <c r="Q78">
        <f t="shared" si="32"/>
        <v>0</v>
      </c>
      <c r="R78" s="29">
        <f t="shared" si="33"/>
        <v>2124022.128657978</v>
      </c>
      <c r="S78" s="29">
        <f t="shared" si="25"/>
        <v>2124022.0290024616</v>
      </c>
      <c r="T78" s="29">
        <f t="shared" si="34"/>
        <v>2124022.0290024616</v>
      </c>
      <c r="U78">
        <f t="shared" si="35"/>
        <v>0</v>
      </c>
      <c r="V78" s="29">
        <f t="shared" si="36"/>
        <v>2124022.0290024616</v>
      </c>
      <c r="W78" s="29">
        <f t="shared" si="26"/>
        <v>2124022.0290024639</v>
      </c>
      <c r="X78" s="29">
        <f t="shared" si="37"/>
        <v>2124022.0290024639</v>
      </c>
      <c r="Y78">
        <f t="shared" si="38"/>
        <v>0</v>
      </c>
    </row>
    <row r="79" spans="1:25" x14ac:dyDescent="0.25">
      <c r="A79" s="4" t="s">
        <v>808</v>
      </c>
      <c r="B79" s="7" t="s">
        <v>276</v>
      </c>
      <c r="C79" s="2" t="s">
        <v>809</v>
      </c>
      <c r="D79">
        <f>VLOOKUP(B79,'Model allocations'!$A$1:$L$317,3,FALSE)</f>
        <v>2277347.8622984411</v>
      </c>
      <c r="E79" s="31">
        <f>VLOOKUP(B79,'Initial adjusted formula count'!$A$1:$P$317,12,FALSE)</f>
        <v>9.8521250046560094E-2</v>
      </c>
      <c r="F79">
        <f>VLOOKUP(B79,'Model allocations'!$A$1:$L$317,8,FALSE)</f>
        <v>2298937.673115572</v>
      </c>
      <c r="G79" s="30">
        <f t="shared" si="27"/>
        <v>0.85</v>
      </c>
      <c r="H79">
        <f t="shared" si="28"/>
        <v>1935745.6829536748</v>
      </c>
      <c r="I79">
        <f t="shared" si="20"/>
        <v>0</v>
      </c>
      <c r="J79">
        <f t="shared" si="21"/>
        <v>2298937.673115572</v>
      </c>
      <c r="K79">
        <f t="shared" si="22"/>
        <v>2297884.0571333407</v>
      </c>
      <c r="L79">
        <f t="shared" si="29"/>
        <v>2297884.0571333407</v>
      </c>
      <c r="M79">
        <f t="shared" si="23"/>
        <v>0</v>
      </c>
      <c r="N79" s="29">
        <f t="shared" si="30"/>
        <v>2297884.0571333407</v>
      </c>
      <c r="O79" s="29">
        <f t="shared" si="24"/>
        <v>2297766.2700614934</v>
      </c>
      <c r="P79" s="29">
        <f t="shared" si="31"/>
        <v>2297766.2700614934</v>
      </c>
      <c r="Q79">
        <f t="shared" si="32"/>
        <v>0</v>
      </c>
      <c r="R79" s="29">
        <f t="shared" si="33"/>
        <v>2297766.2700614934</v>
      </c>
      <c r="S79" s="29">
        <f t="shared" si="25"/>
        <v>2297766.1622541966</v>
      </c>
      <c r="T79" s="29">
        <f t="shared" si="34"/>
        <v>2297766.1622541966</v>
      </c>
      <c r="U79">
        <f t="shared" si="35"/>
        <v>0</v>
      </c>
      <c r="V79" s="29">
        <f t="shared" si="36"/>
        <v>2297766.1622541966</v>
      </c>
      <c r="W79" s="29">
        <f t="shared" si="26"/>
        <v>2297766.1622541994</v>
      </c>
      <c r="X79" s="29">
        <f t="shared" si="37"/>
        <v>2297766.1622541994</v>
      </c>
      <c r="Y79">
        <f t="shared" si="38"/>
        <v>0</v>
      </c>
    </row>
    <row r="80" spans="1:25" x14ac:dyDescent="0.25">
      <c r="A80" s="4" t="s">
        <v>810</v>
      </c>
      <c r="B80" s="7" t="s">
        <v>396</v>
      </c>
      <c r="C80" s="2" t="s">
        <v>811</v>
      </c>
      <c r="D80">
        <f>VLOOKUP(B80,'Model allocations'!$A$1:$L$317,3,FALSE)</f>
        <v>13904.48341118833</v>
      </c>
      <c r="E80" s="31">
        <f>VLOOKUP(B80,'Initial adjusted formula count'!$A$1:$P$317,12,FALSE)</f>
        <v>0.31578947368421001</v>
      </c>
      <c r="F80">
        <f>VLOOKUP(B80,'Model allocations'!$A$1:$L$317,8,FALSE)</f>
        <v>15644.944467327152</v>
      </c>
      <c r="G80" s="30">
        <f t="shared" si="27"/>
        <v>0.95</v>
      </c>
      <c r="H80">
        <f t="shared" si="28"/>
        <v>13209.259240628913</v>
      </c>
      <c r="I80">
        <f t="shared" si="20"/>
        <v>0</v>
      </c>
      <c r="J80">
        <f t="shared" si="21"/>
        <v>15644.944467327152</v>
      </c>
      <c r="K80">
        <f t="shared" si="22"/>
        <v>15637.774301852609</v>
      </c>
      <c r="L80">
        <f t="shared" si="29"/>
        <v>15637.774301852609</v>
      </c>
      <c r="M80">
        <f t="shared" si="23"/>
        <v>0</v>
      </c>
      <c r="N80" s="29">
        <f t="shared" si="30"/>
        <v>15637.774301852609</v>
      </c>
      <c r="O80" s="29">
        <f t="shared" si="24"/>
        <v>15636.972726316404</v>
      </c>
      <c r="P80" s="29">
        <f t="shared" si="31"/>
        <v>15636.972726316404</v>
      </c>
      <c r="Q80">
        <f t="shared" si="32"/>
        <v>0</v>
      </c>
      <c r="R80" s="29">
        <f t="shared" si="33"/>
        <v>15636.972726316404</v>
      </c>
      <c r="S80" s="29">
        <f t="shared" si="25"/>
        <v>15636.971992656161</v>
      </c>
      <c r="T80" s="29">
        <f t="shared" si="34"/>
        <v>15636.971992656161</v>
      </c>
      <c r="U80">
        <f t="shared" si="35"/>
        <v>0</v>
      </c>
      <c r="V80" s="29">
        <f t="shared" si="36"/>
        <v>15636.971992656161</v>
      </c>
      <c r="W80" s="29">
        <f t="shared" si="26"/>
        <v>15636.971992656177</v>
      </c>
      <c r="X80" s="29">
        <f t="shared" si="37"/>
        <v>15636.971992656177</v>
      </c>
      <c r="Y80">
        <f t="shared" si="38"/>
        <v>0</v>
      </c>
    </row>
    <row r="81" spans="1:25" x14ac:dyDescent="0.25">
      <c r="A81" s="4" t="s">
        <v>812</v>
      </c>
      <c r="B81" s="7" t="s">
        <v>398</v>
      </c>
      <c r="C81" s="2" t="s">
        <v>813</v>
      </c>
      <c r="D81">
        <f>VLOOKUP(B81,'Model allocations'!$A$1:$L$317,3,FALSE)</f>
        <v>3659070.8191746403</v>
      </c>
      <c r="E81" s="31">
        <f>VLOOKUP(B81,'Initial adjusted formula count'!$A$1:$P$317,12,FALSE)</f>
        <v>0.17547778605112899</v>
      </c>
      <c r="F81">
        <f>VLOOKUP(B81,'Model allocations'!$A$1:$L$317,8,FALSE)</f>
        <v>3686991.9128000988</v>
      </c>
      <c r="G81" s="30">
        <f t="shared" si="27"/>
        <v>0.9</v>
      </c>
      <c r="H81">
        <f t="shared" si="28"/>
        <v>3293163.7372571765</v>
      </c>
      <c r="I81">
        <f t="shared" si="20"/>
        <v>0</v>
      </c>
      <c r="J81">
        <f t="shared" si="21"/>
        <v>3686991.9128000988</v>
      </c>
      <c r="K81">
        <f t="shared" si="22"/>
        <v>3685302.1438032654</v>
      </c>
      <c r="L81">
        <f t="shared" si="29"/>
        <v>3685302.1438032654</v>
      </c>
      <c r="M81">
        <f t="shared" si="23"/>
        <v>0</v>
      </c>
      <c r="N81" s="29">
        <f t="shared" si="30"/>
        <v>3685302.1438032654</v>
      </c>
      <c r="O81" s="29">
        <f t="shared" si="24"/>
        <v>3685113.2391685671</v>
      </c>
      <c r="P81" s="29">
        <f t="shared" si="31"/>
        <v>3685113.2391685671</v>
      </c>
      <c r="Q81">
        <f t="shared" si="32"/>
        <v>0</v>
      </c>
      <c r="R81" s="29">
        <f t="shared" si="33"/>
        <v>3685113.2391685671</v>
      </c>
      <c r="S81" s="29">
        <f t="shared" si="25"/>
        <v>3685113.0662693027</v>
      </c>
      <c r="T81" s="29">
        <f t="shared" si="34"/>
        <v>3685113.0662693027</v>
      </c>
      <c r="U81">
        <f t="shared" si="35"/>
        <v>0</v>
      </c>
      <c r="V81" s="29">
        <f t="shared" si="36"/>
        <v>3685113.0662693027</v>
      </c>
      <c r="W81" s="29">
        <f t="shared" si="26"/>
        <v>3685113.0662693065</v>
      </c>
      <c r="X81" s="29">
        <f t="shared" si="37"/>
        <v>3685113.0662693065</v>
      </c>
      <c r="Y81">
        <f t="shared" si="38"/>
        <v>0</v>
      </c>
    </row>
    <row r="82" spans="1:25" x14ac:dyDescent="0.25">
      <c r="A82" s="4" t="s">
        <v>814</v>
      </c>
      <c r="B82" s="7" t="s">
        <v>127</v>
      </c>
      <c r="C82" s="2" t="s">
        <v>815</v>
      </c>
      <c r="D82">
        <f>VLOOKUP(B82,'Model allocations'!$A$1:$L$317,3,FALSE)</f>
        <v>708019.00264156493</v>
      </c>
      <c r="E82" s="31">
        <f>VLOOKUP(B82,'Initial adjusted formula count'!$A$1:$P$317,12,FALSE)</f>
        <v>0.12687893971229999</v>
      </c>
      <c r="F82">
        <f>VLOOKUP(B82,'Model allocations'!$A$1:$L$317,8,FALSE)</f>
        <v>682293.41149176715</v>
      </c>
      <c r="G82" s="30">
        <f t="shared" si="27"/>
        <v>0.85</v>
      </c>
      <c r="H82">
        <f t="shared" si="28"/>
        <v>601816.15224533016</v>
      </c>
      <c r="I82">
        <f t="shared" si="20"/>
        <v>0</v>
      </c>
      <c r="J82">
        <f t="shared" si="21"/>
        <v>682293.41149176715</v>
      </c>
      <c r="K82">
        <f t="shared" si="22"/>
        <v>681980.71260857186</v>
      </c>
      <c r="L82">
        <f t="shared" si="29"/>
        <v>681980.71260857186</v>
      </c>
      <c r="M82">
        <f t="shared" si="23"/>
        <v>0</v>
      </c>
      <c r="N82" s="29">
        <f t="shared" si="30"/>
        <v>681980.71260857186</v>
      </c>
      <c r="O82" s="29">
        <f t="shared" si="24"/>
        <v>681945.75500879856</v>
      </c>
      <c r="P82" s="29">
        <f t="shared" si="31"/>
        <v>681945.75500879856</v>
      </c>
      <c r="Q82">
        <f t="shared" si="32"/>
        <v>0</v>
      </c>
      <c r="R82" s="29">
        <f t="shared" si="33"/>
        <v>681945.75500879856</v>
      </c>
      <c r="S82" s="29">
        <f t="shared" si="25"/>
        <v>681945.72301306017</v>
      </c>
      <c r="T82" s="29">
        <f t="shared" si="34"/>
        <v>681945.72301306017</v>
      </c>
      <c r="U82">
        <f t="shared" si="35"/>
        <v>0</v>
      </c>
      <c r="V82" s="29">
        <f t="shared" si="36"/>
        <v>681945.72301306017</v>
      </c>
      <c r="W82" s="29">
        <f t="shared" si="26"/>
        <v>681945.72301306087</v>
      </c>
      <c r="X82" s="29">
        <f t="shared" si="37"/>
        <v>681945.72301306087</v>
      </c>
      <c r="Y82">
        <f t="shared" si="38"/>
        <v>0</v>
      </c>
    </row>
    <row r="83" spans="1:25" x14ac:dyDescent="0.25">
      <c r="A83" s="4" t="s">
        <v>816</v>
      </c>
      <c r="B83" s="7" t="s">
        <v>129</v>
      </c>
      <c r="C83" s="2" t="s">
        <v>817</v>
      </c>
      <c r="D83">
        <f>VLOOKUP(B83,'Model allocations'!$A$1:$L$317,3,FALSE)</f>
        <v>314027.94474459044</v>
      </c>
      <c r="E83" s="31">
        <f>VLOOKUP(B83,'Initial adjusted formula count'!$A$1:$P$317,12,FALSE)</f>
        <v>9.7215437225207604E-2</v>
      </c>
      <c r="F83">
        <f>VLOOKUP(B83,'Model allocations'!$A$1:$L$317,8,FALSE)</f>
        <v>345927.10544423369</v>
      </c>
      <c r="G83" s="30">
        <f t="shared" si="27"/>
        <v>0.85</v>
      </c>
      <c r="H83">
        <f t="shared" si="28"/>
        <v>266923.75303290185</v>
      </c>
      <c r="I83">
        <f t="shared" si="20"/>
        <v>0</v>
      </c>
      <c r="J83">
        <f t="shared" si="21"/>
        <v>345927.10544423369</v>
      </c>
      <c r="K83">
        <f t="shared" si="22"/>
        <v>345768.56511874107</v>
      </c>
      <c r="L83">
        <f t="shared" si="29"/>
        <v>345768.56511874107</v>
      </c>
      <c r="M83">
        <f t="shared" si="23"/>
        <v>0</v>
      </c>
      <c r="N83" s="29">
        <f t="shared" si="30"/>
        <v>345768.56511874107</v>
      </c>
      <c r="O83" s="29">
        <f t="shared" si="24"/>
        <v>345750.84139299608</v>
      </c>
      <c r="P83" s="29">
        <f t="shared" si="31"/>
        <v>345750.84139299608</v>
      </c>
      <c r="Q83">
        <f t="shared" si="32"/>
        <v>0</v>
      </c>
      <c r="R83" s="29">
        <f t="shared" si="33"/>
        <v>345750.84139299608</v>
      </c>
      <c r="S83" s="29">
        <f t="shared" si="25"/>
        <v>345750.82517095288</v>
      </c>
      <c r="T83" s="29">
        <f t="shared" si="34"/>
        <v>345750.82517095288</v>
      </c>
      <c r="U83">
        <f t="shared" si="35"/>
        <v>0</v>
      </c>
      <c r="V83" s="29">
        <f t="shared" si="36"/>
        <v>345750.82517095288</v>
      </c>
      <c r="W83" s="29">
        <f t="shared" si="26"/>
        <v>345750.82517095329</v>
      </c>
      <c r="X83" s="29">
        <f t="shared" si="37"/>
        <v>345750.82517095329</v>
      </c>
      <c r="Y83">
        <f t="shared" si="38"/>
        <v>0</v>
      </c>
    </row>
    <row r="84" spans="1:25" x14ac:dyDescent="0.25">
      <c r="A84" s="4" t="s">
        <v>818</v>
      </c>
      <c r="B84" s="7" t="s">
        <v>400</v>
      </c>
      <c r="C84" s="2" t="s">
        <v>819</v>
      </c>
      <c r="D84">
        <f>VLOOKUP(B84,'Model allocations'!$A$1:$L$317,3,FALSE)</f>
        <v>123367.20827491388</v>
      </c>
      <c r="E84" s="31">
        <f>VLOOKUP(B84,'Initial adjusted formula count'!$A$1:$P$317,12,FALSE)</f>
        <v>0.13369565217391299</v>
      </c>
      <c r="F84">
        <f>VLOOKUP(B84,'Model allocations'!$A$1:$L$317,8,FALSE)</f>
        <v>106907.12052673553</v>
      </c>
      <c r="G84" s="30">
        <f t="shared" si="27"/>
        <v>0.85</v>
      </c>
      <c r="H84">
        <f t="shared" si="28"/>
        <v>104862.12703367679</v>
      </c>
      <c r="I84">
        <f t="shared" si="20"/>
        <v>0</v>
      </c>
      <c r="J84">
        <f t="shared" si="21"/>
        <v>106907.12052673553</v>
      </c>
      <c r="K84">
        <f t="shared" si="22"/>
        <v>106858.12439599283</v>
      </c>
      <c r="L84">
        <f t="shared" si="29"/>
        <v>106858.12439599283</v>
      </c>
      <c r="M84">
        <f t="shared" si="23"/>
        <v>0</v>
      </c>
      <c r="N84" s="29">
        <f t="shared" si="30"/>
        <v>106858.12439599283</v>
      </c>
      <c r="O84" s="29">
        <f t="shared" si="24"/>
        <v>106852.6469631621</v>
      </c>
      <c r="P84" s="29">
        <f t="shared" si="31"/>
        <v>106852.6469631621</v>
      </c>
      <c r="Q84">
        <f t="shared" si="32"/>
        <v>0</v>
      </c>
      <c r="R84" s="29">
        <f t="shared" si="33"/>
        <v>106852.6469631621</v>
      </c>
      <c r="S84" s="29">
        <f t="shared" si="25"/>
        <v>106852.64194981709</v>
      </c>
      <c r="T84" s="29">
        <f t="shared" si="34"/>
        <v>106852.64194981709</v>
      </c>
      <c r="U84">
        <f t="shared" si="35"/>
        <v>0</v>
      </c>
      <c r="V84" s="29">
        <f t="shared" si="36"/>
        <v>106852.64194981709</v>
      </c>
      <c r="W84" s="29">
        <f t="shared" si="26"/>
        <v>106852.6419498172</v>
      </c>
      <c r="X84" s="29">
        <f t="shared" si="37"/>
        <v>106852.6419498172</v>
      </c>
      <c r="Y84">
        <f t="shared" si="38"/>
        <v>0</v>
      </c>
    </row>
    <row r="85" spans="1:25" x14ac:dyDescent="0.25">
      <c r="A85" s="4" t="s">
        <v>820</v>
      </c>
      <c r="B85" s="7" t="s">
        <v>402</v>
      </c>
      <c r="C85" s="2" t="s">
        <v>821</v>
      </c>
      <c r="D85">
        <f>VLOOKUP(B85,'Model allocations'!$A$1:$L$317,3,FALSE)</f>
        <v>1082320.9712019039</v>
      </c>
      <c r="E85" s="31">
        <f>VLOOKUP(B85,'Initial adjusted formula count'!$A$1:$P$317,12,FALSE)</f>
        <v>0.15117773019271999</v>
      </c>
      <c r="F85">
        <f>VLOOKUP(B85,'Model allocations'!$A$1:$L$317,8,FALSE)</f>
        <v>1227258.9771036634</v>
      </c>
      <c r="G85" s="30">
        <f t="shared" si="27"/>
        <v>0.9</v>
      </c>
      <c r="H85">
        <f t="shared" si="28"/>
        <v>974088.8740817135</v>
      </c>
      <c r="I85">
        <f t="shared" si="20"/>
        <v>0</v>
      </c>
      <c r="J85">
        <f t="shared" si="21"/>
        <v>1227258.9771036634</v>
      </c>
      <c r="K85">
        <f t="shared" si="22"/>
        <v>1226696.5174564382</v>
      </c>
      <c r="L85">
        <f t="shared" si="29"/>
        <v>1226696.5174564382</v>
      </c>
      <c r="M85">
        <f t="shared" si="23"/>
        <v>0</v>
      </c>
      <c r="N85" s="29">
        <f t="shared" si="30"/>
        <v>1226696.5174564382</v>
      </c>
      <c r="O85" s="29">
        <f t="shared" si="24"/>
        <v>1226633.6383088203</v>
      </c>
      <c r="P85" s="29">
        <f t="shared" si="31"/>
        <v>1226633.6383088203</v>
      </c>
      <c r="Q85">
        <f t="shared" si="32"/>
        <v>0</v>
      </c>
      <c r="R85" s="29">
        <f t="shared" si="33"/>
        <v>1226633.6383088203</v>
      </c>
      <c r="S85" s="29">
        <f t="shared" si="25"/>
        <v>1226633.5807572501</v>
      </c>
      <c r="T85" s="29">
        <f t="shared" si="34"/>
        <v>1226633.5807572501</v>
      </c>
      <c r="U85">
        <f t="shared" si="35"/>
        <v>0</v>
      </c>
      <c r="V85" s="29">
        <f t="shared" si="36"/>
        <v>1226633.5807572501</v>
      </c>
      <c r="W85" s="29">
        <f t="shared" si="26"/>
        <v>1226633.5807572515</v>
      </c>
      <c r="X85" s="29">
        <f t="shared" si="37"/>
        <v>1226633.5807572515</v>
      </c>
      <c r="Y85">
        <f t="shared" si="38"/>
        <v>0</v>
      </c>
    </row>
    <row r="86" spans="1:25" x14ac:dyDescent="0.25">
      <c r="A86" s="4" t="s">
        <v>822</v>
      </c>
      <c r="B86" s="7" t="s">
        <v>131</v>
      </c>
      <c r="C86" s="2" t="s">
        <v>823</v>
      </c>
      <c r="D86">
        <f>VLOOKUP(B86,'Model allocations'!$A$1:$L$317,3,FALSE)</f>
        <v>43017.526677341186</v>
      </c>
      <c r="E86" s="31">
        <f>VLOOKUP(B86,'Initial adjusted formula count'!$A$1:$P$317,12,FALSE)</f>
        <v>3.5964035964036002E-2</v>
      </c>
      <c r="F86">
        <f>VLOOKUP(B86,'Model allocations'!$A$1:$L$317,8,FALSE)</f>
        <v>36564.897675740009</v>
      </c>
      <c r="G86" s="30">
        <f t="shared" si="27"/>
        <v>0.85</v>
      </c>
      <c r="H86">
        <f t="shared" si="28"/>
        <v>36564.897675740009</v>
      </c>
      <c r="I86">
        <f t="shared" si="20"/>
        <v>0</v>
      </c>
      <c r="J86">
        <f t="shared" si="21"/>
        <v>36564.897675740009</v>
      </c>
      <c r="K86">
        <f t="shared" si="22"/>
        <v>36548.13977880773</v>
      </c>
      <c r="L86">
        <f t="shared" si="29"/>
        <v>36548.13977880773</v>
      </c>
      <c r="M86">
        <f t="shared" si="23"/>
        <v>36564.897675740009</v>
      </c>
      <c r="N86" s="29">
        <f t="shared" si="30"/>
        <v>0</v>
      </c>
      <c r="O86" s="29">
        <f t="shared" si="24"/>
        <v>0</v>
      </c>
      <c r="P86" s="29">
        <f t="shared" si="31"/>
        <v>36564.897675740009</v>
      </c>
      <c r="Q86">
        <f t="shared" si="32"/>
        <v>0</v>
      </c>
      <c r="R86" s="29">
        <f t="shared" si="33"/>
        <v>0</v>
      </c>
      <c r="S86" s="29">
        <f t="shared" si="25"/>
        <v>0</v>
      </c>
      <c r="T86" s="29">
        <f t="shared" si="34"/>
        <v>36564.897675740009</v>
      </c>
      <c r="U86">
        <f t="shared" si="35"/>
        <v>0</v>
      </c>
      <c r="V86" s="29">
        <f t="shared" si="36"/>
        <v>0</v>
      </c>
      <c r="W86" s="29">
        <f t="shared" si="26"/>
        <v>0</v>
      </c>
      <c r="X86" s="29">
        <f t="shared" si="37"/>
        <v>36564.897675740009</v>
      </c>
      <c r="Y86">
        <f t="shared" si="38"/>
        <v>0</v>
      </c>
    </row>
    <row r="87" spans="1:25" x14ac:dyDescent="0.25">
      <c r="A87" s="4" t="s">
        <v>824</v>
      </c>
      <c r="B87" s="7" t="s">
        <v>404</v>
      </c>
      <c r="C87" s="2" t="s">
        <v>825</v>
      </c>
      <c r="D87">
        <f>VLOOKUP(B87,'Model allocations'!$A$1:$L$317,3,FALSE)</f>
        <v>30112.268674138817</v>
      </c>
      <c r="E87" s="31">
        <f>VLOOKUP(B87,'Initial adjusted formula count'!$A$1:$P$317,12,FALSE)</f>
        <v>0.25</v>
      </c>
      <c r="F87">
        <f>VLOOKUP(B87,'Model allocations'!$A$1:$L$317,8,FALSE)</f>
        <v>28682.398190099782</v>
      </c>
      <c r="G87" s="30">
        <f t="shared" si="27"/>
        <v>0.9</v>
      </c>
      <c r="H87">
        <f t="shared" si="28"/>
        <v>27101.041806724937</v>
      </c>
      <c r="I87">
        <f t="shared" si="20"/>
        <v>0</v>
      </c>
      <c r="J87">
        <f t="shared" si="21"/>
        <v>28682.398190099782</v>
      </c>
      <c r="K87">
        <f t="shared" si="22"/>
        <v>28669.252886729791</v>
      </c>
      <c r="L87">
        <f t="shared" si="29"/>
        <v>28669.252886729791</v>
      </c>
      <c r="M87">
        <f t="shared" si="23"/>
        <v>0</v>
      </c>
      <c r="N87" s="29">
        <f t="shared" si="30"/>
        <v>28669.252886729791</v>
      </c>
      <c r="O87" s="29">
        <f t="shared" si="24"/>
        <v>28667.783331580085</v>
      </c>
      <c r="P87" s="29">
        <f t="shared" si="31"/>
        <v>28667.783331580085</v>
      </c>
      <c r="Q87">
        <f t="shared" si="32"/>
        <v>0</v>
      </c>
      <c r="R87" s="29">
        <f t="shared" si="33"/>
        <v>28667.783331580085</v>
      </c>
      <c r="S87" s="29">
        <f t="shared" si="25"/>
        <v>28667.781986536302</v>
      </c>
      <c r="T87" s="29">
        <f t="shared" si="34"/>
        <v>28667.781986536302</v>
      </c>
      <c r="U87">
        <f t="shared" si="35"/>
        <v>0</v>
      </c>
      <c r="V87" s="29">
        <f t="shared" si="36"/>
        <v>28667.781986536302</v>
      </c>
      <c r="W87" s="29">
        <f t="shared" si="26"/>
        <v>28667.781986536331</v>
      </c>
      <c r="X87" s="29">
        <f t="shared" si="37"/>
        <v>28667.781986536331</v>
      </c>
      <c r="Y87">
        <f t="shared" si="38"/>
        <v>0</v>
      </c>
    </row>
    <row r="88" spans="1:25" x14ac:dyDescent="0.25">
      <c r="A88" s="4" t="s">
        <v>826</v>
      </c>
      <c r="B88" s="7" t="s">
        <v>133</v>
      </c>
      <c r="C88" s="2" t="s">
        <v>827</v>
      </c>
      <c r="D88">
        <f>VLOOKUP(B88,'Model allocations'!$A$1:$L$317,3,FALSE)</f>
        <v>11634.02024081536</v>
      </c>
      <c r="E88" s="31">
        <f>VLOOKUP(B88,'Initial adjusted formula count'!$A$1:$P$317,12,FALSE)</f>
        <v>0.16129032258064499</v>
      </c>
      <c r="F88">
        <f>VLOOKUP(B88,'Model allocations'!$A$1:$L$317,8,FALSE)</f>
        <v>10470.618216733825</v>
      </c>
      <c r="G88" s="30">
        <f t="shared" si="27"/>
        <v>0.9</v>
      </c>
      <c r="H88">
        <f t="shared" si="28"/>
        <v>10470.618216733825</v>
      </c>
      <c r="I88">
        <f t="shared" si="20"/>
        <v>0</v>
      </c>
      <c r="J88">
        <f t="shared" si="21"/>
        <v>10470.618216733825</v>
      </c>
      <c r="K88">
        <f t="shared" si="22"/>
        <v>10465.819473894468</v>
      </c>
      <c r="L88">
        <f t="shared" si="29"/>
        <v>10465.819473894468</v>
      </c>
      <c r="M88">
        <f t="shared" si="23"/>
        <v>10470.618216733825</v>
      </c>
      <c r="N88" s="29">
        <f t="shared" si="30"/>
        <v>0</v>
      </c>
      <c r="O88" s="29">
        <f t="shared" si="24"/>
        <v>0</v>
      </c>
      <c r="P88" s="29">
        <f t="shared" si="31"/>
        <v>10470.618216733825</v>
      </c>
      <c r="Q88">
        <f t="shared" si="32"/>
        <v>0</v>
      </c>
      <c r="R88" s="29">
        <f t="shared" si="33"/>
        <v>0</v>
      </c>
      <c r="S88" s="29">
        <f t="shared" si="25"/>
        <v>0</v>
      </c>
      <c r="T88" s="29">
        <f t="shared" si="34"/>
        <v>10470.618216733825</v>
      </c>
      <c r="U88">
        <f t="shared" si="35"/>
        <v>0</v>
      </c>
      <c r="V88" s="29">
        <f t="shared" si="36"/>
        <v>0</v>
      </c>
      <c r="W88" s="29">
        <f t="shared" si="26"/>
        <v>0</v>
      </c>
      <c r="X88" s="29">
        <f t="shared" si="37"/>
        <v>10470.618216733825</v>
      </c>
      <c r="Y88">
        <f t="shared" si="38"/>
        <v>0</v>
      </c>
    </row>
    <row r="89" spans="1:25" x14ac:dyDescent="0.25">
      <c r="A89" s="4" t="s">
        <v>828</v>
      </c>
      <c r="B89" s="7" t="s">
        <v>406</v>
      </c>
      <c r="C89" s="2" t="s">
        <v>829</v>
      </c>
      <c r="D89">
        <f>VLOOKUP(B89,'Model allocations'!$A$1:$L$317,3,FALSE)</f>
        <v>189277.11738030115</v>
      </c>
      <c r="E89" s="31">
        <f>VLOOKUP(B89,'Initial adjusted formula count'!$A$1:$P$317,12,FALSE)</f>
        <v>0.151627906976744</v>
      </c>
      <c r="F89">
        <f>VLOOKUP(B89,'Model allocations'!$A$1:$L$317,8,FALSE)</f>
        <v>170349.40564227104</v>
      </c>
      <c r="G89" s="30">
        <f t="shared" si="27"/>
        <v>0.9</v>
      </c>
      <c r="H89">
        <f t="shared" si="28"/>
        <v>170349.40564227104</v>
      </c>
      <c r="I89">
        <f t="shared" si="20"/>
        <v>0</v>
      </c>
      <c r="J89">
        <f t="shared" si="21"/>
        <v>170349.40564227104</v>
      </c>
      <c r="K89">
        <f t="shared" si="22"/>
        <v>170271.33355773948</v>
      </c>
      <c r="L89">
        <f t="shared" si="29"/>
        <v>170271.33355773948</v>
      </c>
      <c r="M89">
        <f t="shared" si="23"/>
        <v>170349.40564227104</v>
      </c>
      <c r="N89" s="29">
        <f t="shared" si="30"/>
        <v>0</v>
      </c>
      <c r="O89" s="29">
        <f t="shared" si="24"/>
        <v>0</v>
      </c>
      <c r="P89" s="29">
        <f t="shared" si="31"/>
        <v>170349.40564227104</v>
      </c>
      <c r="Q89">
        <f t="shared" si="32"/>
        <v>0</v>
      </c>
      <c r="R89" s="29">
        <f t="shared" si="33"/>
        <v>0</v>
      </c>
      <c r="S89" s="29">
        <f t="shared" si="25"/>
        <v>0</v>
      </c>
      <c r="T89" s="29">
        <f t="shared" si="34"/>
        <v>170349.40564227104</v>
      </c>
      <c r="U89">
        <f t="shared" si="35"/>
        <v>0</v>
      </c>
      <c r="V89" s="29">
        <f t="shared" si="36"/>
        <v>0</v>
      </c>
      <c r="W89" s="29">
        <f t="shared" si="26"/>
        <v>0</v>
      </c>
      <c r="X89" s="29">
        <f t="shared" si="37"/>
        <v>170349.40564227104</v>
      </c>
      <c r="Y89">
        <f t="shared" si="38"/>
        <v>0</v>
      </c>
    </row>
    <row r="90" spans="1:25" x14ac:dyDescent="0.25">
      <c r="A90" s="4" t="s">
        <v>830</v>
      </c>
      <c r="B90" s="7" t="s">
        <v>408</v>
      </c>
      <c r="C90" s="2" t="s">
        <v>831</v>
      </c>
      <c r="D90">
        <f>VLOOKUP(B90,'Model allocations'!$A$1:$L$317,3,FALSE)</f>
        <v>97219.610290791054</v>
      </c>
      <c r="E90" s="31">
        <f>VLOOKUP(B90,'Initial adjusted formula count'!$A$1:$P$317,12,FALSE)</f>
        <v>0.16964285714285701</v>
      </c>
      <c r="F90">
        <f>VLOOKUP(B90,'Model allocations'!$A$1:$L$317,8,FALSE)</f>
        <v>99084.648293071965</v>
      </c>
      <c r="G90" s="30">
        <f t="shared" si="27"/>
        <v>0.9</v>
      </c>
      <c r="H90">
        <f t="shared" si="28"/>
        <v>87497.649261711951</v>
      </c>
      <c r="I90">
        <f t="shared" si="20"/>
        <v>0</v>
      </c>
      <c r="J90">
        <f t="shared" si="21"/>
        <v>99084.648293071965</v>
      </c>
      <c r="K90">
        <f t="shared" si="22"/>
        <v>99039.237245066528</v>
      </c>
      <c r="L90">
        <f t="shared" si="29"/>
        <v>99039.237245066528</v>
      </c>
      <c r="M90">
        <f t="shared" si="23"/>
        <v>0</v>
      </c>
      <c r="N90" s="29">
        <f t="shared" si="30"/>
        <v>99039.237245066528</v>
      </c>
      <c r="O90" s="29">
        <f t="shared" si="24"/>
        <v>99034.160600003903</v>
      </c>
      <c r="P90" s="29">
        <f t="shared" si="31"/>
        <v>99034.160600003903</v>
      </c>
      <c r="Q90">
        <f t="shared" si="32"/>
        <v>0</v>
      </c>
      <c r="R90" s="29">
        <f t="shared" si="33"/>
        <v>99034.160600003903</v>
      </c>
      <c r="S90" s="29">
        <f t="shared" si="25"/>
        <v>99034.155953489026</v>
      </c>
      <c r="T90" s="29">
        <f t="shared" si="34"/>
        <v>99034.155953489026</v>
      </c>
      <c r="U90">
        <f t="shared" si="35"/>
        <v>0</v>
      </c>
      <c r="V90" s="29">
        <f t="shared" si="36"/>
        <v>99034.155953489026</v>
      </c>
      <c r="W90" s="29">
        <f t="shared" si="26"/>
        <v>99034.155953489142</v>
      </c>
      <c r="X90" s="29">
        <f t="shared" si="37"/>
        <v>99034.155953489142</v>
      </c>
      <c r="Y90">
        <f t="shared" si="38"/>
        <v>0</v>
      </c>
    </row>
    <row r="91" spans="1:25" x14ac:dyDescent="0.25">
      <c r="A91" s="4" t="s">
        <v>832</v>
      </c>
      <c r="B91" s="7" t="s">
        <v>410</v>
      </c>
      <c r="C91" s="2" t="s">
        <v>833</v>
      </c>
      <c r="D91">
        <f>VLOOKUP(B91,'Model allocations'!$A$1:$L$317,3,FALSE)</f>
        <v>574714.15640927781</v>
      </c>
      <c r="E91" s="31">
        <f>VLOOKUP(B91,'Initial adjusted formula count'!$A$1:$P$317,12,FALSE)</f>
        <v>0.219871451526513</v>
      </c>
      <c r="F91">
        <f>VLOOKUP(B91,'Model allocations'!$A$1:$L$317,8,FALSE)</f>
        <v>713583.30042642192</v>
      </c>
      <c r="G91" s="30">
        <f t="shared" si="27"/>
        <v>0.9</v>
      </c>
      <c r="H91">
        <f t="shared" si="28"/>
        <v>517242.74076835002</v>
      </c>
      <c r="I91">
        <f t="shared" si="20"/>
        <v>0</v>
      </c>
      <c r="J91">
        <f t="shared" si="21"/>
        <v>713583.30042642192</v>
      </c>
      <c r="K91">
        <f t="shared" si="22"/>
        <v>713256.26121227758</v>
      </c>
      <c r="L91">
        <f t="shared" si="29"/>
        <v>713256.26121227758</v>
      </c>
      <c r="M91">
        <f t="shared" si="23"/>
        <v>0</v>
      </c>
      <c r="N91" s="29">
        <f t="shared" si="30"/>
        <v>713256.26121227758</v>
      </c>
      <c r="O91" s="29">
        <f t="shared" si="24"/>
        <v>713219.70046143187</v>
      </c>
      <c r="P91" s="29">
        <f t="shared" si="31"/>
        <v>713219.70046143187</v>
      </c>
      <c r="Q91">
        <f t="shared" si="32"/>
        <v>0</v>
      </c>
      <c r="R91" s="29">
        <f t="shared" si="33"/>
        <v>713219.70046143187</v>
      </c>
      <c r="S91" s="29">
        <f t="shared" si="25"/>
        <v>713219.666998373</v>
      </c>
      <c r="T91" s="29">
        <f t="shared" si="34"/>
        <v>713219.666998373</v>
      </c>
      <c r="U91">
        <f t="shared" si="35"/>
        <v>0</v>
      </c>
      <c r="V91" s="29">
        <f t="shared" si="36"/>
        <v>713219.666998373</v>
      </c>
      <c r="W91" s="29">
        <f t="shared" si="26"/>
        <v>713219.66699837381</v>
      </c>
      <c r="X91" s="29">
        <f t="shared" si="37"/>
        <v>713219.66699837381</v>
      </c>
      <c r="Y91">
        <f t="shared" si="38"/>
        <v>0</v>
      </c>
    </row>
    <row r="92" spans="1:25" x14ac:dyDescent="0.25">
      <c r="A92" s="4" t="s">
        <v>834</v>
      </c>
      <c r="B92" s="7" t="s">
        <v>412</v>
      </c>
      <c r="C92" s="2" t="s">
        <v>835</v>
      </c>
      <c r="D92">
        <f>VLOOKUP(B92,'Model allocations'!$A$1:$L$317,3,FALSE)</f>
        <v>319190.04794587148</v>
      </c>
      <c r="E92" s="31">
        <f>VLOOKUP(B92,'Initial adjusted formula count'!$A$1:$P$317,12,FALSE)</f>
        <v>0.15942028985507201</v>
      </c>
      <c r="F92">
        <f>VLOOKUP(B92,'Model allocations'!$A$1:$L$317,8,FALSE)</f>
        <v>287271.04315128434</v>
      </c>
      <c r="G92" s="30">
        <f t="shared" si="27"/>
        <v>0.9</v>
      </c>
      <c r="H92">
        <f t="shared" si="28"/>
        <v>287271.04315128434</v>
      </c>
      <c r="I92">
        <f t="shared" si="20"/>
        <v>0</v>
      </c>
      <c r="J92">
        <f t="shared" si="21"/>
        <v>287271.04315128434</v>
      </c>
      <c r="K92">
        <f t="shared" si="22"/>
        <v>287139.38522691518</v>
      </c>
      <c r="L92">
        <f t="shared" si="29"/>
        <v>287139.38522691518</v>
      </c>
      <c r="M92">
        <f t="shared" si="23"/>
        <v>287271.04315128434</v>
      </c>
      <c r="N92" s="29">
        <f t="shared" si="30"/>
        <v>0</v>
      </c>
      <c r="O92" s="29">
        <f t="shared" si="24"/>
        <v>0</v>
      </c>
      <c r="P92" s="29">
        <f t="shared" si="31"/>
        <v>287271.04315128434</v>
      </c>
      <c r="Q92">
        <f t="shared" si="32"/>
        <v>0</v>
      </c>
      <c r="R92" s="29">
        <f t="shared" si="33"/>
        <v>0</v>
      </c>
      <c r="S92" s="29">
        <f t="shared" si="25"/>
        <v>0</v>
      </c>
      <c r="T92" s="29">
        <f t="shared" si="34"/>
        <v>287271.04315128434</v>
      </c>
      <c r="U92">
        <f t="shared" si="35"/>
        <v>0</v>
      </c>
      <c r="V92" s="29">
        <f t="shared" si="36"/>
        <v>0</v>
      </c>
      <c r="W92" s="29">
        <f t="shared" si="26"/>
        <v>0</v>
      </c>
      <c r="X92" s="29">
        <f t="shared" si="37"/>
        <v>287271.04315128434</v>
      </c>
      <c r="Y92">
        <f t="shared" si="38"/>
        <v>0</v>
      </c>
    </row>
    <row r="93" spans="1:25" x14ac:dyDescent="0.25">
      <c r="A93" s="4" t="s">
        <v>836</v>
      </c>
      <c r="B93" s="7" t="s">
        <v>135</v>
      </c>
      <c r="C93" s="2" t="s">
        <v>837</v>
      </c>
      <c r="D93">
        <f>VLOOKUP(B93,'Model allocations'!$A$1:$L$317,3,FALSE)</f>
        <v>186696.06577966068</v>
      </c>
      <c r="E93" s="31">
        <f>VLOOKUP(B93,'Initial adjusted formula count'!$A$1:$P$317,12,FALSE)</f>
        <v>6.4561901383469303E-2</v>
      </c>
      <c r="F93">
        <f>VLOOKUP(B93,'Model allocations'!$A$1:$L$317,8,FALSE)</f>
        <v>158767.5620964035</v>
      </c>
      <c r="G93" s="30">
        <f t="shared" si="27"/>
        <v>0.85</v>
      </c>
      <c r="H93">
        <f t="shared" si="28"/>
        <v>158691.65591271158</v>
      </c>
      <c r="I93">
        <f t="shared" si="20"/>
        <v>0</v>
      </c>
      <c r="J93">
        <f t="shared" si="21"/>
        <v>158767.5620964035</v>
      </c>
      <c r="K93">
        <f t="shared" si="22"/>
        <v>158694.79803548925</v>
      </c>
      <c r="L93">
        <f t="shared" si="29"/>
        <v>158694.79803548925</v>
      </c>
      <c r="M93">
        <f t="shared" si="23"/>
        <v>0</v>
      </c>
      <c r="N93" s="29">
        <f t="shared" si="30"/>
        <v>158694.79803548925</v>
      </c>
      <c r="O93" s="29">
        <f t="shared" si="24"/>
        <v>158686.66351037251</v>
      </c>
      <c r="P93" s="29">
        <f t="shared" si="31"/>
        <v>158686.66351037251</v>
      </c>
      <c r="Q93">
        <f t="shared" si="32"/>
        <v>158691.65591271158</v>
      </c>
      <c r="R93" s="29">
        <f t="shared" si="33"/>
        <v>0</v>
      </c>
      <c r="S93" s="29">
        <f t="shared" si="25"/>
        <v>0</v>
      </c>
      <c r="T93" s="29">
        <f t="shared" si="34"/>
        <v>158691.65591271158</v>
      </c>
      <c r="U93">
        <f t="shared" si="35"/>
        <v>0</v>
      </c>
      <c r="V93" s="29">
        <f t="shared" si="36"/>
        <v>0</v>
      </c>
      <c r="W93" s="29">
        <f t="shared" si="26"/>
        <v>0</v>
      </c>
      <c r="X93" s="29">
        <f t="shared" si="37"/>
        <v>158691.65591271158</v>
      </c>
      <c r="Y93">
        <f t="shared" si="38"/>
        <v>0</v>
      </c>
    </row>
    <row r="94" spans="1:25" x14ac:dyDescent="0.25">
      <c r="A94" s="4" t="s">
        <v>838</v>
      </c>
      <c r="B94" s="7" t="s">
        <v>414</v>
      </c>
      <c r="C94" s="2" t="s">
        <v>839</v>
      </c>
      <c r="D94">
        <f>VLOOKUP(B94,'Model allocations'!$A$1:$L$317,3,FALSE)</f>
        <v>32963.057348976843</v>
      </c>
      <c r="E94" s="31">
        <f>VLOOKUP(B94,'Initial adjusted formula count'!$A$1:$P$317,12,FALSE)</f>
        <v>0.10233918128654999</v>
      </c>
      <c r="F94">
        <f>VLOOKUP(B94,'Model allocations'!$A$1:$L$317,8,FALSE)</f>
        <v>30420.72535313612</v>
      </c>
      <c r="G94" s="30">
        <f t="shared" si="27"/>
        <v>0.85</v>
      </c>
      <c r="H94">
        <f t="shared" si="28"/>
        <v>28018.598746630316</v>
      </c>
      <c r="I94">
        <f t="shared" si="20"/>
        <v>0</v>
      </c>
      <c r="J94">
        <f t="shared" si="21"/>
        <v>30420.72535313612</v>
      </c>
      <c r="K94">
        <f t="shared" si="22"/>
        <v>30406.783364713399</v>
      </c>
      <c r="L94">
        <f t="shared" si="29"/>
        <v>30406.783364713399</v>
      </c>
      <c r="M94">
        <f t="shared" si="23"/>
        <v>0</v>
      </c>
      <c r="N94" s="29">
        <f t="shared" si="30"/>
        <v>30406.783364713399</v>
      </c>
      <c r="O94" s="29">
        <f t="shared" si="24"/>
        <v>30405.224745615225</v>
      </c>
      <c r="P94" s="29">
        <f t="shared" si="31"/>
        <v>30405.224745615225</v>
      </c>
      <c r="Q94">
        <f t="shared" si="32"/>
        <v>0</v>
      </c>
      <c r="R94" s="29">
        <f t="shared" si="33"/>
        <v>30405.224745615225</v>
      </c>
      <c r="S94" s="29">
        <f t="shared" si="25"/>
        <v>30405.223319053639</v>
      </c>
      <c r="T94" s="29">
        <f t="shared" si="34"/>
        <v>30405.223319053639</v>
      </c>
      <c r="U94">
        <f t="shared" si="35"/>
        <v>0</v>
      </c>
      <c r="V94" s="29">
        <f t="shared" si="36"/>
        <v>30405.223319053639</v>
      </c>
      <c r="W94" s="29">
        <f t="shared" si="26"/>
        <v>30405.223319053675</v>
      </c>
      <c r="X94" s="29">
        <f t="shared" si="37"/>
        <v>30405.223319053675</v>
      </c>
      <c r="Y94">
        <f t="shared" si="38"/>
        <v>0</v>
      </c>
    </row>
    <row r="95" spans="1:25" x14ac:dyDescent="0.25">
      <c r="A95" s="4" t="s">
        <v>840</v>
      </c>
      <c r="B95" s="7" t="s">
        <v>416</v>
      </c>
      <c r="C95" s="2" t="s">
        <v>841</v>
      </c>
      <c r="D95">
        <f>VLOOKUP(B95,'Model allocations'!$A$1:$L$317,3,FALSE)</f>
        <v>36995.072942513398</v>
      </c>
      <c r="E95" s="31">
        <f>VLOOKUP(B95,'Initial adjusted formula count'!$A$1:$P$317,12,FALSE)</f>
        <v>0.19148936170212799</v>
      </c>
      <c r="F95">
        <f>VLOOKUP(B95,'Model allocations'!$A$1:$L$317,8,FALSE)</f>
        <v>33295.565648262062</v>
      </c>
      <c r="G95" s="30">
        <f t="shared" si="27"/>
        <v>0.9</v>
      </c>
      <c r="H95">
        <f t="shared" si="28"/>
        <v>33295.565648262062</v>
      </c>
      <c r="I95">
        <f t="shared" si="20"/>
        <v>0</v>
      </c>
      <c r="J95">
        <f t="shared" si="21"/>
        <v>33295.565648262062</v>
      </c>
      <c r="K95">
        <f t="shared" si="22"/>
        <v>33280.306104467258</v>
      </c>
      <c r="L95">
        <f t="shared" si="29"/>
        <v>33280.306104467258</v>
      </c>
      <c r="M95">
        <f t="shared" si="23"/>
        <v>33295.565648262062</v>
      </c>
      <c r="N95" s="29">
        <f t="shared" si="30"/>
        <v>0</v>
      </c>
      <c r="O95" s="29">
        <f t="shared" si="24"/>
        <v>0</v>
      </c>
      <c r="P95" s="29">
        <f t="shared" si="31"/>
        <v>33295.565648262062</v>
      </c>
      <c r="Q95">
        <f t="shared" si="32"/>
        <v>0</v>
      </c>
      <c r="R95" s="29">
        <f t="shared" si="33"/>
        <v>0</v>
      </c>
      <c r="S95" s="29">
        <f t="shared" si="25"/>
        <v>0</v>
      </c>
      <c r="T95" s="29">
        <f t="shared" si="34"/>
        <v>33295.565648262062</v>
      </c>
      <c r="U95">
        <f t="shared" si="35"/>
        <v>0</v>
      </c>
      <c r="V95" s="29">
        <f t="shared" si="36"/>
        <v>0</v>
      </c>
      <c r="W95" s="29">
        <f t="shared" si="26"/>
        <v>0</v>
      </c>
      <c r="X95" s="29">
        <f t="shared" si="37"/>
        <v>33295.565648262062</v>
      </c>
      <c r="Y95">
        <f t="shared" si="38"/>
        <v>0</v>
      </c>
    </row>
    <row r="96" spans="1:25" x14ac:dyDescent="0.25">
      <c r="A96" s="4" t="s">
        <v>842</v>
      </c>
      <c r="B96" s="7" t="s">
        <v>137</v>
      </c>
      <c r="C96" s="2" t="s">
        <v>843</v>
      </c>
      <c r="D96">
        <f>VLOOKUP(B96,'Model allocations'!$A$1:$L$317,3,FALSE)</f>
        <v>13765.608536749176</v>
      </c>
      <c r="E96" s="31">
        <f>VLOOKUP(B96,'Initial adjusted formula count'!$A$1:$P$317,12,FALSE)</f>
        <v>5.8252427184466E-2</v>
      </c>
      <c r="F96">
        <f>VLOOKUP(B96,'Model allocations'!$A$1:$L$317,8,FALSE)</f>
        <v>11700.767256236799</v>
      </c>
      <c r="G96" s="30">
        <f t="shared" si="27"/>
        <v>0.85</v>
      </c>
      <c r="H96">
        <f t="shared" si="28"/>
        <v>11700.767256236799</v>
      </c>
      <c r="I96">
        <f t="shared" si="20"/>
        <v>0</v>
      </c>
      <c r="J96">
        <f t="shared" si="21"/>
        <v>11700.767256236799</v>
      </c>
      <c r="K96">
        <f t="shared" si="22"/>
        <v>11695.40472921847</v>
      </c>
      <c r="L96">
        <f t="shared" si="29"/>
        <v>11695.40472921847</v>
      </c>
      <c r="M96">
        <f t="shared" si="23"/>
        <v>11700.767256236799</v>
      </c>
      <c r="N96" s="29">
        <f t="shared" si="30"/>
        <v>0</v>
      </c>
      <c r="O96" s="29">
        <f t="shared" si="24"/>
        <v>0</v>
      </c>
      <c r="P96" s="29">
        <f t="shared" si="31"/>
        <v>11700.767256236799</v>
      </c>
      <c r="Q96">
        <f t="shared" si="32"/>
        <v>0</v>
      </c>
      <c r="R96" s="29">
        <f t="shared" si="33"/>
        <v>0</v>
      </c>
      <c r="S96" s="29">
        <f t="shared" si="25"/>
        <v>0</v>
      </c>
      <c r="T96" s="29">
        <f t="shared" si="34"/>
        <v>11700.767256236799</v>
      </c>
      <c r="U96">
        <f t="shared" si="35"/>
        <v>0</v>
      </c>
      <c r="V96" s="29">
        <f t="shared" si="36"/>
        <v>0</v>
      </c>
      <c r="W96" s="29">
        <f t="shared" si="26"/>
        <v>0</v>
      </c>
      <c r="X96" s="29">
        <f t="shared" si="37"/>
        <v>11700.767256236799</v>
      </c>
      <c r="Y96">
        <f t="shared" si="38"/>
        <v>0</v>
      </c>
    </row>
    <row r="97" spans="1:25" x14ac:dyDescent="0.25">
      <c r="A97" s="4" t="s">
        <v>844</v>
      </c>
      <c r="B97" s="7" t="s">
        <v>139</v>
      </c>
      <c r="C97" s="2" t="s">
        <v>845</v>
      </c>
      <c r="D97">
        <f>VLOOKUP(B97,'Model allocations'!$A$1:$L$317,3,FALSE)</f>
        <v>48757.855662028225</v>
      </c>
      <c r="E97" s="31">
        <f>VLOOKUP(B97,'Initial adjusted formula count'!$A$1:$P$317,12,FALSE)</f>
        <v>5.2338530066815103E-2</v>
      </c>
      <c r="F97">
        <f>VLOOKUP(B97,'Model allocations'!$A$1:$L$317,8,FALSE)</f>
        <v>41444.177312723994</v>
      </c>
      <c r="G97" s="30">
        <f t="shared" si="27"/>
        <v>0.85</v>
      </c>
      <c r="H97">
        <f t="shared" si="28"/>
        <v>41444.177312723994</v>
      </c>
      <c r="I97">
        <f t="shared" si="20"/>
        <v>0</v>
      </c>
      <c r="J97">
        <f t="shared" si="21"/>
        <v>41444.177312723994</v>
      </c>
      <c r="K97">
        <f t="shared" si="22"/>
        <v>41425.183214668286</v>
      </c>
      <c r="L97">
        <f t="shared" si="29"/>
        <v>41425.183214668286</v>
      </c>
      <c r="M97">
        <f t="shared" si="23"/>
        <v>41444.177312723994</v>
      </c>
      <c r="N97" s="29">
        <f t="shared" si="30"/>
        <v>0</v>
      </c>
      <c r="O97" s="29">
        <f t="shared" si="24"/>
        <v>0</v>
      </c>
      <c r="P97" s="29">
        <f t="shared" si="31"/>
        <v>41444.177312723994</v>
      </c>
      <c r="Q97">
        <f t="shared" si="32"/>
        <v>0</v>
      </c>
      <c r="R97" s="29">
        <f t="shared" si="33"/>
        <v>0</v>
      </c>
      <c r="S97" s="29">
        <f t="shared" si="25"/>
        <v>0</v>
      </c>
      <c r="T97" s="29">
        <f t="shared" si="34"/>
        <v>41444.177312723994</v>
      </c>
      <c r="U97">
        <f t="shared" si="35"/>
        <v>0</v>
      </c>
      <c r="V97" s="29">
        <f t="shared" si="36"/>
        <v>0</v>
      </c>
      <c r="W97" s="29">
        <f t="shared" si="26"/>
        <v>0</v>
      </c>
      <c r="X97" s="29">
        <f t="shared" si="37"/>
        <v>41444.177312723994</v>
      </c>
      <c r="Y97">
        <f t="shared" si="38"/>
        <v>0</v>
      </c>
    </row>
    <row r="98" spans="1:25" x14ac:dyDescent="0.25">
      <c r="A98" s="4" t="s">
        <v>846</v>
      </c>
      <c r="B98" s="7" t="s">
        <v>418</v>
      </c>
      <c r="C98" s="2" t="s">
        <v>847</v>
      </c>
      <c r="D98">
        <f>VLOOKUP(B98,'Model allocations'!$A$1:$L$317,3,FALSE)</f>
        <v>20888.346748971675</v>
      </c>
      <c r="E98" s="31">
        <f>VLOOKUP(B98,'Initial adjusted formula count'!$A$1:$P$317,12,FALSE)</f>
        <v>0.17241379310344801</v>
      </c>
      <c r="F98">
        <f>VLOOKUP(B98,'Model allocations'!$A$1:$L$317,8,FALSE)</f>
        <v>21729.089537954373</v>
      </c>
      <c r="G98" s="30">
        <f t="shared" si="27"/>
        <v>0.9</v>
      </c>
      <c r="H98">
        <f t="shared" si="28"/>
        <v>18799.512074074508</v>
      </c>
      <c r="I98">
        <f t="shared" si="20"/>
        <v>0</v>
      </c>
      <c r="J98">
        <f t="shared" si="21"/>
        <v>21729.089537954373</v>
      </c>
      <c r="K98">
        <f t="shared" si="22"/>
        <v>21719.130974795287</v>
      </c>
      <c r="L98">
        <f t="shared" si="29"/>
        <v>21719.130974795287</v>
      </c>
      <c r="M98">
        <f t="shared" si="23"/>
        <v>0</v>
      </c>
      <c r="N98" s="29">
        <f t="shared" si="30"/>
        <v>21719.130974795287</v>
      </c>
      <c r="O98" s="29">
        <f t="shared" si="24"/>
        <v>21718.017675439449</v>
      </c>
      <c r="P98" s="29">
        <f t="shared" si="31"/>
        <v>21718.017675439449</v>
      </c>
      <c r="Q98">
        <f t="shared" si="32"/>
        <v>0</v>
      </c>
      <c r="R98" s="29">
        <f t="shared" si="33"/>
        <v>21718.017675439449</v>
      </c>
      <c r="S98" s="29">
        <f t="shared" si="25"/>
        <v>21718.016656466891</v>
      </c>
      <c r="T98" s="29">
        <f t="shared" si="34"/>
        <v>21718.016656466891</v>
      </c>
      <c r="U98">
        <f t="shared" si="35"/>
        <v>0</v>
      </c>
      <c r="V98" s="29">
        <f t="shared" si="36"/>
        <v>21718.016656466891</v>
      </c>
      <c r="W98" s="29">
        <f t="shared" si="26"/>
        <v>21718.016656466916</v>
      </c>
      <c r="X98" s="29">
        <f t="shared" si="37"/>
        <v>21718.016656466916</v>
      </c>
      <c r="Y98">
        <f t="shared" si="38"/>
        <v>0</v>
      </c>
    </row>
    <row r="99" spans="1:25" x14ac:dyDescent="0.25">
      <c r="A99" s="4" t="s">
        <v>848</v>
      </c>
      <c r="B99" s="7" t="s">
        <v>420</v>
      </c>
      <c r="C99" s="2" t="s">
        <v>849</v>
      </c>
      <c r="D99">
        <f>VLOOKUP(B99,'Model allocations'!$A$1:$L$317,3,FALSE)</f>
        <v>202182.37538350347</v>
      </c>
      <c r="E99" s="31">
        <f>VLOOKUP(B99,'Initial adjusted formula count'!$A$1:$P$317,12,FALSE)</f>
        <v>0.11242138364779899</v>
      </c>
      <c r="F99">
        <f>VLOOKUP(B99,'Model allocations'!$A$1:$L$317,8,FALSE)</f>
        <v>171855.01907597794</v>
      </c>
      <c r="G99" s="30">
        <f t="shared" si="27"/>
        <v>0.85</v>
      </c>
      <c r="H99">
        <f t="shared" si="28"/>
        <v>171855.01907597794</v>
      </c>
      <c r="I99">
        <f t="shared" si="20"/>
        <v>0</v>
      </c>
      <c r="J99">
        <f t="shared" si="21"/>
        <v>171855.01907597794</v>
      </c>
      <c r="K99">
        <f t="shared" si="22"/>
        <v>171776.25696039622</v>
      </c>
      <c r="L99">
        <f t="shared" si="29"/>
        <v>171776.25696039622</v>
      </c>
      <c r="M99">
        <f t="shared" si="23"/>
        <v>171855.01907597794</v>
      </c>
      <c r="N99" s="29">
        <f t="shared" si="30"/>
        <v>0</v>
      </c>
      <c r="O99" s="29">
        <f t="shared" si="24"/>
        <v>0</v>
      </c>
      <c r="P99" s="29">
        <f t="shared" si="31"/>
        <v>171855.01907597794</v>
      </c>
      <c r="Q99">
        <f t="shared" si="32"/>
        <v>0</v>
      </c>
      <c r="R99" s="29">
        <f t="shared" si="33"/>
        <v>0</v>
      </c>
      <c r="S99" s="29">
        <f t="shared" si="25"/>
        <v>0</v>
      </c>
      <c r="T99" s="29">
        <f t="shared" si="34"/>
        <v>171855.01907597794</v>
      </c>
      <c r="U99">
        <f t="shared" si="35"/>
        <v>0</v>
      </c>
      <c r="V99" s="29">
        <f t="shared" si="36"/>
        <v>0</v>
      </c>
      <c r="W99" s="29">
        <f t="shared" si="26"/>
        <v>0</v>
      </c>
      <c r="X99" s="29">
        <f t="shared" si="37"/>
        <v>171855.01907597794</v>
      </c>
      <c r="Y99">
        <f t="shared" si="38"/>
        <v>0</v>
      </c>
    </row>
    <row r="100" spans="1:25" x14ac:dyDescent="0.25">
      <c r="A100" s="4" t="s">
        <v>18</v>
      </c>
      <c r="B100" s="7" t="s">
        <v>57</v>
      </c>
      <c r="C100" s="2" t="s">
        <v>850</v>
      </c>
      <c r="D100">
        <f>VLOOKUP(B100,'Model allocations'!$A$1:$L$317,3,FALSE)</f>
        <v>2596937.9161652727</v>
      </c>
      <c r="E100" s="31">
        <f>VLOOKUP(B100,'Initial adjusted formula count'!$A$1:$P$317,12,FALSE)</f>
        <v>0.16867413714330101</v>
      </c>
      <c r="F100">
        <f>VLOOKUP(B100,'Model allocations'!$A$1:$L$317,8,FALSE)</f>
        <v>2880587.6453223322</v>
      </c>
      <c r="G100" s="30">
        <f t="shared" si="27"/>
        <v>0.9</v>
      </c>
      <c r="H100">
        <f t="shared" si="28"/>
        <v>2337244.1245487453</v>
      </c>
      <c r="I100">
        <f t="shared" si="20"/>
        <v>0</v>
      </c>
      <c r="J100">
        <f t="shared" si="21"/>
        <v>2880587.6453223322</v>
      </c>
      <c r="K100">
        <f t="shared" si="22"/>
        <v>2879267.4559075329</v>
      </c>
      <c r="L100">
        <f t="shared" si="29"/>
        <v>2879267.4559075329</v>
      </c>
      <c r="M100">
        <f t="shared" si="23"/>
        <v>0</v>
      </c>
      <c r="N100" s="29">
        <f t="shared" si="30"/>
        <v>2879267.4559075329</v>
      </c>
      <c r="O100" s="29">
        <f t="shared" si="24"/>
        <v>2879119.8677463094</v>
      </c>
      <c r="P100" s="29">
        <f t="shared" si="31"/>
        <v>2879119.8677463094</v>
      </c>
      <c r="Q100">
        <f t="shared" si="32"/>
        <v>0</v>
      </c>
      <c r="R100" s="29">
        <f t="shared" si="33"/>
        <v>2879119.8677463094</v>
      </c>
      <c r="S100" s="29">
        <f t="shared" si="25"/>
        <v>2879119.7326628878</v>
      </c>
      <c r="T100" s="29">
        <f t="shared" si="34"/>
        <v>2879119.7326628878</v>
      </c>
      <c r="U100">
        <f t="shared" si="35"/>
        <v>0</v>
      </c>
      <c r="V100" s="29">
        <f t="shared" si="36"/>
        <v>2879119.7326628878</v>
      </c>
      <c r="W100" s="29">
        <f t="shared" si="26"/>
        <v>2879119.732662891</v>
      </c>
      <c r="X100" s="29">
        <f t="shared" si="37"/>
        <v>2879119.732662891</v>
      </c>
      <c r="Y100">
        <f t="shared" si="38"/>
        <v>0</v>
      </c>
    </row>
    <row r="101" spans="1:25" x14ac:dyDescent="0.25">
      <c r="A101" s="4" t="s">
        <v>851</v>
      </c>
      <c r="B101" s="7" t="s">
        <v>141</v>
      </c>
      <c r="C101" s="2" t="s">
        <v>852</v>
      </c>
      <c r="D101">
        <f>VLOOKUP(B101,'Model allocations'!$A$1:$L$317,3,FALSE)</f>
        <v>101636.0934926786</v>
      </c>
      <c r="E101" s="31">
        <f>VLOOKUP(B101,'Initial adjusted formula count'!$A$1:$P$317,12,FALSE)</f>
        <v>4.8490393412625801E-2</v>
      </c>
      <c r="F101">
        <f>VLOOKUP(B101,'Model allocations'!$A$1:$L$317,8,FALSE)</f>
        <v>92131.339640926584</v>
      </c>
      <c r="G101" s="30">
        <f t="shared" si="27"/>
        <v>0.85</v>
      </c>
      <c r="H101">
        <f t="shared" si="28"/>
        <v>86390.679468776812</v>
      </c>
      <c r="I101">
        <f t="shared" si="20"/>
        <v>0</v>
      </c>
      <c r="J101">
        <f t="shared" si="21"/>
        <v>92131.339640926584</v>
      </c>
      <c r="K101">
        <f t="shared" si="22"/>
        <v>92089.115333132067</v>
      </c>
      <c r="L101">
        <f t="shared" si="29"/>
        <v>92089.115333132067</v>
      </c>
      <c r="M101">
        <f t="shared" si="23"/>
        <v>0</v>
      </c>
      <c r="N101" s="29">
        <f t="shared" si="30"/>
        <v>92089.115333132067</v>
      </c>
      <c r="O101" s="29">
        <f t="shared" si="24"/>
        <v>92084.394943863314</v>
      </c>
      <c r="P101" s="29">
        <f t="shared" si="31"/>
        <v>92084.394943863314</v>
      </c>
      <c r="Q101">
        <f t="shared" si="32"/>
        <v>0</v>
      </c>
      <c r="R101" s="29">
        <f t="shared" si="33"/>
        <v>92084.394943863314</v>
      </c>
      <c r="S101" s="29">
        <f t="shared" si="25"/>
        <v>92084.390623419662</v>
      </c>
      <c r="T101" s="29">
        <f t="shared" si="34"/>
        <v>92084.390623419662</v>
      </c>
      <c r="U101">
        <f t="shared" si="35"/>
        <v>0</v>
      </c>
      <c r="V101" s="29">
        <f t="shared" si="36"/>
        <v>92084.390623419662</v>
      </c>
      <c r="W101" s="29">
        <f t="shared" si="26"/>
        <v>92084.390623419764</v>
      </c>
      <c r="X101" s="29">
        <f t="shared" si="37"/>
        <v>92084.390623419764</v>
      </c>
      <c r="Y101">
        <f t="shared" si="38"/>
        <v>0</v>
      </c>
    </row>
    <row r="102" spans="1:25" x14ac:dyDescent="0.25">
      <c r="A102" s="4" t="s">
        <v>853</v>
      </c>
      <c r="B102" s="7" t="s">
        <v>422</v>
      </c>
      <c r="C102" s="2" t="s">
        <v>854</v>
      </c>
      <c r="D102">
        <f>VLOOKUP(B102,'Model allocations'!$A$1:$L$317,3,FALSE)</f>
        <v>101797.67710713435</v>
      </c>
      <c r="E102" s="31">
        <f>VLOOKUP(B102,'Initial adjusted formula count'!$A$1:$P$317,12,FALSE)</f>
        <v>0.20028409090909099</v>
      </c>
      <c r="F102">
        <f>VLOOKUP(B102,'Model allocations'!$A$1:$L$317,8,FALSE)</f>
        <v>122552.06499406269</v>
      </c>
      <c r="G102" s="30">
        <f t="shared" si="27"/>
        <v>0.9</v>
      </c>
      <c r="H102">
        <f t="shared" si="28"/>
        <v>91617.909396420917</v>
      </c>
      <c r="I102">
        <f t="shared" si="20"/>
        <v>0</v>
      </c>
      <c r="J102">
        <f t="shared" si="21"/>
        <v>122552.06499406269</v>
      </c>
      <c r="K102">
        <f t="shared" si="22"/>
        <v>122495.89869784543</v>
      </c>
      <c r="L102">
        <f t="shared" si="29"/>
        <v>122495.89869784543</v>
      </c>
      <c r="M102">
        <f t="shared" si="23"/>
        <v>0</v>
      </c>
      <c r="N102" s="29">
        <f t="shared" si="30"/>
        <v>122495.89869784543</v>
      </c>
      <c r="O102" s="29">
        <f t="shared" si="24"/>
        <v>122489.6196894785</v>
      </c>
      <c r="P102" s="29">
        <f t="shared" si="31"/>
        <v>122489.6196894785</v>
      </c>
      <c r="Q102">
        <f t="shared" si="32"/>
        <v>0</v>
      </c>
      <c r="R102" s="29">
        <f t="shared" si="33"/>
        <v>122489.6196894785</v>
      </c>
      <c r="S102" s="29">
        <f t="shared" si="25"/>
        <v>122489.61394247327</v>
      </c>
      <c r="T102" s="29">
        <f t="shared" si="34"/>
        <v>122489.61394247327</v>
      </c>
      <c r="U102">
        <f t="shared" si="35"/>
        <v>0</v>
      </c>
      <c r="V102" s="29">
        <f t="shared" si="36"/>
        <v>122489.61394247327</v>
      </c>
      <c r="W102" s="29">
        <f t="shared" si="26"/>
        <v>122489.6139424734</v>
      </c>
      <c r="X102" s="29">
        <f t="shared" si="37"/>
        <v>122489.6139424734</v>
      </c>
      <c r="Y102">
        <f t="shared" si="38"/>
        <v>0</v>
      </c>
    </row>
    <row r="103" spans="1:25" x14ac:dyDescent="0.25">
      <c r="A103" s="4" t="s">
        <v>855</v>
      </c>
      <c r="B103" s="7" t="s">
        <v>424</v>
      </c>
      <c r="C103" s="2" t="s">
        <v>856</v>
      </c>
      <c r="D103">
        <f>VLOOKUP(B103,'Model allocations'!$A$1:$L$317,3,FALSE)</f>
        <v>430175.2667734116</v>
      </c>
      <c r="E103" s="31">
        <f>VLOOKUP(B103,'Initial adjusted formula count'!$A$1:$P$317,12,FALSE)</f>
        <v>0.21856123009335501</v>
      </c>
      <c r="F103">
        <f>VLOOKUP(B103,'Model allocations'!$A$1:$L$317,8,FALSE)</f>
        <v>387157.74009607045</v>
      </c>
      <c r="G103" s="30">
        <f t="shared" si="27"/>
        <v>0.9</v>
      </c>
      <c r="H103">
        <f t="shared" si="28"/>
        <v>387157.74009607045</v>
      </c>
      <c r="I103">
        <f t="shared" si="20"/>
        <v>0</v>
      </c>
      <c r="J103">
        <f t="shared" si="21"/>
        <v>387157.74009607045</v>
      </c>
      <c r="K103">
        <f t="shared" si="22"/>
        <v>386980.30354031688</v>
      </c>
      <c r="L103">
        <f t="shared" si="29"/>
        <v>386980.30354031688</v>
      </c>
      <c r="M103">
        <f t="shared" si="23"/>
        <v>387157.74009607045</v>
      </c>
      <c r="N103" s="29">
        <f t="shared" si="30"/>
        <v>0</v>
      </c>
      <c r="O103" s="29">
        <f t="shared" si="24"/>
        <v>0</v>
      </c>
      <c r="P103" s="29">
        <f t="shared" si="31"/>
        <v>387157.74009607045</v>
      </c>
      <c r="Q103">
        <f t="shared" si="32"/>
        <v>0</v>
      </c>
      <c r="R103" s="29">
        <f t="shared" si="33"/>
        <v>0</v>
      </c>
      <c r="S103" s="29">
        <f t="shared" si="25"/>
        <v>0</v>
      </c>
      <c r="T103" s="29">
        <f t="shared" si="34"/>
        <v>387157.74009607045</v>
      </c>
      <c r="U103">
        <f t="shared" si="35"/>
        <v>0</v>
      </c>
      <c r="V103" s="29">
        <f t="shared" si="36"/>
        <v>0</v>
      </c>
      <c r="W103" s="29">
        <f t="shared" si="26"/>
        <v>0</v>
      </c>
      <c r="X103" s="29">
        <f t="shared" si="37"/>
        <v>387157.74009607045</v>
      </c>
      <c r="Y103">
        <f t="shared" si="38"/>
        <v>0</v>
      </c>
    </row>
    <row r="104" spans="1:25" x14ac:dyDescent="0.25">
      <c r="A104" s="4" t="s">
        <v>37</v>
      </c>
      <c r="B104" s="7" t="s">
        <v>79</v>
      </c>
      <c r="C104" s="2" t="s">
        <v>857</v>
      </c>
      <c r="D104">
        <f>VLOOKUP(B104,'Model allocations'!$A$1:$L$317,3,FALSE)</f>
        <v>40042.388156361791</v>
      </c>
      <c r="E104" s="31">
        <f>VLOOKUP(B104,'Initial adjusted formula count'!$A$1:$P$317,12,FALSE)</f>
        <v>0.14665504406806101</v>
      </c>
      <c r="F104">
        <f>VLOOKUP(B104,'Model allocations'!$A$1:$L$317,8,FALSE)</f>
        <v>38989.15230063488</v>
      </c>
      <c r="G104" s="30">
        <f t="shared" si="27"/>
        <v>0.85</v>
      </c>
      <c r="H104">
        <f t="shared" si="28"/>
        <v>34036.029932907521</v>
      </c>
      <c r="I104">
        <f t="shared" si="20"/>
        <v>0</v>
      </c>
      <c r="J104">
        <f t="shared" si="21"/>
        <v>38989.15230063488</v>
      </c>
      <c r="K104">
        <f t="shared" si="22"/>
        <v>38971.283354261082</v>
      </c>
      <c r="L104">
        <f t="shared" si="29"/>
        <v>38971.283354261082</v>
      </c>
      <c r="M104">
        <f t="shared" si="23"/>
        <v>0</v>
      </c>
      <c r="N104" s="29">
        <f t="shared" si="30"/>
        <v>38971.283354261082</v>
      </c>
      <c r="O104" s="29">
        <f t="shared" si="24"/>
        <v>38969.285728080511</v>
      </c>
      <c r="P104" s="29">
        <f t="shared" si="31"/>
        <v>38969.285728080511</v>
      </c>
      <c r="Q104">
        <f t="shared" si="32"/>
        <v>0</v>
      </c>
      <c r="R104" s="29">
        <f t="shared" si="33"/>
        <v>38969.285728080511</v>
      </c>
      <c r="S104" s="29">
        <f t="shared" si="25"/>
        <v>38969.283899707705</v>
      </c>
      <c r="T104" s="29">
        <f t="shared" si="34"/>
        <v>38969.283899707705</v>
      </c>
      <c r="U104">
        <f t="shared" si="35"/>
        <v>0</v>
      </c>
      <c r="V104" s="29">
        <f t="shared" si="36"/>
        <v>38969.283899707705</v>
      </c>
      <c r="W104" s="29">
        <f t="shared" si="26"/>
        <v>38969.283899707749</v>
      </c>
      <c r="X104" s="29">
        <f t="shared" si="37"/>
        <v>38969.283899707749</v>
      </c>
      <c r="Y104">
        <f t="shared" si="38"/>
        <v>0</v>
      </c>
    </row>
    <row r="105" spans="1:25" x14ac:dyDescent="0.25">
      <c r="A105" s="4" t="s">
        <v>40</v>
      </c>
      <c r="B105" s="7" t="s">
        <v>74</v>
      </c>
      <c r="C105" s="2" t="s">
        <v>858</v>
      </c>
      <c r="D105">
        <f>VLOOKUP(B105,'Model allocations'!$A$1:$L$317,3,FALSE)</f>
        <v>64396.362361819156</v>
      </c>
      <c r="E105" s="31">
        <f>VLOOKUP(B105,'Initial adjusted formula count'!$A$1:$P$317,12,FALSE)</f>
        <v>0.20059580587053799</v>
      </c>
      <c r="F105">
        <f>VLOOKUP(B105,'Model allocations'!$A$1:$L$317,8,FALSE)</f>
        <v>71155.350346935753</v>
      </c>
      <c r="G105" s="30">
        <f t="shared" si="27"/>
        <v>0.9</v>
      </c>
      <c r="H105">
        <f t="shared" si="28"/>
        <v>57956.726125637244</v>
      </c>
      <c r="I105">
        <f t="shared" si="20"/>
        <v>0</v>
      </c>
      <c r="J105">
        <f t="shared" si="21"/>
        <v>71155.350346935753</v>
      </c>
      <c r="K105">
        <f t="shared" si="22"/>
        <v>71122.739452250127</v>
      </c>
      <c r="L105">
        <f t="shared" si="29"/>
        <v>71122.739452250127</v>
      </c>
      <c r="M105">
        <f t="shared" si="23"/>
        <v>0</v>
      </c>
      <c r="N105" s="29">
        <f t="shared" si="30"/>
        <v>71122.739452250127</v>
      </c>
      <c r="O105" s="29">
        <f t="shared" si="24"/>
        <v>71119.093776918569</v>
      </c>
      <c r="P105" s="29">
        <f t="shared" si="31"/>
        <v>71119.093776918569</v>
      </c>
      <c r="Q105">
        <f t="shared" si="32"/>
        <v>0</v>
      </c>
      <c r="R105" s="29">
        <f t="shared" si="33"/>
        <v>71119.093776918569</v>
      </c>
      <c r="S105" s="29">
        <f t="shared" si="25"/>
        <v>71119.090440131287</v>
      </c>
      <c r="T105" s="29">
        <f t="shared" si="34"/>
        <v>71119.090440131287</v>
      </c>
      <c r="U105">
        <f t="shared" si="35"/>
        <v>0</v>
      </c>
      <c r="V105" s="29">
        <f t="shared" si="36"/>
        <v>71119.090440131287</v>
      </c>
      <c r="W105" s="29">
        <f t="shared" si="26"/>
        <v>71119.090440131375</v>
      </c>
      <c r="X105" s="29">
        <f t="shared" si="37"/>
        <v>71119.090440131375</v>
      </c>
      <c r="Y105">
        <f t="shared" si="38"/>
        <v>0</v>
      </c>
    </row>
    <row r="106" spans="1:25" x14ac:dyDescent="0.25">
      <c r="A106" s="4" t="s">
        <v>44</v>
      </c>
      <c r="B106" s="7" t="s">
        <v>75</v>
      </c>
      <c r="C106" s="2" t="s">
        <v>859</v>
      </c>
      <c r="D106">
        <f>VLOOKUP(B106,'Model allocations'!$A$1:$L$317,3,FALSE)</f>
        <v>48493.602144418648</v>
      </c>
      <c r="E106" s="31">
        <f>VLOOKUP(B106,'Initial adjusted formula count'!$A$1:$P$317,12,FALSE)</f>
        <v>0.18899764894447399</v>
      </c>
      <c r="F106">
        <f>VLOOKUP(B106,'Model allocations'!$A$1:$L$317,8,FALSE)</f>
        <v>52363.58126421379</v>
      </c>
      <c r="G106" s="30">
        <f t="shared" si="27"/>
        <v>0.9</v>
      </c>
      <c r="H106">
        <f t="shared" si="28"/>
        <v>43644.241929976786</v>
      </c>
      <c r="I106">
        <f t="shared" si="20"/>
        <v>0</v>
      </c>
      <c r="J106">
        <f t="shared" si="21"/>
        <v>52363.58126421379</v>
      </c>
      <c r="K106">
        <f t="shared" si="22"/>
        <v>52339.582742308638</v>
      </c>
      <c r="L106">
        <f t="shared" si="29"/>
        <v>52339.582742308638</v>
      </c>
      <c r="M106">
        <f t="shared" si="23"/>
        <v>0</v>
      </c>
      <c r="N106" s="29">
        <f t="shared" si="30"/>
        <v>52339.582742308638</v>
      </c>
      <c r="O106" s="29">
        <f t="shared" si="24"/>
        <v>52336.899871441499</v>
      </c>
      <c r="P106" s="29">
        <f t="shared" si="31"/>
        <v>52336.899871441499</v>
      </c>
      <c r="Q106">
        <f t="shared" si="32"/>
        <v>0</v>
      </c>
      <c r="R106" s="29">
        <f t="shared" si="33"/>
        <v>52336.899871441499</v>
      </c>
      <c r="S106" s="29">
        <f t="shared" si="25"/>
        <v>52336.897415882908</v>
      </c>
      <c r="T106" s="29">
        <f t="shared" si="34"/>
        <v>52336.897415882908</v>
      </c>
      <c r="U106">
        <f t="shared" si="35"/>
        <v>0</v>
      </c>
      <c r="V106" s="29">
        <f t="shared" si="36"/>
        <v>52336.897415882908</v>
      </c>
      <c r="W106" s="29">
        <f t="shared" si="26"/>
        <v>52336.897415882966</v>
      </c>
      <c r="X106" s="29">
        <f t="shared" si="37"/>
        <v>52336.897415882966</v>
      </c>
      <c r="Y106">
        <f t="shared" si="38"/>
        <v>0</v>
      </c>
    </row>
    <row r="107" spans="1:25" x14ac:dyDescent="0.25">
      <c r="A107" s="4" t="s">
        <v>860</v>
      </c>
      <c r="B107" s="7" t="s">
        <v>426</v>
      </c>
      <c r="C107" s="2" t="s">
        <v>861</v>
      </c>
      <c r="D107">
        <f>VLOOKUP(B107,'Model allocations'!$A$1:$L$317,3,FALSE)</f>
        <v>38715.774009607056</v>
      </c>
      <c r="E107" s="31">
        <f>VLOOKUP(B107,'Initial adjusted formula count'!$A$1:$P$317,12,FALSE)</f>
        <v>0.29797979797979801</v>
      </c>
      <c r="F107">
        <f>VLOOKUP(B107,'Model allocations'!$A$1:$L$317,8,FALSE)</f>
        <v>51280.651309572335</v>
      </c>
      <c r="G107" s="30">
        <f t="shared" si="27"/>
        <v>0.9</v>
      </c>
      <c r="H107">
        <f t="shared" si="28"/>
        <v>34844.196608646351</v>
      </c>
      <c r="I107">
        <f t="shared" si="20"/>
        <v>0</v>
      </c>
      <c r="J107">
        <f t="shared" si="21"/>
        <v>51280.651309572335</v>
      </c>
      <c r="K107">
        <f t="shared" si="22"/>
        <v>51257.149100516894</v>
      </c>
      <c r="L107">
        <f t="shared" si="29"/>
        <v>51257.149100516894</v>
      </c>
      <c r="M107">
        <f t="shared" si="23"/>
        <v>0</v>
      </c>
      <c r="N107" s="29">
        <f t="shared" si="30"/>
        <v>51257.149100516894</v>
      </c>
      <c r="O107" s="29">
        <f t="shared" si="24"/>
        <v>51254.521714037117</v>
      </c>
      <c r="P107" s="29">
        <f t="shared" si="31"/>
        <v>51254.521714037117</v>
      </c>
      <c r="Q107">
        <f t="shared" si="32"/>
        <v>0</v>
      </c>
      <c r="R107" s="29">
        <f t="shared" si="33"/>
        <v>51254.521714037117</v>
      </c>
      <c r="S107" s="29">
        <f t="shared" si="25"/>
        <v>51254.519309261872</v>
      </c>
      <c r="T107" s="29">
        <f t="shared" si="34"/>
        <v>51254.519309261872</v>
      </c>
      <c r="U107">
        <f t="shared" si="35"/>
        <v>0</v>
      </c>
      <c r="V107" s="29">
        <f t="shared" si="36"/>
        <v>51254.519309261872</v>
      </c>
      <c r="W107" s="29">
        <f t="shared" si="26"/>
        <v>51254.51930926193</v>
      </c>
      <c r="X107" s="29">
        <f t="shared" si="37"/>
        <v>51254.51930926193</v>
      </c>
      <c r="Y107">
        <f t="shared" si="38"/>
        <v>0</v>
      </c>
    </row>
    <row r="108" spans="1:25" x14ac:dyDescent="0.25">
      <c r="A108" s="4" t="s">
        <v>862</v>
      </c>
      <c r="B108" s="7" t="s">
        <v>428</v>
      </c>
      <c r="C108" s="2" t="s">
        <v>863</v>
      </c>
      <c r="D108">
        <f>VLOOKUP(B108,'Model allocations'!$A$1:$L$317,3,FALSE)</f>
        <v>0</v>
      </c>
      <c r="E108" s="31">
        <f>VLOOKUP(B108,'Initial adjusted formula count'!$A$1:$P$317,12,FALSE)</f>
        <v>9.2592592592592601E-2</v>
      </c>
      <c r="F108">
        <f>VLOOKUP(B108,'Model allocations'!$A$1:$L$317,8,FALSE)</f>
        <v>0</v>
      </c>
      <c r="G108" s="30">
        <f t="shared" si="27"/>
        <v>0.85</v>
      </c>
      <c r="H108">
        <f t="shared" si="28"/>
        <v>0</v>
      </c>
      <c r="I108">
        <f t="shared" si="20"/>
        <v>0</v>
      </c>
      <c r="J108">
        <f t="shared" si="21"/>
        <v>0</v>
      </c>
      <c r="K108">
        <f t="shared" si="22"/>
        <v>0</v>
      </c>
      <c r="L108">
        <f t="shared" si="29"/>
        <v>0</v>
      </c>
      <c r="M108">
        <f t="shared" si="23"/>
        <v>0</v>
      </c>
      <c r="N108" s="29">
        <f t="shared" si="30"/>
        <v>0</v>
      </c>
      <c r="O108" s="29">
        <f t="shared" si="24"/>
        <v>0</v>
      </c>
      <c r="P108" s="29">
        <f t="shared" si="31"/>
        <v>0</v>
      </c>
      <c r="Q108">
        <f t="shared" si="32"/>
        <v>0</v>
      </c>
      <c r="R108" s="29">
        <f t="shared" si="33"/>
        <v>0</v>
      </c>
      <c r="S108" s="29">
        <f t="shared" si="25"/>
        <v>0</v>
      </c>
      <c r="T108" s="29">
        <f t="shared" si="34"/>
        <v>0</v>
      </c>
      <c r="U108">
        <f t="shared" si="35"/>
        <v>0</v>
      </c>
      <c r="V108" s="29">
        <f t="shared" si="36"/>
        <v>0</v>
      </c>
      <c r="W108" s="29">
        <f t="shared" si="26"/>
        <v>0</v>
      </c>
      <c r="X108" s="29">
        <f t="shared" si="37"/>
        <v>0</v>
      </c>
      <c r="Y108">
        <f t="shared" si="38"/>
        <v>0</v>
      </c>
    </row>
    <row r="109" spans="1:25" x14ac:dyDescent="0.25">
      <c r="A109" s="4" t="s">
        <v>864</v>
      </c>
      <c r="B109" s="7" t="s">
        <v>143</v>
      </c>
      <c r="C109" s="2" t="s">
        <v>865</v>
      </c>
      <c r="D109">
        <f>VLOOKUP(B109,'Model allocations'!$A$1:$L$317,3,FALSE)</f>
        <v>736460.05671608075</v>
      </c>
      <c r="E109" s="31">
        <f>VLOOKUP(B109,'Initial adjusted formula count'!$A$1:$P$317,12,FALSE)</f>
        <v>4.0799333888426298E-2</v>
      </c>
      <c r="F109">
        <f>VLOOKUP(B109,'Model allocations'!$A$1:$L$317,8,FALSE)</f>
        <v>809191.29439342103</v>
      </c>
      <c r="G109" s="30">
        <f t="shared" si="27"/>
        <v>0.85</v>
      </c>
      <c r="H109">
        <f t="shared" si="28"/>
        <v>625991.0482086686</v>
      </c>
      <c r="I109">
        <f t="shared" si="20"/>
        <v>0</v>
      </c>
      <c r="J109">
        <f t="shared" si="21"/>
        <v>809191.29439342103</v>
      </c>
      <c r="K109">
        <f t="shared" si="22"/>
        <v>808820.43750137661</v>
      </c>
      <c r="L109">
        <f t="shared" si="29"/>
        <v>808820.43750137661</v>
      </c>
      <c r="M109">
        <f t="shared" si="23"/>
        <v>0</v>
      </c>
      <c r="N109" s="29">
        <f t="shared" si="30"/>
        <v>808820.43750137661</v>
      </c>
      <c r="O109" s="29">
        <f t="shared" si="24"/>
        <v>808778.97823336523</v>
      </c>
      <c r="P109" s="29">
        <f t="shared" si="31"/>
        <v>808778.97823336523</v>
      </c>
      <c r="Q109">
        <f t="shared" si="32"/>
        <v>0</v>
      </c>
      <c r="R109" s="29">
        <f t="shared" si="33"/>
        <v>808778.97823336523</v>
      </c>
      <c r="S109" s="29">
        <f t="shared" si="25"/>
        <v>808778.94028682716</v>
      </c>
      <c r="T109" s="29">
        <f t="shared" si="34"/>
        <v>808778.94028682716</v>
      </c>
      <c r="U109">
        <f t="shared" si="35"/>
        <v>0</v>
      </c>
      <c r="V109" s="29">
        <f t="shared" si="36"/>
        <v>808778.94028682716</v>
      </c>
      <c r="W109" s="29">
        <f t="shared" si="26"/>
        <v>808778.94028682797</v>
      </c>
      <c r="X109" s="29">
        <f t="shared" si="37"/>
        <v>808778.94028682797</v>
      </c>
      <c r="Y109">
        <f t="shared" si="38"/>
        <v>0</v>
      </c>
    </row>
    <row r="110" spans="1:25" x14ac:dyDescent="0.25">
      <c r="A110" s="4" t="s">
        <v>866</v>
      </c>
      <c r="B110" s="7" t="s">
        <v>145</v>
      </c>
      <c r="C110" s="2" t="s">
        <v>867</v>
      </c>
      <c r="D110">
        <f>VLOOKUP(B110,'Model allocations'!$A$1:$L$317,3,FALSE)</f>
        <v>18927.711738030121</v>
      </c>
      <c r="E110" s="31">
        <f>VLOOKUP(B110,'Initial adjusted formula count'!$A$1:$P$317,12,FALSE)</f>
        <v>0.116666666666667</v>
      </c>
      <c r="F110">
        <f>VLOOKUP(B110,'Model allocations'!$A$1:$L$317,8,FALSE)</f>
        <v>0</v>
      </c>
      <c r="G110" s="30">
        <f t="shared" si="27"/>
        <v>0.85</v>
      </c>
      <c r="H110">
        <f t="shared" si="28"/>
        <v>0</v>
      </c>
      <c r="I110">
        <f t="shared" si="20"/>
        <v>0</v>
      </c>
      <c r="J110">
        <f t="shared" si="21"/>
        <v>0</v>
      </c>
      <c r="K110">
        <f t="shared" si="22"/>
        <v>0</v>
      </c>
      <c r="L110">
        <f t="shared" si="29"/>
        <v>0</v>
      </c>
      <c r="M110">
        <f t="shared" si="23"/>
        <v>0</v>
      </c>
      <c r="N110" s="29">
        <f t="shared" si="30"/>
        <v>0</v>
      </c>
      <c r="O110" s="29">
        <f t="shared" si="24"/>
        <v>0</v>
      </c>
      <c r="P110" s="29">
        <f t="shared" si="31"/>
        <v>0</v>
      </c>
      <c r="Q110">
        <f t="shared" si="32"/>
        <v>0</v>
      </c>
      <c r="R110" s="29">
        <f t="shared" si="33"/>
        <v>0</v>
      </c>
      <c r="S110" s="29">
        <f t="shared" si="25"/>
        <v>0</v>
      </c>
      <c r="T110" s="29">
        <f t="shared" si="34"/>
        <v>0</v>
      </c>
      <c r="U110">
        <f t="shared" si="35"/>
        <v>0</v>
      </c>
      <c r="V110" s="29">
        <f t="shared" si="36"/>
        <v>0</v>
      </c>
      <c r="W110" s="29">
        <f t="shared" si="26"/>
        <v>0</v>
      </c>
      <c r="X110" s="29">
        <f t="shared" si="37"/>
        <v>0</v>
      </c>
      <c r="Y110">
        <f t="shared" si="38"/>
        <v>0</v>
      </c>
    </row>
    <row r="111" spans="1:25" x14ac:dyDescent="0.25">
      <c r="A111" s="4" t="s">
        <v>868</v>
      </c>
      <c r="B111" s="7" t="s">
        <v>147</v>
      </c>
      <c r="C111" s="2" t="s">
        <v>869</v>
      </c>
      <c r="D111">
        <f>VLOOKUP(B111,'Model allocations'!$A$1:$L$317,3,FALSE)</f>
        <v>98079.960824337875</v>
      </c>
      <c r="E111" s="31">
        <f>VLOOKUP(B111,'Initial adjusted formula count'!$A$1:$P$317,12,FALSE)</f>
        <v>7.7147016011644795E-2</v>
      </c>
      <c r="F111">
        <f>VLOOKUP(B111,'Model allocations'!$A$1:$L$317,8,FALSE)</f>
        <v>92131.339640926584</v>
      </c>
      <c r="G111" s="30">
        <f t="shared" si="27"/>
        <v>0.85</v>
      </c>
      <c r="H111">
        <f t="shared" si="28"/>
        <v>83367.96670068719</v>
      </c>
      <c r="I111">
        <f t="shared" si="20"/>
        <v>0</v>
      </c>
      <c r="J111">
        <f t="shared" si="21"/>
        <v>92131.339640926584</v>
      </c>
      <c r="K111">
        <f t="shared" si="22"/>
        <v>92089.115333132067</v>
      </c>
      <c r="L111">
        <f t="shared" si="29"/>
        <v>92089.115333132067</v>
      </c>
      <c r="M111">
        <f t="shared" si="23"/>
        <v>0</v>
      </c>
      <c r="N111" s="29">
        <f t="shared" si="30"/>
        <v>92089.115333132067</v>
      </c>
      <c r="O111" s="29">
        <f t="shared" si="24"/>
        <v>92084.394943863314</v>
      </c>
      <c r="P111" s="29">
        <f t="shared" si="31"/>
        <v>92084.394943863314</v>
      </c>
      <c r="Q111">
        <f t="shared" si="32"/>
        <v>0</v>
      </c>
      <c r="R111" s="29">
        <f t="shared" si="33"/>
        <v>92084.394943863314</v>
      </c>
      <c r="S111" s="29">
        <f t="shared" si="25"/>
        <v>92084.390623419662</v>
      </c>
      <c r="T111" s="29">
        <f t="shared" si="34"/>
        <v>92084.390623419662</v>
      </c>
      <c r="U111">
        <f t="shared" si="35"/>
        <v>0</v>
      </c>
      <c r="V111" s="29">
        <f t="shared" si="36"/>
        <v>92084.390623419662</v>
      </c>
      <c r="W111" s="29">
        <f t="shared" si="26"/>
        <v>92084.390623419764</v>
      </c>
      <c r="X111" s="29">
        <f t="shared" si="37"/>
        <v>92084.390623419764</v>
      </c>
      <c r="Y111">
        <f t="shared" si="38"/>
        <v>0</v>
      </c>
    </row>
    <row r="112" spans="1:25" x14ac:dyDescent="0.25">
      <c r="A112" s="4" t="s">
        <v>870</v>
      </c>
      <c r="B112" s="7" t="s">
        <v>430</v>
      </c>
      <c r="C112" s="2" t="s">
        <v>871</v>
      </c>
      <c r="D112">
        <f>VLOOKUP(B112,'Model allocations'!$A$1:$L$317,3,FALSE)</f>
        <v>26670.866539951527</v>
      </c>
      <c r="E112" s="31">
        <f>VLOOKUP(B112,'Initial adjusted formula count'!$A$1:$P$317,12,FALSE)</f>
        <v>0.23148148148148101</v>
      </c>
      <c r="F112">
        <f>VLOOKUP(B112,'Model allocations'!$A$1:$L$317,8,FALSE)</f>
        <v>24003.779885956374</v>
      </c>
      <c r="G112" s="30">
        <f t="shared" si="27"/>
        <v>0.9</v>
      </c>
      <c r="H112">
        <f t="shared" si="28"/>
        <v>24003.779885956374</v>
      </c>
      <c r="I112">
        <f t="shared" si="20"/>
        <v>0</v>
      </c>
      <c r="J112">
        <f t="shared" si="21"/>
        <v>24003.779885956374</v>
      </c>
      <c r="K112">
        <f t="shared" si="22"/>
        <v>23992.778819499654</v>
      </c>
      <c r="L112">
        <f t="shared" si="29"/>
        <v>23992.778819499654</v>
      </c>
      <c r="M112">
        <f t="shared" si="23"/>
        <v>24003.779885956374</v>
      </c>
      <c r="N112" s="29">
        <f t="shared" si="30"/>
        <v>0</v>
      </c>
      <c r="O112" s="29">
        <f t="shared" si="24"/>
        <v>0</v>
      </c>
      <c r="P112" s="29">
        <f t="shared" si="31"/>
        <v>24003.779885956374</v>
      </c>
      <c r="Q112">
        <f t="shared" si="32"/>
        <v>0</v>
      </c>
      <c r="R112" s="29">
        <f t="shared" si="33"/>
        <v>0</v>
      </c>
      <c r="S112" s="29">
        <f t="shared" si="25"/>
        <v>0</v>
      </c>
      <c r="T112" s="29">
        <f t="shared" si="34"/>
        <v>24003.779885956374</v>
      </c>
      <c r="U112">
        <f t="shared" si="35"/>
        <v>0</v>
      </c>
      <c r="V112" s="29">
        <f t="shared" si="36"/>
        <v>0</v>
      </c>
      <c r="W112" s="29">
        <f t="shared" si="26"/>
        <v>0</v>
      </c>
      <c r="X112" s="29">
        <f t="shared" si="37"/>
        <v>24003.779885956374</v>
      </c>
      <c r="Y112">
        <f t="shared" si="38"/>
        <v>0</v>
      </c>
    </row>
    <row r="113" spans="1:25" x14ac:dyDescent="0.25">
      <c r="A113" s="8" t="s">
        <v>872</v>
      </c>
      <c r="B113" s="7" t="s">
        <v>432</v>
      </c>
      <c r="C113" s="2" t="s">
        <v>873</v>
      </c>
      <c r="D113">
        <f>VLOOKUP(B113,'Model allocations'!$A$1:$L$317,3,FALSE)</f>
        <v>798405.29513145238</v>
      </c>
      <c r="E113" s="31">
        <f>VLOOKUP(B113,'Initial adjusted formula count'!$A$1:$P$317,12,FALSE)</f>
        <v>0.163636363636364</v>
      </c>
      <c r="F113">
        <f>VLOOKUP(B113,'Model allocations'!$A$1:$L$317,8,FALSE)</f>
        <v>790069.69560002128</v>
      </c>
      <c r="G113" s="30">
        <f t="shared" si="27"/>
        <v>0.9</v>
      </c>
      <c r="H113">
        <f t="shared" si="28"/>
        <v>718564.76561830717</v>
      </c>
      <c r="I113">
        <f t="shared" si="20"/>
        <v>0</v>
      </c>
      <c r="J113">
        <f t="shared" si="21"/>
        <v>790069.69560002128</v>
      </c>
      <c r="K113">
        <f t="shared" si="22"/>
        <v>789707.60224355687</v>
      </c>
      <c r="L113">
        <f t="shared" si="29"/>
        <v>789707.60224355687</v>
      </c>
      <c r="M113">
        <f t="shared" si="23"/>
        <v>0</v>
      </c>
      <c r="N113" s="29">
        <f t="shared" si="30"/>
        <v>789707.60224355687</v>
      </c>
      <c r="O113" s="29">
        <f t="shared" si="24"/>
        <v>789667.1226789786</v>
      </c>
      <c r="P113" s="29">
        <f t="shared" si="31"/>
        <v>789667.1226789786</v>
      </c>
      <c r="Q113">
        <f t="shared" si="32"/>
        <v>0</v>
      </c>
      <c r="R113" s="29">
        <f t="shared" si="33"/>
        <v>789667.1226789786</v>
      </c>
      <c r="S113" s="29">
        <f t="shared" si="25"/>
        <v>789667.0856291363</v>
      </c>
      <c r="T113" s="29">
        <f t="shared" si="34"/>
        <v>789667.0856291363</v>
      </c>
      <c r="U113">
        <f t="shared" si="35"/>
        <v>0</v>
      </c>
      <c r="V113" s="29">
        <f t="shared" si="36"/>
        <v>789667.0856291363</v>
      </c>
      <c r="W113" s="29">
        <f t="shared" si="26"/>
        <v>789667.08562913712</v>
      </c>
      <c r="X113" s="29">
        <f t="shared" si="37"/>
        <v>789667.08562913712</v>
      </c>
      <c r="Y113">
        <f t="shared" si="38"/>
        <v>0</v>
      </c>
    </row>
    <row r="114" spans="1:25" x14ac:dyDescent="0.25">
      <c r="A114" s="4" t="s">
        <v>874</v>
      </c>
      <c r="B114" s="7" t="s">
        <v>434</v>
      </c>
      <c r="C114" s="2" t="s">
        <v>875</v>
      </c>
      <c r="D114">
        <f>VLOOKUP(B114,'Model allocations'!$A$1:$L$317,3,FALSE)</f>
        <v>2441674.8142058849</v>
      </c>
      <c r="E114" s="31">
        <f>VLOOKUP(B114,'Initial adjusted formula count'!$A$1:$P$317,12,FALSE)</f>
        <v>0.145737855178735</v>
      </c>
      <c r="F114">
        <f>VLOOKUP(B114,'Model allocations'!$A$1:$L$317,8,FALSE)</f>
        <v>2625743.1797664068</v>
      </c>
      <c r="G114" s="30">
        <f t="shared" si="27"/>
        <v>0.85</v>
      </c>
      <c r="H114">
        <f t="shared" si="28"/>
        <v>2075423.5920750021</v>
      </c>
      <c r="I114">
        <f t="shared" si="20"/>
        <v>0</v>
      </c>
      <c r="J114">
        <f t="shared" si="21"/>
        <v>2625743.1797664068</v>
      </c>
      <c r="K114">
        <f t="shared" si="22"/>
        <v>2624539.7869942631</v>
      </c>
      <c r="L114">
        <f t="shared" si="29"/>
        <v>2624539.7869942631</v>
      </c>
      <c r="M114">
        <f t="shared" si="23"/>
        <v>0</v>
      </c>
      <c r="N114" s="29">
        <f t="shared" si="30"/>
        <v>2624539.7869942631</v>
      </c>
      <c r="O114" s="29">
        <f t="shared" si="24"/>
        <v>2624405.2559001036</v>
      </c>
      <c r="P114" s="29">
        <f t="shared" si="31"/>
        <v>2624405.2559001036</v>
      </c>
      <c r="Q114">
        <f t="shared" si="32"/>
        <v>0</v>
      </c>
      <c r="R114" s="29">
        <f t="shared" si="33"/>
        <v>2624405.2559001036</v>
      </c>
      <c r="S114" s="29">
        <f t="shared" si="25"/>
        <v>2624405.1327674594</v>
      </c>
      <c r="T114" s="29">
        <f t="shared" si="34"/>
        <v>2624405.1327674594</v>
      </c>
      <c r="U114">
        <f t="shared" si="35"/>
        <v>0</v>
      </c>
      <c r="V114" s="29">
        <f t="shared" si="36"/>
        <v>2624405.1327674594</v>
      </c>
      <c r="W114" s="29">
        <f t="shared" si="26"/>
        <v>2624405.1327674626</v>
      </c>
      <c r="X114" s="29">
        <f t="shared" si="37"/>
        <v>2624405.1327674626</v>
      </c>
      <c r="Y114">
        <f t="shared" si="38"/>
        <v>0</v>
      </c>
    </row>
    <row r="115" spans="1:25" x14ac:dyDescent="0.25">
      <c r="A115" s="4" t="s">
        <v>876</v>
      </c>
      <c r="B115" s="7" t="s">
        <v>436</v>
      </c>
      <c r="C115" s="2" t="s">
        <v>877</v>
      </c>
      <c r="D115">
        <f>VLOOKUP(B115,'Model allocations'!$A$1:$L$317,3,FALSE)</f>
        <v>3695205.541583606</v>
      </c>
      <c r="E115" s="31">
        <f>VLOOKUP(B115,'Initial adjusted formula count'!$A$1:$P$317,12,FALSE)</f>
        <v>0.14776951672862501</v>
      </c>
      <c r="F115">
        <f>VLOOKUP(B115,'Model allocations'!$A$1:$L$317,8,FALSE)</f>
        <v>3869516.2649189155</v>
      </c>
      <c r="G115" s="30">
        <f t="shared" si="27"/>
        <v>0.85</v>
      </c>
      <c r="H115">
        <f t="shared" si="28"/>
        <v>3140924.710346065</v>
      </c>
      <c r="I115">
        <f t="shared" si="20"/>
        <v>0</v>
      </c>
      <c r="J115">
        <f t="shared" si="21"/>
        <v>3869516.2649189155</v>
      </c>
      <c r="K115">
        <f t="shared" si="22"/>
        <v>3867742.843991545</v>
      </c>
      <c r="L115">
        <f t="shared" si="29"/>
        <v>3867742.843991545</v>
      </c>
      <c r="M115">
        <f t="shared" si="23"/>
        <v>0</v>
      </c>
      <c r="N115" s="29">
        <f t="shared" si="30"/>
        <v>3867742.843991545</v>
      </c>
      <c r="O115" s="29">
        <f t="shared" si="24"/>
        <v>3867544.5876422571</v>
      </c>
      <c r="P115" s="29">
        <f t="shared" si="31"/>
        <v>3867544.5876422571</v>
      </c>
      <c r="Q115">
        <f t="shared" si="32"/>
        <v>0</v>
      </c>
      <c r="R115" s="29">
        <f t="shared" si="33"/>
        <v>3867544.5876422571</v>
      </c>
      <c r="S115" s="29">
        <f t="shared" si="25"/>
        <v>3867544.4061836237</v>
      </c>
      <c r="T115" s="29">
        <f t="shared" si="34"/>
        <v>3867544.4061836237</v>
      </c>
      <c r="U115">
        <f t="shared" si="35"/>
        <v>0</v>
      </c>
      <c r="V115" s="29">
        <f t="shared" si="36"/>
        <v>3867544.4061836237</v>
      </c>
      <c r="W115" s="29">
        <f t="shared" si="26"/>
        <v>3867544.4061836284</v>
      </c>
      <c r="X115" s="29">
        <f t="shared" si="37"/>
        <v>3867544.4061836284</v>
      </c>
      <c r="Y115">
        <f t="shared" si="38"/>
        <v>0</v>
      </c>
    </row>
    <row r="116" spans="1:25" x14ac:dyDescent="0.25">
      <c r="A116" s="4" t="s">
        <v>878</v>
      </c>
      <c r="B116" s="7" t="s">
        <v>438</v>
      </c>
      <c r="C116" s="2" t="s">
        <v>879</v>
      </c>
      <c r="D116">
        <f>VLOOKUP(B116,'Model allocations'!$A$1:$L$317,3,FALSE)</f>
        <v>128192.22949847669</v>
      </c>
      <c r="E116" s="31">
        <f>VLOOKUP(B116,'Initial adjusted formula count'!$A$1:$P$317,12,FALSE)</f>
        <v>0.156282998944034</v>
      </c>
      <c r="F116">
        <f>VLOOKUP(B116,'Model allocations'!$A$1:$L$317,8,FALSE)</f>
        <v>128636.21006468989</v>
      </c>
      <c r="G116" s="30">
        <f t="shared" si="27"/>
        <v>0.9</v>
      </c>
      <c r="H116">
        <f t="shared" si="28"/>
        <v>115373.00654862903</v>
      </c>
      <c r="I116">
        <f t="shared" si="20"/>
        <v>0</v>
      </c>
      <c r="J116">
        <f t="shared" si="21"/>
        <v>128636.21006468989</v>
      </c>
      <c r="K116">
        <f t="shared" si="22"/>
        <v>128577.2553707881</v>
      </c>
      <c r="L116">
        <f t="shared" si="29"/>
        <v>128577.2553707881</v>
      </c>
      <c r="M116">
        <f t="shared" si="23"/>
        <v>0</v>
      </c>
      <c r="N116" s="29">
        <f t="shared" si="30"/>
        <v>128577.2553707881</v>
      </c>
      <c r="O116" s="29">
        <f t="shared" si="24"/>
        <v>128570.66463860155</v>
      </c>
      <c r="P116" s="29">
        <f t="shared" si="31"/>
        <v>128570.66463860155</v>
      </c>
      <c r="Q116">
        <f t="shared" si="32"/>
        <v>0</v>
      </c>
      <c r="R116" s="29">
        <f t="shared" si="33"/>
        <v>128570.66463860155</v>
      </c>
      <c r="S116" s="29">
        <f t="shared" si="25"/>
        <v>128570.65860628399</v>
      </c>
      <c r="T116" s="29">
        <f t="shared" si="34"/>
        <v>128570.65860628399</v>
      </c>
      <c r="U116">
        <f t="shared" si="35"/>
        <v>0</v>
      </c>
      <c r="V116" s="29">
        <f t="shared" si="36"/>
        <v>128570.65860628399</v>
      </c>
      <c r="W116" s="29">
        <f t="shared" si="26"/>
        <v>128570.65860628414</v>
      </c>
      <c r="X116" s="29">
        <f t="shared" si="37"/>
        <v>128570.65860628414</v>
      </c>
      <c r="Y116">
        <f t="shared" si="38"/>
        <v>0</v>
      </c>
    </row>
    <row r="117" spans="1:25" x14ac:dyDescent="0.25">
      <c r="A117" s="8" t="s">
        <v>880</v>
      </c>
      <c r="B117" s="7" t="s">
        <v>440</v>
      </c>
      <c r="C117" s="2" t="s">
        <v>881</v>
      </c>
      <c r="D117">
        <f>VLOOKUP(B117,'Model allocations'!$A$1:$L$317,3,FALSE)</f>
        <v>215087.6333867058</v>
      </c>
      <c r="E117" s="31">
        <f>VLOOKUP(B117,'Initial adjusted formula count'!$A$1:$P$317,12,FALSE)</f>
        <v>0.109152927799886</v>
      </c>
      <c r="F117">
        <f>VLOOKUP(B117,'Model allocations'!$A$1:$L$317,8,FALSE)</f>
        <v>182824.48837869993</v>
      </c>
      <c r="G117" s="30">
        <f t="shared" si="27"/>
        <v>0.85</v>
      </c>
      <c r="H117">
        <f t="shared" si="28"/>
        <v>182824.48837869993</v>
      </c>
      <c r="I117">
        <f t="shared" si="20"/>
        <v>0</v>
      </c>
      <c r="J117">
        <f t="shared" si="21"/>
        <v>182824.48837869993</v>
      </c>
      <c r="K117">
        <f t="shared" si="22"/>
        <v>182740.69889403851</v>
      </c>
      <c r="L117">
        <f t="shared" si="29"/>
        <v>182740.69889403851</v>
      </c>
      <c r="M117">
        <f t="shared" si="23"/>
        <v>182824.48837869993</v>
      </c>
      <c r="N117" s="29">
        <f t="shared" si="30"/>
        <v>0</v>
      </c>
      <c r="O117" s="29">
        <f t="shared" si="24"/>
        <v>0</v>
      </c>
      <c r="P117" s="29">
        <f t="shared" si="31"/>
        <v>182824.48837869993</v>
      </c>
      <c r="Q117">
        <f t="shared" si="32"/>
        <v>0</v>
      </c>
      <c r="R117" s="29">
        <f t="shared" si="33"/>
        <v>0</v>
      </c>
      <c r="S117" s="29">
        <f t="shared" si="25"/>
        <v>0</v>
      </c>
      <c r="T117" s="29">
        <f t="shared" si="34"/>
        <v>182824.48837869993</v>
      </c>
      <c r="U117">
        <f t="shared" si="35"/>
        <v>0</v>
      </c>
      <c r="V117" s="29">
        <f t="shared" si="36"/>
        <v>0</v>
      </c>
      <c r="W117" s="29">
        <f t="shared" si="26"/>
        <v>0</v>
      </c>
      <c r="X117" s="29">
        <f t="shared" si="37"/>
        <v>182824.48837869993</v>
      </c>
      <c r="Y117">
        <f t="shared" si="38"/>
        <v>0</v>
      </c>
    </row>
    <row r="118" spans="1:25" x14ac:dyDescent="0.25">
      <c r="A118" s="4" t="s">
        <v>882</v>
      </c>
      <c r="B118" s="7" t="s">
        <v>278</v>
      </c>
      <c r="C118" s="2" t="s">
        <v>883</v>
      </c>
      <c r="D118">
        <f>VLOOKUP(B118,'Model allocations'!$A$1:$L$317,3,FALSE)</f>
        <v>49900.330945715774</v>
      </c>
      <c r="E118" s="31">
        <f>VLOOKUP(B118,'Initial adjusted formula count'!$A$1:$P$317,12,FALSE)</f>
        <v>9.5046854082998594E-2</v>
      </c>
      <c r="F118">
        <f>VLOOKUP(B118,'Model allocations'!$A$1:$L$317,8,FALSE)</f>
        <v>61710.614287790435</v>
      </c>
      <c r="G118" s="30">
        <f t="shared" si="27"/>
        <v>0.85</v>
      </c>
      <c r="H118">
        <f t="shared" si="28"/>
        <v>42415.281303858406</v>
      </c>
      <c r="I118">
        <f t="shared" si="20"/>
        <v>0</v>
      </c>
      <c r="J118">
        <f t="shared" si="21"/>
        <v>61710.614287790435</v>
      </c>
      <c r="K118">
        <f t="shared" si="22"/>
        <v>61682.331968418628</v>
      </c>
      <c r="L118">
        <f t="shared" si="29"/>
        <v>61682.331968418628</v>
      </c>
      <c r="M118">
        <f t="shared" si="23"/>
        <v>0</v>
      </c>
      <c r="N118" s="29">
        <f t="shared" si="30"/>
        <v>61682.331968418628</v>
      </c>
      <c r="O118" s="29">
        <f t="shared" si="24"/>
        <v>61679.170198248052</v>
      </c>
      <c r="P118" s="29">
        <f t="shared" si="31"/>
        <v>61679.170198248052</v>
      </c>
      <c r="Q118">
        <f t="shared" si="32"/>
        <v>0</v>
      </c>
      <c r="R118" s="29">
        <f t="shared" si="33"/>
        <v>61679.170198248052</v>
      </c>
      <c r="S118" s="29">
        <f t="shared" si="25"/>
        <v>61679.167304365983</v>
      </c>
      <c r="T118" s="29">
        <f t="shared" si="34"/>
        <v>61679.167304365983</v>
      </c>
      <c r="U118">
        <f t="shared" si="35"/>
        <v>0</v>
      </c>
      <c r="V118" s="29">
        <f t="shared" si="36"/>
        <v>61679.167304365983</v>
      </c>
      <c r="W118" s="29">
        <f t="shared" si="26"/>
        <v>61679.167304366056</v>
      </c>
      <c r="X118" s="29">
        <f t="shared" si="37"/>
        <v>61679.167304366056</v>
      </c>
      <c r="Y118">
        <f t="shared" si="38"/>
        <v>0</v>
      </c>
    </row>
    <row r="119" spans="1:25" x14ac:dyDescent="0.25">
      <c r="A119" s="4" t="s">
        <v>884</v>
      </c>
      <c r="B119" s="7" t="s">
        <v>441</v>
      </c>
      <c r="C119" s="2" t="s">
        <v>885</v>
      </c>
      <c r="D119">
        <f>VLOOKUP(B119,'Model allocations'!$A$1:$L$317,3,FALSE)</f>
        <v>12044.907469655527</v>
      </c>
      <c r="E119" s="31">
        <f>VLOOKUP(B119,'Initial adjusted formula count'!$A$1:$P$317,12,FALSE)</f>
        <v>6.0975609756097601E-2</v>
      </c>
      <c r="F119">
        <f>VLOOKUP(B119,'Model allocations'!$A$1:$L$317,8,FALSE)</f>
        <v>0</v>
      </c>
      <c r="G119" s="30">
        <f t="shared" si="27"/>
        <v>0.85</v>
      </c>
      <c r="H119">
        <f t="shared" si="28"/>
        <v>0</v>
      </c>
      <c r="I119">
        <f t="shared" si="20"/>
        <v>0</v>
      </c>
      <c r="J119">
        <f t="shared" si="21"/>
        <v>0</v>
      </c>
      <c r="K119">
        <f t="shared" si="22"/>
        <v>0</v>
      </c>
      <c r="L119">
        <f t="shared" si="29"/>
        <v>0</v>
      </c>
      <c r="M119">
        <f t="shared" si="23"/>
        <v>0</v>
      </c>
      <c r="N119" s="29">
        <f t="shared" si="30"/>
        <v>0</v>
      </c>
      <c r="O119" s="29">
        <f t="shared" si="24"/>
        <v>0</v>
      </c>
      <c r="P119" s="29">
        <f t="shared" si="31"/>
        <v>0</v>
      </c>
      <c r="Q119">
        <f t="shared" si="32"/>
        <v>0</v>
      </c>
      <c r="R119" s="29">
        <f t="shared" si="33"/>
        <v>0</v>
      </c>
      <c r="S119" s="29">
        <f t="shared" si="25"/>
        <v>0</v>
      </c>
      <c r="T119" s="29">
        <f t="shared" si="34"/>
        <v>0</v>
      </c>
      <c r="U119">
        <f t="shared" si="35"/>
        <v>0</v>
      </c>
      <c r="V119" s="29">
        <f t="shared" si="36"/>
        <v>0</v>
      </c>
      <c r="W119" s="29">
        <f t="shared" si="26"/>
        <v>0</v>
      </c>
      <c r="X119" s="29">
        <f t="shared" si="37"/>
        <v>0</v>
      </c>
      <c r="Y119">
        <f t="shared" si="38"/>
        <v>0</v>
      </c>
    </row>
    <row r="120" spans="1:25" x14ac:dyDescent="0.25">
      <c r="A120" s="4" t="s">
        <v>886</v>
      </c>
      <c r="B120" s="7" t="s">
        <v>149</v>
      </c>
      <c r="C120" s="2" t="s">
        <v>887</v>
      </c>
      <c r="D120">
        <f>VLOOKUP(B120,'Model allocations'!$A$1:$L$317,3,FALSE)</f>
        <v>108404.16722689974</v>
      </c>
      <c r="E120" s="31">
        <f>VLOOKUP(B120,'Initial adjusted formula count'!$A$1:$P$317,12,FALSE)</f>
        <v>4.3791859866048402E-2</v>
      </c>
      <c r="F120">
        <f>VLOOKUP(B120,'Model allocations'!$A$1:$L$317,8,FALSE)</f>
        <v>92143.542142864768</v>
      </c>
      <c r="G120" s="30">
        <f t="shared" si="27"/>
        <v>0.85</v>
      </c>
      <c r="H120">
        <f t="shared" si="28"/>
        <v>92143.542142864768</v>
      </c>
      <c r="I120">
        <f t="shared" si="20"/>
        <v>0</v>
      </c>
      <c r="J120">
        <f t="shared" si="21"/>
        <v>92143.542142864768</v>
      </c>
      <c r="K120">
        <f t="shared" si="22"/>
        <v>92101.312242595421</v>
      </c>
      <c r="L120">
        <f t="shared" si="29"/>
        <v>92101.312242595421</v>
      </c>
      <c r="M120">
        <f t="shared" si="23"/>
        <v>92143.542142864768</v>
      </c>
      <c r="N120" s="29">
        <f t="shared" si="30"/>
        <v>0</v>
      </c>
      <c r="O120" s="29">
        <f t="shared" si="24"/>
        <v>0</v>
      </c>
      <c r="P120" s="29">
        <f t="shared" si="31"/>
        <v>92143.542142864768</v>
      </c>
      <c r="Q120">
        <f t="shared" si="32"/>
        <v>0</v>
      </c>
      <c r="R120" s="29">
        <f t="shared" si="33"/>
        <v>0</v>
      </c>
      <c r="S120" s="29">
        <f t="shared" si="25"/>
        <v>0</v>
      </c>
      <c r="T120" s="29">
        <f t="shared" si="34"/>
        <v>92143.542142864768</v>
      </c>
      <c r="U120">
        <f t="shared" si="35"/>
        <v>0</v>
      </c>
      <c r="V120" s="29">
        <f t="shared" si="36"/>
        <v>0</v>
      </c>
      <c r="W120" s="29">
        <f t="shared" si="26"/>
        <v>0</v>
      </c>
      <c r="X120" s="29">
        <f t="shared" si="37"/>
        <v>92143.542142864768</v>
      </c>
      <c r="Y120">
        <f t="shared" si="38"/>
        <v>0</v>
      </c>
    </row>
    <row r="121" spans="1:25" x14ac:dyDescent="0.25">
      <c r="A121" s="4" t="s">
        <v>888</v>
      </c>
      <c r="B121" s="7" t="s">
        <v>280</v>
      </c>
      <c r="C121" s="2" t="s">
        <v>889</v>
      </c>
      <c r="D121">
        <f>VLOOKUP(B121,'Model allocations'!$A$1:$L$317,3,FALSE)</f>
        <v>99616.298311981445</v>
      </c>
      <c r="E121" s="31">
        <f>VLOOKUP(B121,'Initial adjusted formula count'!$A$1:$P$317,12,FALSE)</f>
        <v>0.107508532423208</v>
      </c>
      <c r="F121">
        <f>VLOOKUP(B121,'Model allocations'!$A$1:$L$317,8,FALSE)</f>
        <v>84673.853565184225</v>
      </c>
      <c r="G121" s="30">
        <f t="shared" si="27"/>
        <v>0.85</v>
      </c>
      <c r="H121">
        <f t="shared" si="28"/>
        <v>84673.853565184225</v>
      </c>
      <c r="I121">
        <f t="shared" si="20"/>
        <v>0</v>
      </c>
      <c r="J121">
        <f t="shared" si="21"/>
        <v>84673.853565184225</v>
      </c>
      <c r="K121">
        <f t="shared" si="22"/>
        <v>84635.047064931219</v>
      </c>
      <c r="L121">
        <f t="shared" si="29"/>
        <v>84635.047064931219</v>
      </c>
      <c r="M121">
        <f t="shared" si="23"/>
        <v>84673.853565184225</v>
      </c>
      <c r="N121" s="29">
        <f t="shared" si="30"/>
        <v>0</v>
      </c>
      <c r="O121" s="29">
        <f t="shared" si="24"/>
        <v>0</v>
      </c>
      <c r="P121" s="29">
        <f t="shared" si="31"/>
        <v>84673.853565184225</v>
      </c>
      <c r="Q121">
        <f t="shared" si="32"/>
        <v>0</v>
      </c>
      <c r="R121" s="29">
        <f t="shared" si="33"/>
        <v>0</v>
      </c>
      <c r="S121" s="29">
        <f t="shared" si="25"/>
        <v>0</v>
      </c>
      <c r="T121" s="29">
        <f t="shared" si="34"/>
        <v>84673.853565184225</v>
      </c>
      <c r="U121">
        <f t="shared" si="35"/>
        <v>0</v>
      </c>
      <c r="V121" s="29">
        <f t="shared" si="36"/>
        <v>0</v>
      </c>
      <c r="W121" s="29">
        <f t="shared" si="26"/>
        <v>0</v>
      </c>
      <c r="X121" s="29">
        <f t="shared" si="37"/>
        <v>84673.853565184225</v>
      </c>
      <c r="Y121">
        <f t="shared" si="38"/>
        <v>0</v>
      </c>
    </row>
    <row r="122" spans="1:25" x14ac:dyDescent="0.25">
      <c r="A122" s="4" t="s">
        <v>890</v>
      </c>
      <c r="B122" s="7" t="s">
        <v>443</v>
      </c>
      <c r="C122" s="2" t="s">
        <v>891</v>
      </c>
      <c r="D122">
        <f>VLOOKUP(B122,'Model allocations'!$A$1:$L$317,3,FALSE)</f>
        <v>15486.309603842823</v>
      </c>
      <c r="E122" s="31">
        <f>VLOOKUP(B122,'Initial adjusted formula count'!$A$1:$P$317,12,FALSE)</f>
        <v>0.18888888888888899</v>
      </c>
      <c r="F122">
        <f>VLOOKUP(B122,'Model allocations'!$A$1:$L$317,8,FALSE)</f>
        <v>14775.780885808976</v>
      </c>
      <c r="G122" s="30">
        <f t="shared" si="27"/>
        <v>0.9</v>
      </c>
      <c r="H122">
        <f t="shared" si="28"/>
        <v>13937.678643458541</v>
      </c>
      <c r="I122">
        <f t="shared" si="20"/>
        <v>0</v>
      </c>
      <c r="J122">
        <f t="shared" si="21"/>
        <v>14775.780885808976</v>
      </c>
      <c r="K122">
        <f t="shared" si="22"/>
        <v>14769.0090628608</v>
      </c>
      <c r="L122">
        <f t="shared" si="29"/>
        <v>14769.0090628608</v>
      </c>
      <c r="M122">
        <f t="shared" si="23"/>
        <v>0</v>
      </c>
      <c r="N122" s="29">
        <f t="shared" si="30"/>
        <v>14769.0090628608</v>
      </c>
      <c r="O122" s="29">
        <f t="shared" si="24"/>
        <v>14768.25201929883</v>
      </c>
      <c r="P122" s="29">
        <f t="shared" si="31"/>
        <v>14768.25201929883</v>
      </c>
      <c r="Q122">
        <f t="shared" si="32"/>
        <v>0</v>
      </c>
      <c r="R122" s="29">
        <f t="shared" si="33"/>
        <v>14768.25201929883</v>
      </c>
      <c r="S122" s="29">
        <f t="shared" si="25"/>
        <v>14768.251326397491</v>
      </c>
      <c r="T122" s="29">
        <f t="shared" si="34"/>
        <v>14768.251326397491</v>
      </c>
      <c r="U122">
        <f t="shared" si="35"/>
        <v>0</v>
      </c>
      <c r="V122" s="29">
        <f t="shared" si="36"/>
        <v>14768.251326397491</v>
      </c>
      <c r="W122" s="29">
        <f t="shared" si="26"/>
        <v>14768.251326397507</v>
      </c>
      <c r="X122" s="29">
        <f t="shared" si="37"/>
        <v>14768.251326397507</v>
      </c>
      <c r="Y122">
        <f t="shared" si="38"/>
        <v>0</v>
      </c>
    </row>
    <row r="123" spans="1:25" x14ac:dyDescent="0.25">
      <c r="A123" s="8" t="s">
        <v>892</v>
      </c>
      <c r="B123" s="7" t="s">
        <v>282</v>
      </c>
      <c r="C123" s="2" t="s">
        <v>893</v>
      </c>
      <c r="D123">
        <f>VLOOKUP(B123,'Model allocations'!$A$1:$L$317,3,FALSE)</f>
        <v>140237.1369681322</v>
      </c>
      <c r="E123" s="31">
        <f>VLOOKUP(B123,'Initial adjusted formula count'!$A$1:$P$317,12,FALSE)</f>
        <v>0.134136546184739</v>
      </c>
      <c r="F123">
        <f>VLOOKUP(B123,'Model allocations'!$A$1:$L$317,8,FALSE)</f>
        <v>145150.31811353518</v>
      </c>
      <c r="G123" s="30">
        <f t="shared" si="27"/>
        <v>0.85</v>
      </c>
      <c r="H123">
        <f t="shared" si="28"/>
        <v>119201.56642291236</v>
      </c>
      <c r="I123">
        <f t="shared" si="20"/>
        <v>0</v>
      </c>
      <c r="J123">
        <f t="shared" si="21"/>
        <v>145150.31811353518</v>
      </c>
      <c r="K123">
        <f t="shared" si="22"/>
        <v>145083.79491163249</v>
      </c>
      <c r="L123">
        <f t="shared" si="29"/>
        <v>145083.79491163249</v>
      </c>
      <c r="M123">
        <f t="shared" si="23"/>
        <v>0</v>
      </c>
      <c r="N123" s="29">
        <f t="shared" si="30"/>
        <v>145083.79491163249</v>
      </c>
      <c r="O123" s="29">
        <f t="shared" si="24"/>
        <v>145076.35807193551</v>
      </c>
      <c r="P123" s="29">
        <f t="shared" si="31"/>
        <v>145076.35807193551</v>
      </c>
      <c r="Q123">
        <f t="shared" si="32"/>
        <v>0</v>
      </c>
      <c r="R123" s="29">
        <f t="shared" si="33"/>
        <v>145076.35807193551</v>
      </c>
      <c r="S123" s="29">
        <f t="shared" si="25"/>
        <v>145076.35126519881</v>
      </c>
      <c r="T123" s="29">
        <f t="shared" si="34"/>
        <v>145076.35126519881</v>
      </c>
      <c r="U123">
        <f t="shared" si="35"/>
        <v>0</v>
      </c>
      <c r="V123" s="29">
        <f t="shared" si="36"/>
        <v>145076.35126519881</v>
      </c>
      <c r="W123" s="29">
        <f t="shared" si="26"/>
        <v>145076.35126519899</v>
      </c>
      <c r="X123" s="29">
        <f t="shared" si="37"/>
        <v>145076.35126519899</v>
      </c>
      <c r="Y123">
        <f t="shared" si="38"/>
        <v>0</v>
      </c>
    </row>
    <row r="124" spans="1:25" x14ac:dyDescent="0.25">
      <c r="A124" s="4" t="s">
        <v>894</v>
      </c>
      <c r="B124" s="7" t="s">
        <v>151</v>
      </c>
      <c r="C124" s="2" t="s">
        <v>895</v>
      </c>
      <c r="D124">
        <f>VLOOKUP(B124,'Model allocations'!$A$1:$L$317,3,FALSE)</f>
        <v>500724.01052425127</v>
      </c>
      <c r="E124" s="31">
        <f>VLOOKUP(B124,'Initial adjusted formula count'!$A$1:$P$317,12,FALSE)</f>
        <v>6.5718157181571799E-2</v>
      </c>
      <c r="F124">
        <f>VLOOKUP(B124,'Model allocations'!$A$1:$L$317,8,FALSE)</f>
        <v>590162.07185084093</v>
      </c>
      <c r="G124" s="30">
        <f t="shared" si="27"/>
        <v>0.85</v>
      </c>
      <c r="H124">
        <f t="shared" si="28"/>
        <v>425615.40894561354</v>
      </c>
      <c r="I124">
        <f t="shared" si="20"/>
        <v>0</v>
      </c>
      <c r="J124">
        <f t="shared" si="21"/>
        <v>590162.07185084093</v>
      </c>
      <c r="K124">
        <f t="shared" si="22"/>
        <v>589891.59727544012</v>
      </c>
      <c r="L124">
        <f t="shared" si="29"/>
        <v>589891.59727544012</v>
      </c>
      <c r="M124">
        <f t="shared" si="23"/>
        <v>0</v>
      </c>
      <c r="N124" s="29">
        <f t="shared" si="30"/>
        <v>589891.59727544012</v>
      </c>
      <c r="O124" s="29">
        <f t="shared" si="24"/>
        <v>589861.36006493552</v>
      </c>
      <c r="P124" s="29">
        <f t="shared" si="31"/>
        <v>589861.36006493552</v>
      </c>
      <c r="Q124">
        <f t="shared" si="32"/>
        <v>0</v>
      </c>
      <c r="R124" s="29">
        <f t="shared" si="33"/>
        <v>589861.36006493552</v>
      </c>
      <c r="S124" s="29">
        <f t="shared" si="25"/>
        <v>589861.33238964074</v>
      </c>
      <c r="T124" s="29">
        <f t="shared" si="34"/>
        <v>589861.33238964074</v>
      </c>
      <c r="U124">
        <f t="shared" si="35"/>
        <v>0</v>
      </c>
      <c r="V124" s="29">
        <f t="shared" si="36"/>
        <v>589861.33238964074</v>
      </c>
      <c r="W124" s="29">
        <f t="shared" si="26"/>
        <v>589861.33238964144</v>
      </c>
      <c r="X124" s="29">
        <f t="shared" si="37"/>
        <v>589861.33238964144</v>
      </c>
      <c r="Y124">
        <f t="shared" si="38"/>
        <v>0</v>
      </c>
    </row>
    <row r="125" spans="1:25" x14ac:dyDescent="0.25">
      <c r="A125" s="4" t="s">
        <v>896</v>
      </c>
      <c r="B125" s="7" t="s">
        <v>153</v>
      </c>
      <c r="C125" s="2" t="s">
        <v>897</v>
      </c>
      <c r="D125">
        <f>VLOOKUP(B125,'Model allocations'!$A$1:$L$317,3,FALSE)</f>
        <v>1218256.3555023018</v>
      </c>
      <c r="E125" s="31">
        <f>VLOOKUP(B125,'Initial adjusted formula count'!$A$1:$P$317,12,FALSE)</f>
        <v>4.0675407452964697E-2</v>
      </c>
      <c r="F125">
        <f>VLOOKUP(B125,'Model allocations'!$A$1:$L$317,8,FALSE)</f>
        <v>1264633.0111089444</v>
      </c>
      <c r="G125" s="30">
        <f t="shared" si="27"/>
        <v>0.85</v>
      </c>
      <c r="H125">
        <f t="shared" si="28"/>
        <v>1035517.9021769565</v>
      </c>
      <c r="I125">
        <f t="shared" si="20"/>
        <v>0</v>
      </c>
      <c r="J125">
        <f t="shared" si="21"/>
        <v>1264633.0111089444</v>
      </c>
      <c r="K125">
        <f t="shared" si="22"/>
        <v>1264053.4227330857</v>
      </c>
      <c r="L125">
        <f t="shared" si="29"/>
        <v>1264053.4227330857</v>
      </c>
      <c r="M125">
        <f t="shared" si="23"/>
        <v>0</v>
      </c>
      <c r="N125" s="29">
        <f t="shared" si="30"/>
        <v>1264053.4227330857</v>
      </c>
      <c r="O125" s="29">
        <f t="shared" si="24"/>
        <v>1263988.6287105759</v>
      </c>
      <c r="P125" s="29">
        <f t="shared" si="31"/>
        <v>1263988.6287105759</v>
      </c>
      <c r="Q125">
        <f t="shared" si="32"/>
        <v>0</v>
      </c>
      <c r="R125" s="29">
        <f t="shared" si="33"/>
        <v>1263988.6287105759</v>
      </c>
      <c r="S125" s="29">
        <f t="shared" si="25"/>
        <v>1263988.569406373</v>
      </c>
      <c r="T125" s="29">
        <f t="shared" si="34"/>
        <v>1263988.569406373</v>
      </c>
      <c r="U125">
        <f t="shared" si="35"/>
        <v>0</v>
      </c>
      <c r="V125" s="29">
        <f t="shared" si="36"/>
        <v>1263988.569406373</v>
      </c>
      <c r="W125" s="29">
        <f t="shared" si="26"/>
        <v>1263988.5694063744</v>
      </c>
      <c r="X125" s="29">
        <f t="shared" si="37"/>
        <v>1263988.5694063744</v>
      </c>
      <c r="Y125">
        <f t="shared" si="38"/>
        <v>0</v>
      </c>
    </row>
    <row r="126" spans="1:25" x14ac:dyDescent="0.25">
      <c r="A126" s="4" t="s">
        <v>898</v>
      </c>
      <c r="B126" s="7" t="s">
        <v>155</v>
      </c>
      <c r="C126" s="2" t="s">
        <v>899</v>
      </c>
      <c r="D126">
        <f>VLOOKUP(B126,'Model allocations'!$A$1:$L$317,3,FALSE)</f>
        <v>307145.14047621604</v>
      </c>
      <c r="E126" s="31">
        <f>VLOOKUP(B126,'Initial adjusted formula count'!$A$1:$P$317,12,FALSE)</f>
        <v>0.126596543951916</v>
      </c>
      <c r="F126">
        <f>VLOOKUP(B126,'Model allocations'!$A$1:$L$317,8,FALSE)</f>
        <v>292908.12697162497</v>
      </c>
      <c r="G126" s="30">
        <f t="shared" si="27"/>
        <v>0.85</v>
      </c>
      <c r="H126">
        <f t="shared" si="28"/>
        <v>261073.36940478362</v>
      </c>
      <c r="I126">
        <f t="shared" si="20"/>
        <v>0</v>
      </c>
      <c r="J126">
        <f t="shared" si="21"/>
        <v>292908.12697162497</v>
      </c>
      <c r="K126">
        <f t="shared" si="22"/>
        <v>292773.8855402405</v>
      </c>
      <c r="L126">
        <f t="shared" si="29"/>
        <v>292773.8855402405</v>
      </c>
      <c r="M126">
        <f t="shared" si="23"/>
        <v>0</v>
      </c>
      <c r="N126" s="29">
        <f t="shared" si="30"/>
        <v>292773.8855402405</v>
      </c>
      <c r="O126" s="29">
        <f t="shared" si="24"/>
        <v>292758.87826492381</v>
      </c>
      <c r="P126" s="29">
        <f t="shared" si="31"/>
        <v>292758.87826492381</v>
      </c>
      <c r="Q126">
        <f t="shared" si="32"/>
        <v>0</v>
      </c>
      <c r="R126" s="29">
        <f t="shared" si="33"/>
        <v>292758.87826492381</v>
      </c>
      <c r="S126" s="29">
        <f t="shared" si="25"/>
        <v>292758.8645291737</v>
      </c>
      <c r="T126" s="29">
        <f t="shared" si="34"/>
        <v>292758.8645291737</v>
      </c>
      <c r="U126">
        <f t="shared" si="35"/>
        <v>0</v>
      </c>
      <c r="V126" s="29">
        <f t="shared" si="36"/>
        <v>292758.8645291737</v>
      </c>
      <c r="W126" s="29">
        <f t="shared" si="26"/>
        <v>292758.86452917405</v>
      </c>
      <c r="X126" s="29">
        <f t="shared" si="37"/>
        <v>292758.86452917405</v>
      </c>
      <c r="Y126">
        <f t="shared" si="38"/>
        <v>0</v>
      </c>
    </row>
    <row r="127" spans="1:25" x14ac:dyDescent="0.25">
      <c r="A127" s="4" t="s">
        <v>900</v>
      </c>
      <c r="B127" s="7" t="s">
        <v>157</v>
      </c>
      <c r="C127" s="2" t="s">
        <v>901</v>
      </c>
      <c r="D127">
        <f>VLOOKUP(B127,'Model allocations'!$A$1:$L$317,3,FALSE)</f>
        <v>0</v>
      </c>
      <c r="E127" s="31">
        <f>VLOOKUP(B127,'Initial adjusted formula count'!$A$1:$P$317,12,FALSE)</f>
        <v>0.35714285714285698</v>
      </c>
      <c r="F127">
        <f>VLOOKUP(B127,'Model allocations'!$A$1:$L$317,8,FALSE)</f>
        <v>8691.6358151817476</v>
      </c>
      <c r="G127" s="30">
        <f t="shared" si="27"/>
        <v>0.95</v>
      </c>
      <c r="H127">
        <f t="shared" si="28"/>
        <v>0</v>
      </c>
      <c r="I127">
        <f t="shared" si="20"/>
        <v>0</v>
      </c>
      <c r="J127">
        <f t="shared" si="21"/>
        <v>8691.6358151817476</v>
      </c>
      <c r="K127">
        <f t="shared" si="22"/>
        <v>8687.6523899181138</v>
      </c>
      <c r="L127">
        <f t="shared" si="29"/>
        <v>8687.6523899181138</v>
      </c>
      <c r="M127">
        <f t="shared" si="23"/>
        <v>0</v>
      </c>
      <c r="N127" s="29">
        <f t="shared" si="30"/>
        <v>8687.6523899181138</v>
      </c>
      <c r="O127" s="29">
        <f t="shared" si="24"/>
        <v>8687.2070701757784</v>
      </c>
      <c r="P127" s="29">
        <f t="shared" si="31"/>
        <v>8687.2070701757784</v>
      </c>
      <c r="Q127">
        <f t="shared" si="32"/>
        <v>0</v>
      </c>
      <c r="R127" s="29">
        <f t="shared" si="33"/>
        <v>8687.2070701757784</v>
      </c>
      <c r="S127" s="29">
        <f t="shared" si="25"/>
        <v>8687.2066625867537</v>
      </c>
      <c r="T127" s="29">
        <f t="shared" si="34"/>
        <v>8687.2066625867537</v>
      </c>
      <c r="U127">
        <f t="shared" si="35"/>
        <v>0</v>
      </c>
      <c r="V127" s="29">
        <f t="shared" si="36"/>
        <v>8687.2066625867537</v>
      </c>
      <c r="W127" s="29">
        <f t="shared" si="26"/>
        <v>8687.2066625867628</v>
      </c>
      <c r="X127" s="29">
        <f t="shared" si="37"/>
        <v>8687.2066625867628</v>
      </c>
      <c r="Y127">
        <f t="shared" si="38"/>
        <v>0</v>
      </c>
    </row>
    <row r="128" spans="1:25" x14ac:dyDescent="0.25">
      <c r="A128" s="4" t="s">
        <v>902</v>
      </c>
      <c r="B128" s="7" t="s">
        <v>159</v>
      </c>
      <c r="C128" s="2" t="s">
        <v>903</v>
      </c>
      <c r="D128">
        <f>VLOOKUP(B128,'Model allocations'!$A$1:$L$317,3,FALSE)</f>
        <v>66246.9910831054</v>
      </c>
      <c r="E128" s="31">
        <f>VLOOKUP(B128,'Initial adjusted formula count'!$A$1:$P$317,12,FALSE)</f>
        <v>4.4417767106842698E-2</v>
      </c>
      <c r="F128">
        <f>VLOOKUP(B128,'Model allocations'!$A$1:$L$317,8,FALSE)</f>
        <v>56309.942420639585</v>
      </c>
      <c r="G128" s="30">
        <f t="shared" si="27"/>
        <v>0.85</v>
      </c>
      <c r="H128">
        <f t="shared" si="28"/>
        <v>56309.942420639585</v>
      </c>
      <c r="I128">
        <f t="shared" si="20"/>
        <v>0</v>
      </c>
      <c r="J128">
        <f t="shared" si="21"/>
        <v>56309.942420639585</v>
      </c>
      <c r="K128">
        <f t="shared" si="22"/>
        <v>56284.135259363873</v>
      </c>
      <c r="L128">
        <f t="shared" si="29"/>
        <v>56284.135259363873</v>
      </c>
      <c r="M128">
        <f t="shared" si="23"/>
        <v>56309.942420639585</v>
      </c>
      <c r="N128" s="29">
        <f t="shared" si="30"/>
        <v>0</v>
      </c>
      <c r="O128" s="29">
        <f t="shared" si="24"/>
        <v>0</v>
      </c>
      <c r="P128" s="29">
        <f t="shared" si="31"/>
        <v>56309.942420639585</v>
      </c>
      <c r="Q128">
        <f t="shared" si="32"/>
        <v>0</v>
      </c>
      <c r="R128" s="29">
        <f t="shared" si="33"/>
        <v>0</v>
      </c>
      <c r="S128" s="29">
        <f t="shared" si="25"/>
        <v>0</v>
      </c>
      <c r="T128" s="29">
        <f t="shared" si="34"/>
        <v>56309.942420639585</v>
      </c>
      <c r="U128">
        <f t="shared" si="35"/>
        <v>0</v>
      </c>
      <c r="V128" s="29">
        <f t="shared" si="36"/>
        <v>0</v>
      </c>
      <c r="W128" s="29">
        <f t="shared" si="26"/>
        <v>0</v>
      </c>
      <c r="X128" s="29">
        <f t="shared" si="37"/>
        <v>56309.942420639585</v>
      </c>
      <c r="Y128">
        <f t="shared" si="38"/>
        <v>0</v>
      </c>
    </row>
    <row r="129" spans="1:25" x14ac:dyDescent="0.25">
      <c r="A129" s="4" t="s">
        <v>904</v>
      </c>
      <c r="B129" s="7" t="s">
        <v>447</v>
      </c>
      <c r="C129" s="2" t="s">
        <v>905</v>
      </c>
      <c r="D129">
        <f>VLOOKUP(B129,'Model allocations'!$A$1:$L$317,3,FALSE)</f>
        <v>69688.393217292716</v>
      </c>
      <c r="E129" s="31">
        <f>VLOOKUP(B129,'Initial adjusted formula count'!$A$1:$P$317,12,FALSE)</f>
        <v>0.16943521594684399</v>
      </c>
      <c r="F129">
        <f>VLOOKUP(B129,'Model allocations'!$A$1:$L$317,8,FALSE)</f>
        <v>62719.553895563447</v>
      </c>
      <c r="G129" s="30">
        <f t="shared" si="27"/>
        <v>0.9</v>
      </c>
      <c r="H129">
        <f t="shared" si="28"/>
        <v>62719.553895563447</v>
      </c>
      <c r="I129">
        <f t="shared" si="20"/>
        <v>0</v>
      </c>
      <c r="J129">
        <f t="shared" si="21"/>
        <v>62719.553895563447</v>
      </c>
      <c r="K129">
        <f t="shared" si="22"/>
        <v>62690.809173531365</v>
      </c>
      <c r="L129">
        <f t="shared" si="29"/>
        <v>62690.809173531365</v>
      </c>
      <c r="M129">
        <f t="shared" si="23"/>
        <v>62719.553895563447</v>
      </c>
      <c r="N129" s="29">
        <f t="shared" si="30"/>
        <v>0</v>
      </c>
      <c r="O129" s="29">
        <f t="shared" si="24"/>
        <v>0</v>
      </c>
      <c r="P129" s="29">
        <f t="shared" si="31"/>
        <v>62719.553895563447</v>
      </c>
      <c r="Q129">
        <f t="shared" si="32"/>
        <v>0</v>
      </c>
      <c r="R129" s="29">
        <f t="shared" si="33"/>
        <v>0</v>
      </c>
      <c r="S129" s="29">
        <f t="shared" si="25"/>
        <v>0</v>
      </c>
      <c r="T129" s="29">
        <f t="shared" si="34"/>
        <v>62719.553895563447</v>
      </c>
      <c r="U129">
        <f t="shared" si="35"/>
        <v>0</v>
      </c>
      <c r="V129" s="29">
        <f t="shared" si="36"/>
        <v>0</v>
      </c>
      <c r="W129" s="29">
        <f t="shared" si="26"/>
        <v>0</v>
      </c>
      <c r="X129" s="29">
        <f t="shared" si="37"/>
        <v>62719.553895563447</v>
      </c>
      <c r="Y129">
        <f t="shared" si="38"/>
        <v>0</v>
      </c>
    </row>
    <row r="130" spans="1:25" x14ac:dyDescent="0.25">
      <c r="A130" s="4" t="s">
        <v>906</v>
      </c>
      <c r="B130" s="7" t="s">
        <v>449</v>
      </c>
      <c r="C130" s="2" t="s">
        <v>907</v>
      </c>
      <c r="D130">
        <f>VLOOKUP(B130,'Model allocations'!$A$1:$L$317,3,FALSE)</f>
        <v>1164054.2718888524</v>
      </c>
      <c r="E130" s="31">
        <f>VLOOKUP(B130,'Initial adjusted formula count'!$A$1:$P$317,12,FALSE)</f>
        <v>0.18549378500204899</v>
      </c>
      <c r="F130">
        <f>VLOOKUP(B130,'Model allocations'!$A$1:$L$317,8,FALSE)</f>
        <v>1180324.1437016819</v>
      </c>
      <c r="G130" s="30">
        <f t="shared" si="27"/>
        <v>0.9</v>
      </c>
      <c r="H130">
        <f t="shared" si="28"/>
        <v>1047648.8446999672</v>
      </c>
      <c r="I130">
        <f t="shared" si="20"/>
        <v>0</v>
      </c>
      <c r="J130">
        <f t="shared" si="21"/>
        <v>1180324.1437016819</v>
      </c>
      <c r="K130">
        <f t="shared" si="22"/>
        <v>1179783.1945508802</v>
      </c>
      <c r="L130">
        <f t="shared" si="29"/>
        <v>1179783.1945508802</v>
      </c>
      <c r="M130">
        <f t="shared" si="23"/>
        <v>0</v>
      </c>
      <c r="N130" s="29">
        <f t="shared" si="30"/>
        <v>1179783.1945508802</v>
      </c>
      <c r="O130" s="29">
        <f t="shared" si="24"/>
        <v>1179722.720129871</v>
      </c>
      <c r="P130" s="29">
        <f t="shared" si="31"/>
        <v>1179722.720129871</v>
      </c>
      <c r="Q130">
        <f t="shared" si="32"/>
        <v>0</v>
      </c>
      <c r="R130" s="29">
        <f t="shared" si="33"/>
        <v>1179722.720129871</v>
      </c>
      <c r="S130" s="29">
        <f t="shared" si="25"/>
        <v>1179722.6647792815</v>
      </c>
      <c r="T130" s="29">
        <f t="shared" si="34"/>
        <v>1179722.6647792815</v>
      </c>
      <c r="U130">
        <f t="shared" si="35"/>
        <v>0</v>
      </c>
      <c r="V130" s="29">
        <f t="shared" si="36"/>
        <v>1179722.6647792815</v>
      </c>
      <c r="W130" s="29">
        <f t="shared" si="26"/>
        <v>1179722.6647792829</v>
      </c>
      <c r="X130" s="29">
        <f t="shared" si="37"/>
        <v>1179722.6647792829</v>
      </c>
      <c r="Y130">
        <f t="shared" si="38"/>
        <v>0</v>
      </c>
    </row>
    <row r="131" spans="1:25" x14ac:dyDescent="0.25">
      <c r="A131" s="4" t="s">
        <v>908</v>
      </c>
      <c r="B131" s="7" t="s">
        <v>451</v>
      </c>
      <c r="C131" s="2" t="s">
        <v>909</v>
      </c>
      <c r="D131">
        <f>VLOOKUP(B131,'Model allocations'!$A$1:$L$317,3,FALSE)</f>
        <v>49039.980412168938</v>
      </c>
      <c r="E131" s="31">
        <f>VLOOKUP(B131,'Initial adjusted formula count'!$A$1:$P$317,12,FALSE)</f>
        <v>0.249027237354086</v>
      </c>
      <c r="F131">
        <f>VLOOKUP(B131,'Model allocations'!$A$1:$L$317,8,FALSE)</f>
        <v>55626.469217163227</v>
      </c>
      <c r="G131" s="30">
        <f t="shared" si="27"/>
        <v>0.9</v>
      </c>
      <c r="H131">
        <f t="shared" si="28"/>
        <v>44135.982370952042</v>
      </c>
      <c r="I131">
        <f t="shared" si="20"/>
        <v>0</v>
      </c>
      <c r="J131">
        <f t="shared" si="21"/>
        <v>55626.469217163227</v>
      </c>
      <c r="K131">
        <f t="shared" si="22"/>
        <v>55600.975295475968</v>
      </c>
      <c r="L131">
        <f t="shared" si="29"/>
        <v>55600.975295475968</v>
      </c>
      <c r="M131">
        <f t="shared" si="23"/>
        <v>0</v>
      </c>
      <c r="N131" s="29">
        <f t="shared" si="30"/>
        <v>55600.975295475968</v>
      </c>
      <c r="O131" s="29">
        <f t="shared" si="24"/>
        <v>55598.125249125027</v>
      </c>
      <c r="P131" s="29">
        <f t="shared" si="31"/>
        <v>55598.125249125027</v>
      </c>
      <c r="Q131">
        <f t="shared" si="32"/>
        <v>0</v>
      </c>
      <c r="R131" s="29">
        <f t="shared" si="33"/>
        <v>55598.125249125027</v>
      </c>
      <c r="S131" s="29">
        <f t="shared" si="25"/>
        <v>55598.122640555273</v>
      </c>
      <c r="T131" s="29">
        <f t="shared" si="34"/>
        <v>55598.122640555273</v>
      </c>
      <c r="U131">
        <f t="shared" si="35"/>
        <v>0</v>
      </c>
      <c r="V131" s="29">
        <f t="shared" si="36"/>
        <v>55598.122640555273</v>
      </c>
      <c r="W131" s="29">
        <f t="shared" si="26"/>
        <v>55598.122640555332</v>
      </c>
      <c r="X131" s="29">
        <f t="shared" si="37"/>
        <v>55598.122640555332</v>
      </c>
      <c r="Y131">
        <f t="shared" si="38"/>
        <v>0</v>
      </c>
    </row>
    <row r="132" spans="1:25" x14ac:dyDescent="0.25">
      <c r="A132" s="4" t="s">
        <v>910</v>
      </c>
      <c r="B132" s="7" t="s">
        <v>453</v>
      </c>
      <c r="C132" s="2" t="s">
        <v>911</v>
      </c>
      <c r="D132">
        <f>VLOOKUP(B132,'Model allocations'!$A$1:$L$317,3,FALSE)</f>
        <v>41446.1971079047</v>
      </c>
      <c r="E132" s="31">
        <f>VLOOKUP(B132,'Initial adjusted formula count'!$A$1:$P$317,12,FALSE)</f>
        <v>0.17499999999999999</v>
      </c>
      <c r="F132">
        <f>VLOOKUP(B132,'Model allocations'!$A$1:$L$317,8,FALSE)</f>
        <v>42589.015494390573</v>
      </c>
      <c r="G132" s="30">
        <f t="shared" si="27"/>
        <v>0.9</v>
      </c>
      <c r="H132">
        <f t="shared" si="28"/>
        <v>37301.577397114233</v>
      </c>
      <c r="I132">
        <f t="shared" ref="I132:I195" si="39">IF(F132&lt;H132,H132,0)</f>
        <v>0</v>
      </c>
      <c r="J132">
        <f t="shared" ref="J132:J195" si="40">IF(I132=0,F132,0)</f>
        <v>42589.015494390573</v>
      </c>
      <c r="K132">
        <f t="shared" ref="K132:K195" si="41">(J132/$J$3)*($F$3-$I$3)</f>
        <v>42569.496710598767</v>
      </c>
      <c r="L132">
        <f t="shared" si="29"/>
        <v>42569.496710598767</v>
      </c>
      <c r="M132">
        <f t="shared" ref="M132:M195" si="42">IF(L132&lt;H132,H132,0)</f>
        <v>0</v>
      </c>
      <c r="N132" s="29">
        <f t="shared" si="30"/>
        <v>42569.496710598767</v>
      </c>
      <c r="O132" s="29">
        <f t="shared" ref="O132:O195" si="43">((N132/$N$3)*($F$3-$I$3-$M$3))</f>
        <v>42567.314643861326</v>
      </c>
      <c r="P132" s="29">
        <f t="shared" si="31"/>
        <v>42567.314643861326</v>
      </c>
      <c r="Q132">
        <f t="shared" si="32"/>
        <v>0</v>
      </c>
      <c r="R132" s="29">
        <f t="shared" si="33"/>
        <v>42567.314643861326</v>
      </c>
      <c r="S132" s="29">
        <f t="shared" ref="S132:S195" si="44">((R132/$R$3)*($F$3-$I$3-$M$3-$Q$3))</f>
        <v>42567.312646675105</v>
      </c>
      <c r="T132" s="29">
        <f t="shared" si="34"/>
        <v>42567.312646675105</v>
      </c>
      <c r="U132">
        <f t="shared" si="35"/>
        <v>0</v>
      </c>
      <c r="V132" s="29">
        <f t="shared" si="36"/>
        <v>42567.312646675105</v>
      </c>
      <c r="W132" s="29">
        <f t="shared" ref="W132:W195" si="45">((V132/$V$3)*($F$3-$I$3-$M$3-$Q$3-$U$3))</f>
        <v>42567.312646675156</v>
      </c>
      <c r="X132" s="29">
        <f t="shared" si="37"/>
        <v>42567.312646675156</v>
      </c>
      <c r="Y132">
        <f t="shared" si="38"/>
        <v>0</v>
      </c>
    </row>
    <row r="133" spans="1:25" x14ac:dyDescent="0.25">
      <c r="A133" s="4" t="s">
        <v>29</v>
      </c>
      <c r="B133" s="7" t="s">
        <v>76</v>
      </c>
      <c r="C133" s="2" t="s">
        <v>912</v>
      </c>
      <c r="D133">
        <f>VLOOKUP(B133,'Model allocations'!$A$1:$L$317,3,FALSE)</f>
        <v>0</v>
      </c>
      <c r="E133" s="31">
        <f>VLOOKUP(B133,'Initial adjusted formula count'!$A$1:$P$317,12,FALSE)</f>
        <v>0.203123422714581</v>
      </c>
      <c r="F133">
        <f>VLOOKUP(B133,'Model allocations'!$A$1:$L$317,8,FALSE)</f>
        <v>0</v>
      </c>
      <c r="G133" s="30">
        <f t="shared" ref="G133:G196" si="46">IF(E133&lt;0.15,0.85,IF(AND(E133&gt;=0.15,E133&lt;0.3),0.9,0.95))</f>
        <v>0.9</v>
      </c>
      <c r="H133">
        <f t="shared" ref="H133:H196" si="47">IF(F133 = 0, 0, D133*G133)</f>
        <v>0</v>
      </c>
      <c r="I133">
        <f t="shared" si="39"/>
        <v>0</v>
      </c>
      <c r="J133">
        <f t="shared" si="40"/>
        <v>0</v>
      </c>
      <c r="K133">
        <f t="shared" si="41"/>
        <v>0</v>
      </c>
      <c r="L133">
        <f t="shared" ref="L133:L196" si="48">I133+K133</f>
        <v>0</v>
      </c>
      <c r="M133">
        <f t="shared" si="42"/>
        <v>0</v>
      </c>
      <c r="N133" s="29">
        <f t="shared" ref="N133:N196" si="49">IF($I133+$M133=0,L133,0)</f>
        <v>0</v>
      </c>
      <c r="O133" s="29">
        <f t="shared" si="43"/>
        <v>0</v>
      </c>
      <c r="P133" s="29">
        <f t="shared" ref="P133:P196" si="50">$I133+$M133+O133</f>
        <v>0</v>
      </c>
      <c r="Q133">
        <f t="shared" ref="Q133:Q196" si="51">IF(P133&lt;H133,H133,0)</f>
        <v>0</v>
      </c>
      <c r="R133" s="29">
        <f t="shared" ref="R133:R196" si="52">IF($I133+$M133+$Q133=0,P133,0)</f>
        <v>0</v>
      </c>
      <c r="S133" s="29">
        <f t="shared" si="44"/>
        <v>0</v>
      </c>
      <c r="T133" s="29">
        <f t="shared" ref="T133:T196" si="53">$I133+$M133+$Q133+S133</f>
        <v>0</v>
      </c>
      <c r="U133">
        <f t="shared" ref="U133:U196" si="54">IF(T133&lt;H133,H133,0)</f>
        <v>0</v>
      </c>
      <c r="V133" s="29">
        <f t="shared" ref="V133:V196" si="55">IF($I133+$M133+$Q133+U133=0,T133,0)</f>
        <v>0</v>
      </c>
      <c r="W133" s="29">
        <f t="shared" si="45"/>
        <v>0</v>
      </c>
      <c r="X133" s="29">
        <f t="shared" ref="X133:X196" si="56">$I133+$M133+$Q133+$U133+W133</f>
        <v>0</v>
      </c>
      <c r="Y133">
        <f t="shared" ref="Y133:Y196" si="57">IF(X133&lt;H133,H133,0)</f>
        <v>0</v>
      </c>
    </row>
    <row r="134" spans="1:25" x14ac:dyDescent="0.25">
      <c r="A134" s="4" t="s">
        <v>913</v>
      </c>
      <c r="B134" s="7" t="s">
        <v>455</v>
      </c>
      <c r="C134" s="2" t="s">
        <v>914</v>
      </c>
      <c r="D134">
        <f>VLOOKUP(B134,'Model allocations'!$A$1:$L$317,3,FALSE)</f>
        <v>71623.720276266133</v>
      </c>
      <c r="E134" s="31">
        <f>VLOOKUP(B134,'Initial adjusted formula count'!$A$1:$P$317,12,FALSE)</f>
        <v>0.21531100478468901</v>
      </c>
      <c r="F134">
        <f>VLOOKUP(B134,'Model allocations'!$A$1:$L$317,8,FALSE)</f>
        <v>78224.722336635765</v>
      </c>
      <c r="G134" s="30">
        <f t="shared" si="46"/>
        <v>0.9</v>
      </c>
      <c r="H134">
        <f t="shared" si="47"/>
        <v>64461.348248639522</v>
      </c>
      <c r="I134">
        <f t="shared" si="39"/>
        <v>0</v>
      </c>
      <c r="J134">
        <f t="shared" si="40"/>
        <v>78224.722336635765</v>
      </c>
      <c r="K134">
        <f t="shared" si="41"/>
        <v>78188.871509263045</v>
      </c>
      <c r="L134">
        <f t="shared" si="48"/>
        <v>78188.871509263045</v>
      </c>
      <c r="M134">
        <f t="shared" si="42"/>
        <v>0</v>
      </c>
      <c r="N134" s="29">
        <f t="shared" si="49"/>
        <v>78188.871509263045</v>
      </c>
      <c r="O134" s="29">
        <f t="shared" si="43"/>
        <v>78184.863631582033</v>
      </c>
      <c r="P134" s="29">
        <f t="shared" si="50"/>
        <v>78184.863631582033</v>
      </c>
      <c r="Q134">
        <f t="shared" si="51"/>
        <v>0</v>
      </c>
      <c r="R134" s="29">
        <f t="shared" si="52"/>
        <v>78184.863631582033</v>
      </c>
      <c r="S134" s="29">
        <f t="shared" si="44"/>
        <v>78184.859963280818</v>
      </c>
      <c r="T134" s="29">
        <f t="shared" si="53"/>
        <v>78184.859963280818</v>
      </c>
      <c r="U134">
        <f t="shared" si="54"/>
        <v>0</v>
      </c>
      <c r="V134" s="29">
        <f t="shared" si="55"/>
        <v>78184.859963280818</v>
      </c>
      <c r="W134" s="29">
        <f t="shared" si="45"/>
        <v>78184.859963280906</v>
      </c>
      <c r="X134" s="29">
        <f t="shared" si="56"/>
        <v>78184.859963280906</v>
      </c>
      <c r="Y134">
        <f t="shared" si="57"/>
        <v>0</v>
      </c>
    </row>
    <row r="135" spans="1:25" x14ac:dyDescent="0.25">
      <c r="A135" s="4" t="s">
        <v>915</v>
      </c>
      <c r="B135" s="7" t="s">
        <v>161</v>
      </c>
      <c r="C135" s="2" t="s">
        <v>916</v>
      </c>
      <c r="D135">
        <f>VLOOKUP(B135,'Model allocations'!$A$1:$L$317,3,FALSE)</f>
        <v>288426.75180354732</v>
      </c>
      <c r="E135" s="31">
        <f>VLOOKUP(B135,'Initial adjusted formula count'!$A$1:$P$317,12,FALSE)</f>
        <v>7.9761631904652797E-2</v>
      </c>
      <c r="F135">
        <f>VLOOKUP(B135,'Model allocations'!$A$1:$L$317,8,FALSE)</f>
        <v>302468.92636832502</v>
      </c>
      <c r="G135" s="30">
        <f t="shared" si="46"/>
        <v>0.85</v>
      </c>
      <c r="H135">
        <f t="shared" si="47"/>
        <v>245162.73903301521</v>
      </c>
      <c r="I135">
        <f t="shared" si="39"/>
        <v>0</v>
      </c>
      <c r="J135">
        <f t="shared" si="40"/>
        <v>302468.92636832502</v>
      </c>
      <c r="K135">
        <f t="shared" si="41"/>
        <v>302330.30316915055</v>
      </c>
      <c r="L135">
        <f t="shared" si="48"/>
        <v>302330.30316915055</v>
      </c>
      <c r="M135">
        <f t="shared" si="42"/>
        <v>0</v>
      </c>
      <c r="N135" s="29">
        <f t="shared" si="49"/>
        <v>302330.30316915055</v>
      </c>
      <c r="O135" s="29">
        <f t="shared" si="43"/>
        <v>302314.80604211724</v>
      </c>
      <c r="P135" s="29">
        <f t="shared" si="50"/>
        <v>302314.80604211724</v>
      </c>
      <c r="Q135">
        <f t="shared" si="51"/>
        <v>0</v>
      </c>
      <c r="R135" s="29">
        <f t="shared" si="52"/>
        <v>302314.80604211724</v>
      </c>
      <c r="S135" s="29">
        <f t="shared" si="44"/>
        <v>302314.79185801919</v>
      </c>
      <c r="T135" s="29">
        <f t="shared" si="53"/>
        <v>302314.79185801919</v>
      </c>
      <c r="U135">
        <f t="shared" si="54"/>
        <v>0</v>
      </c>
      <c r="V135" s="29">
        <f t="shared" si="55"/>
        <v>302314.79185801919</v>
      </c>
      <c r="W135" s="29">
        <f t="shared" si="45"/>
        <v>302314.79185801954</v>
      </c>
      <c r="X135" s="29">
        <f t="shared" si="56"/>
        <v>302314.79185801954</v>
      </c>
      <c r="Y135">
        <f t="shared" si="57"/>
        <v>0</v>
      </c>
    </row>
    <row r="136" spans="1:25" x14ac:dyDescent="0.25">
      <c r="A136" s="4" t="s">
        <v>917</v>
      </c>
      <c r="B136" s="7" t="s">
        <v>457</v>
      </c>
      <c r="C136" s="2" t="s">
        <v>918</v>
      </c>
      <c r="D136">
        <f>VLOOKUP(B136,'Model allocations'!$A$1:$L$317,3,FALSE)</f>
        <v>164326.95190744323</v>
      </c>
      <c r="E136" s="31">
        <f>VLOOKUP(B136,'Initial adjusted formula count'!$A$1:$P$317,12,FALSE)</f>
        <v>0.15584415584415601</v>
      </c>
      <c r="F136">
        <f>VLOOKUP(B136,'Model allocations'!$A$1:$L$317,8,FALSE)</f>
        <v>147894.2567166989</v>
      </c>
      <c r="G136" s="30">
        <f t="shared" si="46"/>
        <v>0.9</v>
      </c>
      <c r="H136">
        <f t="shared" si="47"/>
        <v>147894.2567166989</v>
      </c>
      <c r="I136">
        <f t="shared" si="39"/>
        <v>0</v>
      </c>
      <c r="J136">
        <f t="shared" si="40"/>
        <v>147894.2567166989</v>
      </c>
      <c r="K136">
        <f t="shared" si="41"/>
        <v>147826.47595240106</v>
      </c>
      <c r="L136">
        <f t="shared" si="48"/>
        <v>147826.47595240106</v>
      </c>
      <c r="M136">
        <f t="shared" si="42"/>
        <v>147894.2567166989</v>
      </c>
      <c r="N136" s="29">
        <f t="shared" si="49"/>
        <v>0</v>
      </c>
      <c r="O136" s="29">
        <f t="shared" si="43"/>
        <v>0</v>
      </c>
      <c r="P136" s="29">
        <f t="shared" si="50"/>
        <v>147894.2567166989</v>
      </c>
      <c r="Q136">
        <f t="shared" si="51"/>
        <v>0</v>
      </c>
      <c r="R136" s="29">
        <f t="shared" si="52"/>
        <v>0</v>
      </c>
      <c r="S136" s="29">
        <f t="shared" si="44"/>
        <v>0</v>
      </c>
      <c r="T136" s="29">
        <f t="shared" si="53"/>
        <v>147894.2567166989</v>
      </c>
      <c r="U136">
        <f t="shared" si="54"/>
        <v>0</v>
      </c>
      <c r="V136" s="29">
        <f t="shared" si="55"/>
        <v>0</v>
      </c>
      <c r="W136" s="29">
        <f t="shared" si="45"/>
        <v>0</v>
      </c>
      <c r="X136" s="29">
        <f t="shared" si="56"/>
        <v>147894.2567166989</v>
      </c>
      <c r="Y136">
        <f t="shared" si="57"/>
        <v>0</v>
      </c>
    </row>
    <row r="137" spans="1:25" x14ac:dyDescent="0.25">
      <c r="A137" s="4" t="s">
        <v>919</v>
      </c>
      <c r="B137" s="7" t="s">
        <v>459</v>
      </c>
      <c r="C137" s="2" t="s">
        <v>920</v>
      </c>
      <c r="D137">
        <f>VLOOKUP(B137,'Model allocations'!$A$1:$L$317,3,FALSE)</f>
        <v>19632.409156375907</v>
      </c>
      <c r="E137" s="31">
        <f>VLOOKUP(B137,'Initial adjusted formula count'!$A$1:$P$317,12,FALSE)</f>
        <v>0.127906976744186</v>
      </c>
      <c r="F137">
        <f>VLOOKUP(B137,'Model allocations'!$A$1:$L$317,8,FALSE)</f>
        <v>16687.547782919519</v>
      </c>
      <c r="G137" s="30">
        <f t="shared" si="46"/>
        <v>0.85</v>
      </c>
      <c r="H137">
        <f t="shared" si="47"/>
        <v>16687.547782919519</v>
      </c>
      <c r="I137">
        <f t="shared" si="39"/>
        <v>0</v>
      </c>
      <c r="J137">
        <f t="shared" si="40"/>
        <v>16687.547782919519</v>
      </c>
      <c r="K137">
        <f t="shared" si="41"/>
        <v>16679.899786519291</v>
      </c>
      <c r="L137">
        <f t="shared" si="48"/>
        <v>16679.899786519291</v>
      </c>
      <c r="M137">
        <f t="shared" si="42"/>
        <v>16687.547782919519</v>
      </c>
      <c r="N137" s="29">
        <f t="shared" si="49"/>
        <v>0</v>
      </c>
      <c r="O137" s="29">
        <f t="shared" si="43"/>
        <v>0</v>
      </c>
      <c r="P137" s="29">
        <f t="shared" si="50"/>
        <v>16687.547782919519</v>
      </c>
      <c r="Q137">
        <f t="shared" si="51"/>
        <v>0</v>
      </c>
      <c r="R137" s="29">
        <f t="shared" si="52"/>
        <v>0</v>
      </c>
      <c r="S137" s="29">
        <f t="shared" si="44"/>
        <v>0</v>
      </c>
      <c r="T137" s="29">
        <f t="shared" si="53"/>
        <v>16687.547782919519</v>
      </c>
      <c r="U137">
        <f t="shared" si="54"/>
        <v>0</v>
      </c>
      <c r="V137" s="29">
        <f t="shared" si="55"/>
        <v>0</v>
      </c>
      <c r="W137" s="29">
        <f t="shared" si="45"/>
        <v>0</v>
      </c>
      <c r="X137" s="29">
        <f t="shared" si="56"/>
        <v>16687.547782919519</v>
      </c>
      <c r="Y137">
        <f t="shared" si="57"/>
        <v>0</v>
      </c>
    </row>
    <row r="138" spans="1:25" x14ac:dyDescent="0.25">
      <c r="A138" s="4" t="s">
        <v>921</v>
      </c>
      <c r="B138" s="7" t="s">
        <v>284</v>
      </c>
      <c r="C138" s="2" t="s">
        <v>922</v>
      </c>
      <c r="D138">
        <f>VLOOKUP(B138,'Model allocations'!$A$1:$L$317,3,FALSE)</f>
        <v>103242.06402561882</v>
      </c>
      <c r="E138" s="31">
        <f>VLOOKUP(B138,'Initial adjusted formula count'!$A$1:$P$317,12,FALSE)</f>
        <v>0.169381107491857</v>
      </c>
      <c r="F138">
        <f>VLOOKUP(B138,'Model allocations'!$A$1:$L$317,8,FALSE)</f>
        <v>92917.857623056945</v>
      </c>
      <c r="G138" s="30">
        <f t="shared" si="46"/>
        <v>0.9</v>
      </c>
      <c r="H138">
        <f t="shared" si="47"/>
        <v>92917.857623056945</v>
      </c>
      <c r="I138">
        <f t="shared" si="39"/>
        <v>0</v>
      </c>
      <c r="J138">
        <f t="shared" si="40"/>
        <v>92917.857623056945</v>
      </c>
      <c r="K138">
        <f t="shared" si="41"/>
        <v>92875.272849676083</v>
      </c>
      <c r="L138">
        <f t="shared" si="48"/>
        <v>92875.272849676083</v>
      </c>
      <c r="M138">
        <f t="shared" si="42"/>
        <v>92917.857623056945</v>
      </c>
      <c r="N138" s="29">
        <f t="shared" si="49"/>
        <v>0</v>
      </c>
      <c r="O138" s="29">
        <f t="shared" si="43"/>
        <v>0</v>
      </c>
      <c r="P138" s="29">
        <f t="shared" si="50"/>
        <v>92917.857623056945</v>
      </c>
      <c r="Q138">
        <f t="shared" si="51"/>
        <v>0</v>
      </c>
      <c r="R138" s="29">
        <f t="shared" si="52"/>
        <v>0</v>
      </c>
      <c r="S138" s="29">
        <f t="shared" si="44"/>
        <v>0</v>
      </c>
      <c r="T138" s="29">
        <f t="shared" si="53"/>
        <v>92917.857623056945</v>
      </c>
      <c r="U138">
        <f t="shared" si="54"/>
        <v>0</v>
      </c>
      <c r="V138" s="29">
        <f t="shared" si="55"/>
        <v>0</v>
      </c>
      <c r="W138" s="29">
        <f t="shared" si="45"/>
        <v>0</v>
      </c>
      <c r="X138" s="29">
        <f t="shared" si="56"/>
        <v>92917.857623056945</v>
      </c>
      <c r="Y138">
        <f t="shared" si="57"/>
        <v>0</v>
      </c>
    </row>
    <row r="139" spans="1:25" x14ac:dyDescent="0.25">
      <c r="A139" s="4" t="s">
        <v>923</v>
      </c>
      <c r="B139" s="7" t="s">
        <v>461</v>
      </c>
      <c r="C139" s="2" t="s">
        <v>924</v>
      </c>
      <c r="D139">
        <f>VLOOKUP(B139,'Model allocations'!$A$1:$L$317,3,FALSE)</f>
        <v>41368.872918188186</v>
      </c>
      <c r="E139" s="31">
        <f>VLOOKUP(B139,'Initial adjusted formula count'!$A$1:$P$317,12,FALSE)</f>
        <v>0.120192307692308</v>
      </c>
      <c r="F139">
        <f>VLOOKUP(B139,'Model allocations'!$A$1:$L$317,8,FALSE)</f>
        <v>35163.541980459959</v>
      </c>
      <c r="G139" s="30">
        <f t="shared" si="46"/>
        <v>0.85</v>
      </c>
      <c r="H139">
        <f t="shared" si="47"/>
        <v>35163.541980459959</v>
      </c>
      <c r="I139">
        <f t="shared" si="39"/>
        <v>0</v>
      </c>
      <c r="J139">
        <f t="shared" si="40"/>
        <v>35163.541980459959</v>
      </c>
      <c r="K139">
        <f t="shared" si="41"/>
        <v>35147.426332673705</v>
      </c>
      <c r="L139">
        <f t="shared" si="48"/>
        <v>35147.426332673705</v>
      </c>
      <c r="M139">
        <f t="shared" si="42"/>
        <v>35163.541980459959</v>
      </c>
      <c r="N139" s="29">
        <f t="shared" si="49"/>
        <v>0</v>
      </c>
      <c r="O139" s="29">
        <f t="shared" si="43"/>
        <v>0</v>
      </c>
      <c r="P139" s="29">
        <f t="shared" si="50"/>
        <v>35163.541980459959</v>
      </c>
      <c r="Q139">
        <f t="shared" si="51"/>
        <v>0</v>
      </c>
      <c r="R139" s="29">
        <f t="shared" si="52"/>
        <v>0</v>
      </c>
      <c r="S139" s="29">
        <f t="shared" si="44"/>
        <v>0</v>
      </c>
      <c r="T139" s="29">
        <f t="shared" si="53"/>
        <v>35163.541980459959</v>
      </c>
      <c r="U139">
        <f t="shared" si="54"/>
        <v>0</v>
      </c>
      <c r="V139" s="29">
        <f t="shared" si="55"/>
        <v>0</v>
      </c>
      <c r="W139" s="29">
        <f t="shared" si="45"/>
        <v>0</v>
      </c>
      <c r="X139" s="29">
        <f t="shared" si="56"/>
        <v>35163.541980459959</v>
      </c>
      <c r="Y139">
        <f t="shared" si="57"/>
        <v>0</v>
      </c>
    </row>
    <row r="140" spans="1:25" x14ac:dyDescent="0.25">
      <c r="A140" s="4" t="s">
        <v>925</v>
      </c>
      <c r="B140" s="7" t="s">
        <v>463</v>
      </c>
      <c r="C140" s="2" t="s">
        <v>926</v>
      </c>
      <c r="D140">
        <f>VLOOKUP(B140,'Model allocations'!$A$1:$L$317,3,FALSE)</f>
        <v>125611.17789783623</v>
      </c>
      <c r="E140" s="31">
        <f>VLOOKUP(B140,'Initial adjusted formula count'!$A$1:$P$317,12,FALSE)</f>
        <v>0.19565217391304399</v>
      </c>
      <c r="F140">
        <f>VLOOKUP(B140,'Model allocations'!$A$1:$L$317,8,FALSE)</f>
        <v>113050.06010805261</v>
      </c>
      <c r="G140" s="30">
        <f t="shared" si="46"/>
        <v>0.9</v>
      </c>
      <c r="H140">
        <f t="shared" si="47"/>
        <v>113050.06010805261</v>
      </c>
      <c r="I140">
        <f t="shared" si="39"/>
        <v>0</v>
      </c>
      <c r="J140">
        <f t="shared" si="40"/>
        <v>113050.06010805261</v>
      </c>
      <c r="K140">
        <f t="shared" si="41"/>
        <v>112998.24863377257</v>
      </c>
      <c r="L140">
        <f t="shared" si="48"/>
        <v>112998.24863377257</v>
      </c>
      <c r="M140">
        <f t="shared" si="42"/>
        <v>113050.06010805261</v>
      </c>
      <c r="N140" s="29">
        <f t="shared" si="49"/>
        <v>0</v>
      </c>
      <c r="O140" s="29">
        <f t="shared" si="43"/>
        <v>0</v>
      </c>
      <c r="P140" s="29">
        <f t="shared" si="50"/>
        <v>113050.06010805261</v>
      </c>
      <c r="Q140">
        <f t="shared" si="51"/>
        <v>0</v>
      </c>
      <c r="R140" s="29">
        <f t="shared" si="52"/>
        <v>0</v>
      </c>
      <c r="S140" s="29">
        <f t="shared" si="44"/>
        <v>0</v>
      </c>
      <c r="T140" s="29">
        <f t="shared" si="53"/>
        <v>113050.06010805261</v>
      </c>
      <c r="U140">
        <f t="shared" si="54"/>
        <v>0</v>
      </c>
      <c r="V140" s="29">
        <f t="shared" si="55"/>
        <v>0</v>
      </c>
      <c r="W140" s="29">
        <f t="shared" si="45"/>
        <v>0</v>
      </c>
      <c r="X140" s="29">
        <f t="shared" si="56"/>
        <v>113050.06010805261</v>
      </c>
      <c r="Y140">
        <f t="shared" si="57"/>
        <v>0</v>
      </c>
    </row>
    <row r="141" spans="1:25" x14ac:dyDescent="0.25">
      <c r="A141" s="4" t="s">
        <v>927</v>
      </c>
      <c r="B141" s="7" t="s">
        <v>163</v>
      </c>
      <c r="C141" s="2" t="s">
        <v>928</v>
      </c>
      <c r="D141">
        <f>VLOOKUP(B141,'Model allocations'!$A$1:$L$317,3,FALSE)</f>
        <v>1294827.5529879692</v>
      </c>
      <c r="E141" s="31">
        <f>VLOOKUP(B141,'Initial adjusted formula count'!$A$1:$P$317,12,FALSE)</f>
        <v>0.11435580880025301</v>
      </c>
      <c r="F141">
        <f>VLOOKUP(B141,'Model allocations'!$A$1:$L$317,8,FALSE)</f>
        <v>1255941.3752937629</v>
      </c>
      <c r="G141" s="30">
        <f t="shared" si="46"/>
        <v>0.85</v>
      </c>
      <c r="H141">
        <f t="shared" si="47"/>
        <v>1100603.4200397739</v>
      </c>
      <c r="I141">
        <f t="shared" si="39"/>
        <v>0</v>
      </c>
      <c r="J141">
        <f t="shared" si="40"/>
        <v>1255941.3752937629</v>
      </c>
      <c r="K141">
        <f t="shared" si="41"/>
        <v>1255365.7703431677</v>
      </c>
      <c r="L141">
        <f t="shared" si="48"/>
        <v>1255365.7703431677</v>
      </c>
      <c r="M141">
        <f t="shared" si="42"/>
        <v>0</v>
      </c>
      <c r="N141" s="29">
        <f t="shared" si="49"/>
        <v>1255365.7703431677</v>
      </c>
      <c r="O141" s="29">
        <f t="shared" si="43"/>
        <v>1255301.4216404003</v>
      </c>
      <c r="P141" s="29">
        <f t="shared" si="50"/>
        <v>1255301.4216404003</v>
      </c>
      <c r="Q141">
        <f t="shared" si="51"/>
        <v>0</v>
      </c>
      <c r="R141" s="29">
        <f t="shared" si="52"/>
        <v>1255301.4216404003</v>
      </c>
      <c r="S141" s="29">
        <f t="shared" si="44"/>
        <v>1255301.3627437863</v>
      </c>
      <c r="T141" s="29">
        <f t="shared" si="53"/>
        <v>1255301.3627437863</v>
      </c>
      <c r="U141">
        <f t="shared" si="54"/>
        <v>0</v>
      </c>
      <c r="V141" s="29">
        <f t="shared" si="55"/>
        <v>1255301.3627437863</v>
      </c>
      <c r="W141" s="29">
        <f t="shared" si="45"/>
        <v>1255301.3627437877</v>
      </c>
      <c r="X141" s="29">
        <f t="shared" si="56"/>
        <v>1255301.3627437877</v>
      </c>
      <c r="Y141">
        <f t="shared" si="57"/>
        <v>0</v>
      </c>
    </row>
    <row r="142" spans="1:25" x14ac:dyDescent="0.25">
      <c r="A142" s="4" t="s">
        <v>929</v>
      </c>
      <c r="B142" s="7" t="s">
        <v>465</v>
      </c>
      <c r="C142" s="2" t="s">
        <v>930</v>
      </c>
      <c r="D142">
        <f>VLOOKUP(B142,'Model allocations'!$A$1:$L$317,3,FALSE)</f>
        <v>64526.290016011735</v>
      </c>
      <c r="E142" s="31">
        <f>VLOOKUP(B142,'Initial adjusted formula count'!$A$1:$P$317,12,FALSE)</f>
        <v>8.2024432809773104E-2</v>
      </c>
      <c r="F142">
        <f>VLOOKUP(B142,'Model allocations'!$A$1:$L$317,8,FALSE)</f>
        <v>54847.346513609977</v>
      </c>
      <c r="G142" s="30">
        <f t="shared" si="46"/>
        <v>0.85</v>
      </c>
      <c r="H142">
        <f t="shared" si="47"/>
        <v>54847.346513609977</v>
      </c>
      <c r="I142">
        <f t="shared" si="39"/>
        <v>0</v>
      </c>
      <c r="J142">
        <f t="shared" si="40"/>
        <v>54847.346513609977</v>
      </c>
      <c r="K142">
        <f t="shared" si="41"/>
        <v>54822.209668211552</v>
      </c>
      <c r="L142">
        <f t="shared" si="48"/>
        <v>54822.209668211552</v>
      </c>
      <c r="M142">
        <f t="shared" si="42"/>
        <v>54847.346513609977</v>
      </c>
      <c r="N142" s="29">
        <f t="shared" si="49"/>
        <v>0</v>
      </c>
      <c r="O142" s="29">
        <f t="shared" si="43"/>
        <v>0</v>
      </c>
      <c r="P142" s="29">
        <f t="shared" si="50"/>
        <v>54847.346513609977</v>
      </c>
      <c r="Q142">
        <f t="shared" si="51"/>
        <v>0</v>
      </c>
      <c r="R142" s="29">
        <f t="shared" si="52"/>
        <v>0</v>
      </c>
      <c r="S142" s="29">
        <f t="shared" si="44"/>
        <v>0</v>
      </c>
      <c r="T142" s="29">
        <f t="shared" si="53"/>
        <v>54847.346513609977</v>
      </c>
      <c r="U142">
        <f t="shared" si="54"/>
        <v>0</v>
      </c>
      <c r="V142" s="29">
        <f t="shared" si="55"/>
        <v>0</v>
      </c>
      <c r="W142" s="29">
        <f t="shared" si="45"/>
        <v>0</v>
      </c>
      <c r="X142" s="29">
        <f t="shared" si="56"/>
        <v>54847.346513609977</v>
      </c>
      <c r="Y142">
        <f t="shared" si="57"/>
        <v>0</v>
      </c>
    </row>
    <row r="143" spans="1:25" x14ac:dyDescent="0.25">
      <c r="A143" s="4" t="s">
        <v>931</v>
      </c>
      <c r="B143" s="7" t="s">
        <v>165</v>
      </c>
      <c r="C143" s="2" t="s">
        <v>932</v>
      </c>
      <c r="D143">
        <f>VLOOKUP(B143,'Model allocations'!$A$1:$L$317,3,FALSE)</f>
        <v>887881.75062032172</v>
      </c>
      <c r="E143" s="31">
        <f>VLOOKUP(B143,'Initial adjusted formula count'!$A$1:$P$317,12,FALSE)</f>
        <v>7.3859881031064098E-2</v>
      </c>
      <c r="F143">
        <f>VLOOKUP(B143,'Model allocations'!$A$1:$L$317,8,FALSE)</f>
        <v>777032.24187724851</v>
      </c>
      <c r="G143" s="30">
        <f t="shared" si="46"/>
        <v>0.85</v>
      </c>
      <c r="H143">
        <f t="shared" si="47"/>
        <v>754699.48802727344</v>
      </c>
      <c r="I143">
        <f t="shared" si="39"/>
        <v>0</v>
      </c>
      <c r="J143">
        <f t="shared" si="40"/>
        <v>777032.24187724851</v>
      </c>
      <c r="K143">
        <f t="shared" si="41"/>
        <v>776676.12365867954</v>
      </c>
      <c r="L143">
        <f t="shared" si="48"/>
        <v>776676.12365867954</v>
      </c>
      <c r="M143">
        <f t="shared" si="42"/>
        <v>0</v>
      </c>
      <c r="N143" s="29">
        <f t="shared" si="49"/>
        <v>776676.12365867954</v>
      </c>
      <c r="O143" s="29">
        <f t="shared" si="43"/>
        <v>776636.31207371468</v>
      </c>
      <c r="P143" s="29">
        <f t="shared" si="50"/>
        <v>776636.31207371468</v>
      </c>
      <c r="Q143">
        <f t="shared" si="51"/>
        <v>0</v>
      </c>
      <c r="R143" s="29">
        <f t="shared" si="52"/>
        <v>776636.31207371468</v>
      </c>
      <c r="S143" s="29">
        <f t="shared" si="44"/>
        <v>776636.27563525597</v>
      </c>
      <c r="T143" s="29">
        <f t="shared" si="53"/>
        <v>776636.27563525597</v>
      </c>
      <c r="U143">
        <f t="shared" si="54"/>
        <v>0</v>
      </c>
      <c r="V143" s="29">
        <f t="shared" si="55"/>
        <v>776636.27563525597</v>
      </c>
      <c r="W143" s="29">
        <f t="shared" si="45"/>
        <v>776636.2756352569</v>
      </c>
      <c r="X143" s="29">
        <f t="shared" si="56"/>
        <v>776636.2756352569</v>
      </c>
      <c r="Y143">
        <f t="shared" si="57"/>
        <v>0</v>
      </c>
    </row>
    <row r="144" spans="1:25" x14ac:dyDescent="0.25">
      <c r="A144" s="4" t="s">
        <v>933</v>
      </c>
      <c r="B144" s="7" t="s">
        <v>167</v>
      </c>
      <c r="C144" s="2" t="s">
        <v>934</v>
      </c>
      <c r="D144">
        <f>VLOOKUP(B144,'Model allocations'!$A$1:$L$317,3,FALSE)</f>
        <v>180673.61204483293</v>
      </c>
      <c r="E144" s="31">
        <f>VLOOKUP(B144,'Initial adjusted formula count'!$A$1:$P$317,12,FALSE)</f>
        <v>9.5369349503858905E-2</v>
      </c>
      <c r="F144">
        <f>VLOOKUP(B144,'Model allocations'!$A$1:$L$317,8,FALSE)</f>
        <v>153572.57023810799</v>
      </c>
      <c r="G144" s="30">
        <f t="shared" si="46"/>
        <v>0.85</v>
      </c>
      <c r="H144">
        <f t="shared" si="47"/>
        <v>153572.57023810799</v>
      </c>
      <c r="I144">
        <f t="shared" si="39"/>
        <v>0</v>
      </c>
      <c r="J144">
        <f t="shared" si="40"/>
        <v>153572.57023810799</v>
      </c>
      <c r="K144">
        <f t="shared" si="41"/>
        <v>153502.18707099243</v>
      </c>
      <c r="L144">
        <f t="shared" si="48"/>
        <v>153502.18707099243</v>
      </c>
      <c r="M144">
        <f t="shared" si="42"/>
        <v>153572.57023810799</v>
      </c>
      <c r="N144" s="29">
        <f t="shared" si="49"/>
        <v>0</v>
      </c>
      <c r="O144" s="29">
        <f t="shared" si="43"/>
        <v>0</v>
      </c>
      <c r="P144" s="29">
        <f t="shared" si="50"/>
        <v>153572.57023810799</v>
      </c>
      <c r="Q144">
        <f t="shared" si="51"/>
        <v>0</v>
      </c>
      <c r="R144" s="29">
        <f t="shared" si="52"/>
        <v>0</v>
      </c>
      <c r="S144" s="29">
        <f t="shared" si="44"/>
        <v>0</v>
      </c>
      <c r="T144" s="29">
        <f t="shared" si="53"/>
        <v>153572.57023810799</v>
      </c>
      <c r="U144">
        <f t="shared" si="54"/>
        <v>0</v>
      </c>
      <c r="V144" s="29">
        <f t="shared" si="55"/>
        <v>0</v>
      </c>
      <c r="W144" s="29">
        <f t="shared" si="45"/>
        <v>0</v>
      </c>
      <c r="X144" s="29">
        <f t="shared" si="56"/>
        <v>153572.57023810799</v>
      </c>
      <c r="Y144">
        <f t="shared" si="57"/>
        <v>0</v>
      </c>
    </row>
    <row r="145" spans="1:25" x14ac:dyDescent="0.25">
      <c r="A145" s="4" t="s">
        <v>935</v>
      </c>
      <c r="B145" s="7" t="s">
        <v>169</v>
      </c>
      <c r="C145" s="2" t="s">
        <v>936</v>
      </c>
      <c r="D145">
        <f>VLOOKUP(B145,'Model allocations'!$A$1:$L$317,3,FALSE)</f>
        <v>126358.38650441123</v>
      </c>
      <c r="E145" s="31">
        <f>VLOOKUP(B145,'Initial adjusted formula count'!$A$1:$P$317,12,FALSE)</f>
        <v>3.10204081632653E-2</v>
      </c>
      <c r="F145">
        <f>VLOOKUP(B145,'Model allocations'!$A$1:$L$317,8,FALSE)</f>
        <v>132112.86439076255</v>
      </c>
      <c r="G145" s="30">
        <f t="shared" si="46"/>
        <v>0.85</v>
      </c>
      <c r="H145">
        <f t="shared" si="47"/>
        <v>107404.62852874954</v>
      </c>
      <c r="I145">
        <f t="shared" si="39"/>
        <v>0</v>
      </c>
      <c r="J145">
        <f t="shared" si="40"/>
        <v>132112.86439076255</v>
      </c>
      <c r="K145">
        <f t="shared" si="41"/>
        <v>132052.3163267553</v>
      </c>
      <c r="L145">
        <f t="shared" si="48"/>
        <v>132052.3163267553</v>
      </c>
      <c r="M145">
        <f t="shared" si="42"/>
        <v>0</v>
      </c>
      <c r="N145" s="29">
        <f t="shared" si="49"/>
        <v>132052.3163267553</v>
      </c>
      <c r="O145" s="29">
        <f t="shared" si="43"/>
        <v>132045.54746667182</v>
      </c>
      <c r="P145" s="29">
        <f t="shared" si="50"/>
        <v>132045.54746667182</v>
      </c>
      <c r="Q145">
        <f t="shared" si="51"/>
        <v>0</v>
      </c>
      <c r="R145" s="29">
        <f t="shared" si="52"/>
        <v>132045.54746667182</v>
      </c>
      <c r="S145" s="29">
        <f t="shared" si="44"/>
        <v>132045.54127131865</v>
      </c>
      <c r="T145" s="29">
        <f t="shared" si="53"/>
        <v>132045.54127131865</v>
      </c>
      <c r="U145">
        <f t="shared" si="54"/>
        <v>0</v>
      </c>
      <c r="V145" s="29">
        <f t="shared" si="55"/>
        <v>132045.54127131865</v>
      </c>
      <c r="W145" s="29">
        <f t="shared" si="45"/>
        <v>132045.5412713188</v>
      </c>
      <c r="X145" s="29">
        <f t="shared" si="56"/>
        <v>132045.5412713188</v>
      </c>
      <c r="Y145">
        <f t="shared" si="57"/>
        <v>0</v>
      </c>
    </row>
    <row r="146" spans="1:25" x14ac:dyDescent="0.25">
      <c r="A146" s="4" t="s">
        <v>937</v>
      </c>
      <c r="B146" s="7" t="s">
        <v>171</v>
      </c>
      <c r="C146" s="2" t="s">
        <v>938</v>
      </c>
      <c r="D146">
        <f>VLOOKUP(B146,'Model allocations'!$A$1:$L$317,3,FALSE)</f>
        <v>178952.91097773926</v>
      </c>
      <c r="E146" s="31">
        <f>VLOOKUP(B146,'Initial adjusted formula count'!$A$1:$P$317,12,FALSE)</f>
        <v>0.12638970157987101</v>
      </c>
      <c r="F146">
        <f>VLOOKUP(B146,'Model allocations'!$A$1:$L$317,8,FALSE)</f>
        <v>187739.33360792574</v>
      </c>
      <c r="G146" s="30">
        <f t="shared" si="46"/>
        <v>0.85</v>
      </c>
      <c r="H146">
        <f t="shared" si="47"/>
        <v>152109.97433107835</v>
      </c>
      <c r="I146">
        <f t="shared" si="39"/>
        <v>0</v>
      </c>
      <c r="J146">
        <f t="shared" si="40"/>
        <v>187739.33360792574</v>
      </c>
      <c r="K146">
        <f t="shared" si="41"/>
        <v>187653.29162223125</v>
      </c>
      <c r="L146">
        <f t="shared" si="48"/>
        <v>187653.29162223125</v>
      </c>
      <c r="M146">
        <f t="shared" si="42"/>
        <v>0</v>
      </c>
      <c r="N146" s="29">
        <f t="shared" si="49"/>
        <v>187653.29162223125</v>
      </c>
      <c r="O146" s="29">
        <f t="shared" si="43"/>
        <v>187643.6727157968</v>
      </c>
      <c r="P146" s="29">
        <f t="shared" si="50"/>
        <v>187643.6727157968</v>
      </c>
      <c r="Q146">
        <f t="shared" si="51"/>
        <v>0</v>
      </c>
      <c r="R146" s="29">
        <f t="shared" si="52"/>
        <v>187643.6727157968</v>
      </c>
      <c r="S146" s="29">
        <f t="shared" si="44"/>
        <v>187643.66391187388</v>
      </c>
      <c r="T146" s="29">
        <f t="shared" si="53"/>
        <v>187643.66391187388</v>
      </c>
      <c r="U146">
        <f t="shared" si="54"/>
        <v>0</v>
      </c>
      <c r="V146" s="29">
        <f t="shared" si="55"/>
        <v>187643.66391187388</v>
      </c>
      <c r="W146" s="29">
        <f t="shared" si="45"/>
        <v>187643.66391187409</v>
      </c>
      <c r="X146" s="29">
        <f t="shared" si="56"/>
        <v>187643.66391187409</v>
      </c>
      <c r="Y146">
        <f t="shared" si="57"/>
        <v>0</v>
      </c>
    </row>
    <row r="147" spans="1:25" x14ac:dyDescent="0.25">
      <c r="A147" s="4" t="s">
        <v>939</v>
      </c>
      <c r="B147" s="7" t="s">
        <v>467</v>
      </c>
      <c r="C147" s="2" t="s">
        <v>940</v>
      </c>
      <c r="D147">
        <f>VLOOKUP(B147,'Model allocations'!$A$1:$L$317,3,FALSE)</f>
        <v>71150.931113684783</v>
      </c>
      <c r="E147" s="31">
        <f>VLOOKUP(B147,'Initial adjusted formula count'!$A$1:$P$317,12,FALSE)</f>
        <v>0.154121863799283</v>
      </c>
      <c r="F147">
        <f>VLOOKUP(B147,'Model allocations'!$A$1:$L$317,8,FALSE)</f>
        <v>112122.1020158446</v>
      </c>
      <c r="G147" s="30">
        <f t="shared" si="46"/>
        <v>0.9</v>
      </c>
      <c r="H147">
        <f t="shared" si="47"/>
        <v>64035.838002316304</v>
      </c>
      <c r="I147">
        <f t="shared" si="39"/>
        <v>0</v>
      </c>
      <c r="J147">
        <f t="shared" si="40"/>
        <v>112122.1020158446</v>
      </c>
      <c r="K147">
        <f t="shared" si="41"/>
        <v>112070.71582994373</v>
      </c>
      <c r="L147">
        <f t="shared" si="48"/>
        <v>112070.71582994373</v>
      </c>
      <c r="M147">
        <f t="shared" si="42"/>
        <v>0</v>
      </c>
      <c r="N147" s="29">
        <f t="shared" si="49"/>
        <v>112070.71582994373</v>
      </c>
      <c r="O147" s="29">
        <f t="shared" si="43"/>
        <v>112064.9712052676</v>
      </c>
      <c r="P147" s="29">
        <f t="shared" si="50"/>
        <v>112064.9712052676</v>
      </c>
      <c r="Q147">
        <f t="shared" si="51"/>
        <v>0</v>
      </c>
      <c r="R147" s="29">
        <f t="shared" si="52"/>
        <v>112064.9712052676</v>
      </c>
      <c r="S147" s="29">
        <f t="shared" si="44"/>
        <v>112064.96594736919</v>
      </c>
      <c r="T147" s="29">
        <f t="shared" si="53"/>
        <v>112064.96594736919</v>
      </c>
      <c r="U147">
        <f t="shared" si="54"/>
        <v>0</v>
      </c>
      <c r="V147" s="29">
        <f t="shared" si="55"/>
        <v>112064.96594736919</v>
      </c>
      <c r="W147" s="29">
        <f t="shared" si="45"/>
        <v>112064.9659473693</v>
      </c>
      <c r="X147" s="29">
        <f t="shared" si="56"/>
        <v>112064.9659473693</v>
      </c>
      <c r="Y147">
        <f t="shared" si="57"/>
        <v>0</v>
      </c>
    </row>
    <row r="148" spans="1:25" x14ac:dyDescent="0.25">
      <c r="A148" s="4" t="s">
        <v>941</v>
      </c>
      <c r="B148" s="7" t="s">
        <v>469</v>
      </c>
      <c r="C148" s="2" t="s">
        <v>942</v>
      </c>
      <c r="D148">
        <f>VLOOKUP(B148,'Model allocations'!$A$1:$L$317,3,FALSE)</f>
        <v>15486.309603842823</v>
      </c>
      <c r="E148" s="31">
        <f>VLOOKUP(B148,'Initial adjusted formula count'!$A$1:$P$317,12,FALSE)</f>
        <v>0.17808219178082199</v>
      </c>
      <c r="F148">
        <f>VLOOKUP(B148,'Model allocations'!$A$1:$L$317,8,FALSE)</f>
        <v>13937.678643458541</v>
      </c>
      <c r="G148" s="30">
        <f t="shared" si="46"/>
        <v>0.9</v>
      </c>
      <c r="H148">
        <f t="shared" si="47"/>
        <v>13937.678643458541</v>
      </c>
      <c r="I148">
        <f t="shared" si="39"/>
        <v>0</v>
      </c>
      <c r="J148">
        <f t="shared" si="40"/>
        <v>13937.678643458541</v>
      </c>
      <c r="K148">
        <f t="shared" si="41"/>
        <v>13931.290927451411</v>
      </c>
      <c r="L148">
        <f t="shared" si="48"/>
        <v>13931.290927451411</v>
      </c>
      <c r="M148">
        <f t="shared" si="42"/>
        <v>13937.678643458541</v>
      </c>
      <c r="N148" s="29">
        <f t="shared" si="49"/>
        <v>0</v>
      </c>
      <c r="O148" s="29">
        <f t="shared" si="43"/>
        <v>0</v>
      </c>
      <c r="P148" s="29">
        <f t="shared" si="50"/>
        <v>13937.678643458541</v>
      </c>
      <c r="Q148">
        <f t="shared" si="51"/>
        <v>0</v>
      </c>
      <c r="R148" s="29">
        <f t="shared" si="52"/>
        <v>0</v>
      </c>
      <c r="S148" s="29">
        <f t="shared" si="44"/>
        <v>0</v>
      </c>
      <c r="T148" s="29">
        <f t="shared" si="53"/>
        <v>13937.678643458541</v>
      </c>
      <c r="U148">
        <f t="shared" si="54"/>
        <v>0</v>
      </c>
      <c r="V148" s="29">
        <f t="shared" si="55"/>
        <v>0</v>
      </c>
      <c r="W148" s="29">
        <f t="shared" si="45"/>
        <v>0</v>
      </c>
      <c r="X148" s="29">
        <f t="shared" si="56"/>
        <v>13937.678643458541</v>
      </c>
      <c r="Y148">
        <f t="shared" si="57"/>
        <v>0</v>
      </c>
    </row>
    <row r="149" spans="1:25" x14ac:dyDescent="0.25">
      <c r="A149" s="4" t="s">
        <v>943</v>
      </c>
      <c r="B149" s="7" t="s">
        <v>173</v>
      </c>
      <c r="C149" s="2" t="s">
        <v>944</v>
      </c>
      <c r="D149">
        <f>VLOOKUP(B149,'Model allocations'!$A$1:$L$317,3,FALSE)</f>
        <v>374252.48209286825</v>
      </c>
      <c r="E149" s="31">
        <f>VLOOKUP(B149,'Initial adjusted formula count'!$A$1:$P$317,12,FALSE)</f>
        <v>6.9145758661887699E-2</v>
      </c>
      <c r="F149">
        <f>VLOOKUP(B149,'Model allocations'!$A$1:$L$317,8,FALSE)</f>
        <v>402422.73824291507</v>
      </c>
      <c r="G149" s="30">
        <f t="shared" si="46"/>
        <v>0.85</v>
      </c>
      <c r="H149">
        <f t="shared" si="47"/>
        <v>318114.609778938</v>
      </c>
      <c r="I149">
        <f t="shared" si="39"/>
        <v>0</v>
      </c>
      <c r="J149">
        <f t="shared" si="40"/>
        <v>402422.73824291507</v>
      </c>
      <c r="K149">
        <f t="shared" si="41"/>
        <v>402238.30565320881</v>
      </c>
      <c r="L149">
        <f t="shared" si="48"/>
        <v>402238.30565320881</v>
      </c>
      <c r="M149">
        <f t="shared" si="42"/>
        <v>0</v>
      </c>
      <c r="N149" s="29">
        <f t="shared" si="49"/>
        <v>402238.30565320881</v>
      </c>
      <c r="O149" s="29">
        <f t="shared" si="43"/>
        <v>402217.68734913867</v>
      </c>
      <c r="P149" s="29">
        <f t="shared" si="50"/>
        <v>402217.68734913867</v>
      </c>
      <c r="Q149">
        <f t="shared" si="51"/>
        <v>0</v>
      </c>
      <c r="R149" s="29">
        <f t="shared" si="52"/>
        <v>402217.68734913867</v>
      </c>
      <c r="S149" s="29">
        <f t="shared" si="44"/>
        <v>402217.66847776686</v>
      </c>
      <c r="T149" s="29">
        <f t="shared" si="53"/>
        <v>402217.66847776686</v>
      </c>
      <c r="U149">
        <f t="shared" si="54"/>
        <v>0</v>
      </c>
      <c r="V149" s="29">
        <f t="shared" si="55"/>
        <v>402217.66847776686</v>
      </c>
      <c r="W149" s="29">
        <f t="shared" si="45"/>
        <v>402217.66847776732</v>
      </c>
      <c r="X149" s="29">
        <f t="shared" si="56"/>
        <v>402217.66847776732</v>
      </c>
      <c r="Y149">
        <f t="shared" si="57"/>
        <v>0</v>
      </c>
    </row>
    <row r="150" spans="1:25" x14ac:dyDescent="0.25">
      <c r="A150" s="4" t="s">
        <v>945</v>
      </c>
      <c r="B150" s="7" t="s">
        <v>471</v>
      </c>
      <c r="C150" s="2" t="s">
        <v>946</v>
      </c>
      <c r="D150">
        <f>VLOOKUP(B150,'Model allocations'!$A$1:$L$317,3,FALSE)</f>
        <v>183254.6636454734</v>
      </c>
      <c r="E150" s="31">
        <f>VLOOKUP(B150,'Initial adjusted formula count'!$A$1:$P$317,12,FALSE)</f>
        <v>9.1997008227374694E-2</v>
      </c>
      <c r="F150">
        <f>VLOOKUP(B150,'Model allocations'!$A$1:$L$317,8,FALSE)</f>
        <v>155766.46409865239</v>
      </c>
      <c r="G150" s="30">
        <f t="shared" si="46"/>
        <v>0.85</v>
      </c>
      <c r="H150">
        <f t="shared" si="47"/>
        <v>155766.46409865239</v>
      </c>
      <c r="I150">
        <f t="shared" si="39"/>
        <v>0</v>
      </c>
      <c r="J150">
        <f t="shared" si="40"/>
        <v>155766.46409865239</v>
      </c>
      <c r="K150">
        <f t="shared" si="41"/>
        <v>155695.07545772087</v>
      </c>
      <c r="L150">
        <f t="shared" si="48"/>
        <v>155695.07545772087</v>
      </c>
      <c r="M150">
        <f t="shared" si="42"/>
        <v>155766.46409865239</v>
      </c>
      <c r="N150" s="29">
        <f t="shared" si="49"/>
        <v>0</v>
      </c>
      <c r="O150" s="29">
        <f t="shared" si="43"/>
        <v>0</v>
      </c>
      <c r="P150" s="29">
        <f t="shared" si="50"/>
        <v>155766.46409865239</v>
      </c>
      <c r="Q150">
        <f t="shared" si="51"/>
        <v>0</v>
      </c>
      <c r="R150" s="29">
        <f t="shared" si="52"/>
        <v>0</v>
      </c>
      <c r="S150" s="29">
        <f t="shared" si="44"/>
        <v>0</v>
      </c>
      <c r="T150" s="29">
        <f t="shared" si="53"/>
        <v>155766.46409865239</v>
      </c>
      <c r="U150">
        <f t="shared" si="54"/>
        <v>0</v>
      </c>
      <c r="V150" s="29">
        <f t="shared" si="55"/>
        <v>0</v>
      </c>
      <c r="W150" s="29">
        <f t="shared" si="45"/>
        <v>0</v>
      </c>
      <c r="X150" s="29">
        <f t="shared" si="56"/>
        <v>155766.46409865239</v>
      </c>
      <c r="Y150">
        <f t="shared" si="57"/>
        <v>0</v>
      </c>
    </row>
    <row r="151" spans="1:25" x14ac:dyDescent="0.25">
      <c r="A151" s="4" t="s">
        <v>947</v>
      </c>
      <c r="B151" s="7" t="s">
        <v>473</v>
      </c>
      <c r="C151" s="2" t="s">
        <v>948</v>
      </c>
      <c r="D151">
        <f>VLOOKUP(B151,'Model allocations'!$A$1:$L$317,3,FALSE)</f>
        <v>45324.203854843152</v>
      </c>
      <c r="E151" s="31">
        <f>VLOOKUP(B151,'Initial adjusted formula count'!$A$1:$P$317,12,FALSE)</f>
        <v>0.12759643916913899</v>
      </c>
      <c r="F151">
        <f>VLOOKUP(B151,'Model allocations'!$A$1:$L$317,8,FALSE)</f>
        <v>38525.573276616677</v>
      </c>
      <c r="G151" s="30">
        <f t="shared" si="46"/>
        <v>0.85</v>
      </c>
      <c r="H151">
        <f t="shared" si="47"/>
        <v>38525.573276616677</v>
      </c>
      <c r="I151">
        <f t="shared" si="39"/>
        <v>0</v>
      </c>
      <c r="J151">
        <f t="shared" si="40"/>
        <v>38525.573276616677</v>
      </c>
      <c r="K151">
        <f t="shared" si="41"/>
        <v>38507.916791100106</v>
      </c>
      <c r="L151">
        <f t="shared" si="48"/>
        <v>38507.916791100106</v>
      </c>
      <c r="M151">
        <f t="shared" si="42"/>
        <v>38525.573276616677</v>
      </c>
      <c r="N151" s="29">
        <f t="shared" si="49"/>
        <v>0</v>
      </c>
      <c r="O151" s="29">
        <f t="shared" si="43"/>
        <v>0</v>
      </c>
      <c r="P151" s="29">
        <f t="shared" si="50"/>
        <v>38525.573276616677</v>
      </c>
      <c r="Q151">
        <f t="shared" si="51"/>
        <v>0</v>
      </c>
      <c r="R151" s="29">
        <f t="shared" si="52"/>
        <v>0</v>
      </c>
      <c r="S151" s="29">
        <f t="shared" si="44"/>
        <v>0</v>
      </c>
      <c r="T151" s="29">
        <f t="shared" si="53"/>
        <v>38525.573276616677</v>
      </c>
      <c r="U151">
        <f t="shared" si="54"/>
        <v>0</v>
      </c>
      <c r="V151" s="29">
        <f t="shared" si="55"/>
        <v>0</v>
      </c>
      <c r="W151" s="29">
        <f t="shared" si="45"/>
        <v>0</v>
      </c>
      <c r="X151" s="29">
        <f t="shared" si="56"/>
        <v>38525.573276616677</v>
      </c>
      <c r="Y151">
        <f t="shared" si="57"/>
        <v>0</v>
      </c>
    </row>
    <row r="152" spans="1:25" x14ac:dyDescent="0.25">
      <c r="A152" s="4" t="s">
        <v>949</v>
      </c>
      <c r="B152" s="7" t="s">
        <v>475</v>
      </c>
      <c r="C152" s="2" t="s">
        <v>950</v>
      </c>
      <c r="D152">
        <f>VLOOKUP(B152,'Model allocations'!$A$1:$L$317,3,FALSE)</f>
        <v>1185563.0352275227</v>
      </c>
      <c r="E152" s="31">
        <f>VLOOKUP(B152,'Initial adjusted formula count'!$A$1:$P$317,12,FALSE)</f>
        <v>0.16728091728091701</v>
      </c>
      <c r="F152">
        <f>VLOOKUP(B152,'Model allocations'!$A$1:$L$317,8,FALSE)</f>
        <v>1420213.2922006983</v>
      </c>
      <c r="G152" s="30">
        <f t="shared" si="46"/>
        <v>0.9</v>
      </c>
      <c r="H152">
        <f t="shared" si="47"/>
        <v>1067006.7317047706</v>
      </c>
      <c r="I152">
        <f t="shared" si="39"/>
        <v>0</v>
      </c>
      <c r="J152">
        <f t="shared" si="40"/>
        <v>1420213.2922006983</v>
      </c>
      <c r="K152">
        <f t="shared" si="41"/>
        <v>1419562.4005126203</v>
      </c>
      <c r="L152">
        <f t="shared" si="48"/>
        <v>1419562.4005126203</v>
      </c>
      <c r="M152">
        <f t="shared" si="42"/>
        <v>0</v>
      </c>
      <c r="N152" s="29">
        <f t="shared" si="49"/>
        <v>1419562.4005126203</v>
      </c>
      <c r="O152" s="29">
        <f t="shared" si="43"/>
        <v>1419489.6352667226</v>
      </c>
      <c r="P152" s="29">
        <f t="shared" si="50"/>
        <v>1419489.6352667226</v>
      </c>
      <c r="Q152">
        <f t="shared" si="51"/>
        <v>0</v>
      </c>
      <c r="R152" s="29">
        <f t="shared" si="52"/>
        <v>1419489.6352667226</v>
      </c>
      <c r="S152" s="29">
        <f t="shared" si="44"/>
        <v>1419489.5686666761</v>
      </c>
      <c r="T152" s="29">
        <f t="shared" si="53"/>
        <v>1419489.5686666761</v>
      </c>
      <c r="U152">
        <f t="shared" si="54"/>
        <v>0</v>
      </c>
      <c r="V152" s="29">
        <f t="shared" si="55"/>
        <v>1419489.5686666761</v>
      </c>
      <c r="W152" s="29">
        <f t="shared" si="45"/>
        <v>1419489.5686666777</v>
      </c>
      <c r="X152" s="29">
        <f t="shared" si="56"/>
        <v>1419489.5686666777</v>
      </c>
      <c r="Y152">
        <f t="shared" si="57"/>
        <v>0</v>
      </c>
    </row>
    <row r="153" spans="1:25" x14ac:dyDescent="0.25">
      <c r="A153" s="4" t="s">
        <v>951</v>
      </c>
      <c r="B153" s="7" t="s">
        <v>477</v>
      </c>
      <c r="C153" s="2" t="s">
        <v>952</v>
      </c>
      <c r="D153">
        <f>VLOOKUP(B153,'Model allocations'!$A$1:$L$317,3,FALSE)</f>
        <v>106683.46615980611</v>
      </c>
      <c r="E153" s="31">
        <f>VLOOKUP(B153,'Initial adjusted formula count'!$A$1:$P$317,12,FALSE)</f>
        <v>9.8870056497175104E-2</v>
      </c>
      <c r="F153">
        <f>VLOOKUP(B153,'Model allocations'!$A$1:$L$317,8,FALSE)</f>
        <v>90680.946235835188</v>
      </c>
      <c r="G153" s="30">
        <f t="shared" si="46"/>
        <v>0.85</v>
      </c>
      <c r="H153">
        <f t="shared" si="47"/>
        <v>90680.946235835188</v>
      </c>
      <c r="I153">
        <f t="shared" si="39"/>
        <v>0</v>
      </c>
      <c r="J153">
        <f t="shared" si="40"/>
        <v>90680.946235835188</v>
      </c>
      <c r="K153">
        <f t="shared" si="41"/>
        <v>90639.386651443143</v>
      </c>
      <c r="L153">
        <f t="shared" si="48"/>
        <v>90639.386651443143</v>
      </c>
      <c r="M153">
        <f t="shared" si="42"/>
        <v>90680.946235835188</v>
      </c>
      <c r="N153" s="29">
        <f t="shared" si="49"/>
        <v>0</v>
      </c>
      <c r="O153" s="29">
        <f t="shared" si="43"/>
        <v>0</v>
      </c>
      <c r="P153" s="29">
        <f t="shared" si="50"/>
        <v>90680.946235835188</v>
      </c>
      <c r="Q153">
        <f t="shared" si="51"/>
        <v>0</v>
      </c>
      <c r="R153" s="29">
        <f t="shared" si="52"/>
        <v>0</v>
      </c>
      <c r="S153" s="29">
        <f t="shared" si="44"/>
        <v>0</v>
      </c>
      <c r="T153" s="29">
        <f t="shared" si="53"/>
        <v>90680.946235835188</v>
      </c>
      <c r="U153">
        <f t="shared" si="54"/>
        <v>0</v>
      </c>
      <c r="V153" s="29">
        <f t="shared" si="55"/>
        <v>0</v>
      </c>
      <c r="W153" s="29">
        <f t="shared" si="45"/>
        <v>0</v>
      </c>
      <c r="X153" s="29">
        <f t="shared" si="56"/>
        <v>90680.946235835188</v>
      </c>
      <c r="Y153">
        <f t="shared" si="57"/>
        <v>0</v>
      </c>
    </row>
    <row r="154" spans="1:25" x14ac:dyDescent="0.25">
      <c r="A154" s="4" t="s">
        <v>953</v>
      </c>
      <c r="B154" s="7" t="s">
        <v>479</v>
      </c>
      <c r="C154" s="2" t="s">
        <v>954</v>
      </c>
      <c r="D154">
        <f>VLOOKUP(B154,'Model allocations'!$A$1:$L$317,3,FALSE)</f>
        <v>228853.24192345503</v>
      </c>
      <c r="E154" s="31">
        <f>VLOOKUP(B154,'Initial adjusted formula count'!$A$1:$P$317,12,FALSE)</f>
        <v>0.12925851703406799</v>
      </c>
      <c r="F154">
        <f>VLOOKUP(B154,'Model allocations'!$A$1:$L$317,8,FALSE)</f>
        <v>194525.25563493677</v>
      </c>
      <c r="G154" s="30">
        <f t="shared" si="46"/>
        <v>0.85</v>
      </c>
      <c r="H154">
        <f t="shared" si="47"/>
        <v>194525.25563493677</v>
      </c>
      <c r="I154">
        <f t="shared" si="39"/>
        <v>0</v>
      </c>
      <c r="J154">
        <f t="shared" si="40"/>
        <v>194525.25563493677</v>
      </c>
      <c r="K154">
        <f t="shared" si="41"/>
        <v>194436.10362325702</v>
      </c>
      <c r="L154">
        <f t="shared" si="48"/>
        <v>194436.10362325702</v>
      </c>
      <c r="M154">
        <f t="shared" si="42"/>
        <v>194525.25563493677</v>
      </c>
      <c r="N154" s="29">
        <f t="shared" si="49"/>
        <v>0</v>
      </c>
      <c r="O154" s="29">
        <f t="shared" si="43"/>
        <v>0</v>
      </c>
      <c r="P154" s="29">
        <f t="shared" si="50"/>
        <v>194525.25563493677</v>
      </c>
      <c r="Q154">
        <f t="shared" si="51"/>
        <v>0</v>
      </c>
      <c r="R154" s="29">
        <f t="shared" si="52"/>
        <v>0</v>
      </c>
      <c r="S154" s="29">
        <f t="shared" si="44"/>
        <v>0</v>
      </c>
      <c r="T154" s="29">
        <f t="shared" si="53"/>
        <v>194525.25563493677</v>
      </c>
      <c r="U154">
        <f t="shared" si="54"/>
        <v>0</v>
      </c>
      <c r="V154" s="29">
        <f t="shared" si="55"/>
        <v>0</v>
      </c>
      <c r="W154" s="29">
        <f t="shared" si="45"/>
        <v>0</v>
      </c>
      <c r="X154" s="29">
        <f t="shared" si="56"/>
        <v>194525.25563493677</v>
      </c>
      <c r="Y154">
        <f t="shared" si="57"/>
        <v>0</v>
      </c>
    </row>
    <row r="155" spans="1:25" x14ac:dyDescent="0.25">
      <c r="A155" s="4" t="s">
        <v>955</v>
      </c>
      <c r="B155" s="7" t="s">
        <v>481</v>
      </c>
      <c r="C155" s="2" t="s">
        <v>956</v>
      </c>
      <c r="D155">
        <f>VLOOKUP(B155,'Model allocations'!$A$1:$L$317,3,FALSE)</f>
        <v>291173.67324929539</v>
      </c>
      <c r="E155" s="31">
        <f>VLOOKUP(B155,'Initial adjusted formula count'!$A$1:$P$317,12,FALSE)</f>
        <v>0.111839410077837</v>
      </c>
      <c r="F155">
        <f>VLOOKUP(B155,'Model allocations'!$A$1:$L$317,8,FALSE)</f>
        <v>247497.62226190107</v>
      </c>
      <c r="G155" s="30">
        <f t="shared" si="46"/>
        <v>0.85</v>
      </c>
      <c r="H155">
        <f t="shared" si="47"/>
        <v>247497.62226190107</v>
      </c>
      <c r="I155">
        <f t="shared" si="39"/>
        <v>0</v>
      </c>
      <c r="J155">
        <f t="shared" si="40"/>
        <v>247497.62226190107</v>
      </c>
      <c r="K155">
        <f t="shared" si="41"/>
        <v>247384.19271858249</v>
      </c>
      <c r="L155">
        <f t="shared" si="48"/>
        <v>247384.19271858249</v>
      </c>
      <c r="M155">
        <f t="shared" si="42"/>
        <v>247497.62226190107</v>
      </c>
      <c r="N155" s="29">
        <f t="shared" si="49"/>
        <v>0</v>
      </c>
      <c r="O155" s="29">
        <f t="shared" si="43"/>
        <v>0</v>
      </c>
      <c r="P155" s="29">
        <f t="shared" si="50"/>
        <v>247497.62226190107</v>
      </c>
      <c r="Q155">
        <f t="shared" si="51"/>
        <v>0</v>
      </c>
      <c r="R155" s="29">
        <f t="shared" si="52"/>
        <v>0</v>
      </c>
      <c r="S155" s="29">
        <f t="shared" si="44"/>
        <v>0</v>
      </c>
      <c r="T155" s="29">
        <f t="shared" si="53"/>
        <v>247497.62226190107</v>
      </c>
      <c r="U155">
        <f t="shared" si="54"/>
        <v>0</v>
      </c>
      <c r="V155" s="29">
        <f t="shared" si="55"/>
        <v>0</v>
      </c>
      <c r="W155" s="29">
        <f t="shared" si="45"/>
        <v>0</v>
      </c>
      <c r="X155" s="29">
        <f t="shared" si="56"/>
        <v>247497.62226190107</v>
      </c>
      <c r="Y155">
        <f t="shared" si="57"/>
        <v>0</v>
      </c>
    </row>
    <row r="156" spans="1:25" x14ac:dyDescent="0.25">
      <c r="A156" s="4" t="s">
        <v>957</v>
      </c>
      <c r="B156" s="7" t="s">
        <v>175</v>
      </c>
      <c r="C156" s="2" t="s">
        <v>958</v>
      </c>
      <c r="D156">
        <f>VLOOKUP(B156,'Model allocations'!$A$1:$L$317,3,FALSE)</f>
        <v>0</v>
      </c>
      <c r="E156" s="31">
        <f>VLOOKUP(B156,'Initial adjusted formula count'!$A$1:$P$317,12,FALSE)</f>
        <v>4.8780487804878002E-2</v>
      </c>
      <c r="F156">
        <f>VLOOKUP(B156,'Model allocations'!$A$1:$L$317,8,FALSE)</f>
        <v>0</v>
      </c>
      <c r="G156" s="30">
        <f t="shared" si="46"/>
        <v>0.85</v>
      </c>
      <c r="H156">
        <f t="shared" si="47"/>
        <v>0</v>
      </c>
      <c r="I156">
        <f t="shared" si="39"/>
        <v>0</v>
      </c>
      <c r="J156">
        <f t="shared" si="40"/>
        <v>0</v>
      </c>
      <c r="K156">
        <f t="shared" si="41"/>
        <v>0</v>
      </c>
      <c r="L156">
        <f t="shared" si="48"/>
        <v>0</v>
      </c>
      <c r="M156">
        <f t="shared" si="42"/>
        <v>0</v>
      </c>
      <c r="N156" s="29">
        <f t="shared" si="49"/>
        <v>0</v>
      </c>
      <c r="O156" s="29">
        <f t="shared" si="43"/>
        <v>0</v>
      </c>
      <c r="P156" s="29">
        <f t="shared" si="50"/>
        <v>0</v>
      </c>
      <c r="Q156">
        <f t="shared" si="51"/>
        <v>0</v>
      </c>
      <c r="R156" s="29">
        <f t="shared" si="52"/>
        <v>0</v>
      </c>
      <c r="S156" s="29">
        <f t="shared" si="44"/>
        <v>0</v>
      </c>
      <c r="T156" s="29">
        <f t="shared" si="53"/>
        <v>0</v>
      </c>
      <c r="U156">
        <f t="shared" si="54"/>
        <v>0</v>
      </c>
      <c r="V156" s="29">
        <f t="shared" si="55"/>
        <v>0</v>
      </c>
      <c r="W156" s="29">
        <f t="shared" si="45"/>
        <v>0</v>
      </c>
      <c r="X156" s="29">
        <f t="shared" si="56"/>
        <v>0</v>
      </c>
      <c r="Y156">
        <f t="shared" si="57"/>
        <v>0</v>
      </c>
    </row>
    <row r="157" spans="1:25" x14ac:dyDescent="0.25">
      <c r="A157" s="4" t="s">
        <v>959</v>
      </c>
      <c r="B157" s="7" t="s">
        <v>483</v>
      </c>
      <c r="C157" s="9" t="s">
        <v>960</v>
      </c>
      <c r="D157">
        <f>VLOOKUP(B157,'Model allocations'!$A$1:$L$317,3,FALSE)</f>
        <v>801846.69726563944</v>
      </c>
      <c r="E157" s="31">
        <f>VLOOKUP(B157,'Initial adjusted formula count'!$A$1:$P$317,12,FALSE)</f>
        <v>0.13468963468963499</v>
      </c>
      <c r="F157">
        <f>VLOOKUP(B157,'Model allocations'!$A$1:$L$317,8,FALSE)</f>
        <v>788331.36843698495</v>
      </c>
      <c r="G157" s="30">
        <f t="shared" si="46"/>
        <v>0.85</v>
      </c>
      <c r="H157">
        <f t="shared" si="47"/>
        <v>681569.69267579354</v>
      </c>
      <c r="I157">
        <f t="shared" si="39"/>
        <v>0</v>
      </c>
      <c r="J157">
        <f t="shared" si="40"/>
        <v>788331.36843698495</v>
      </c>
      <c r="K157">
        <f t="shared" si="41"/>
        <v>787970.07176557335</v>
      </c>
      <c r="L157">
        <f t="shared" si="48"/>
        <v>787970.07176557335</v>
      </c>
      <c r="M157">
        <f t="shared" si="42"/>
        <v>0</v>
      </c>
      <c r="N157" s="29">
        <f t="shared" si="49"/>
        <v>787970.07176557335</v>
      </c>
      <c r="O157" s="29">
        <f t="shared" si="43"/>
        <v>787929.68126494344</v>
      </c>
      <c r="P157" s="29">
        <f t="shared" si="50"/>
        <v>787929.68126494344</v>
      </c>
      <c r="Q157">
        <f t="shared" si="51"/>
        <v>0</v>
      </c>
      <c r="R157" s="29">
        <f t="shared" si="52"/>
        <v>787929.68126494344</v>
      </c>
      <c r="S157" s="29">
        <f t="shared" si="44"/>
        <v>787929.64429661899</v>
      </c>
      <c r="T157" s="29">
        <f t="shared" si="53"/>
        <v>787929.64429661899</v>
      </c>
      <c r="U157">
        <f t="shared" si="54"/>
        <v>0</v>
      </c>
      <c r="V157" s="29">
        <f t="shared" si="55"/>
        <v>787929.64429661899</v>
      </c>
      <c r="W157" s="29">
        <f t="shared" si="45"/>
        <v>787929.64429661981</v>
      </c>
      <c r="X157" s="29">
        <f t="shared" si="56"/>
        <v>787929.64429661981</v>
      </c>
      <c r="Y157">
        <f t="shared" si="57"/>
        <v>0</v>
      </c>
    </row>
    <row r="158" spans="1:25" x14ac:dyDescent="0.25">
      <c r="A158" s="4" t="s">
        <v>961</v>
      </c>
      <c r="B158" s="7" t="s">
        <v>286</v>
      </c>
      <c r="C158" s="2" t="s">
        <v>962</v>
      </c>
      <c r="D158">
        <f>VLOOKUP(B158,'Model allocations'!$A$1:$L$317,3,FALSE)</f>
        <v>1996873.5883621771</v>
      </c>
      <c r="E158" s="31">
        <f>VLOOKUP(B158,'Initial adjusted formula count'!$A$1:$P$317,12,FALSE)</f>
        <v>0.14421385860006999</v>
      </c>
      <c r="F158">
        <f>VLOOKUP(B158,'Model allocations'!$A$1:$L$317,8,FALSE)</f>
        <v>2138142.4105347102</v>
      </c>
      <c r="G158" s="30">
        <f t="shared" si="46"/>
        <v>0.85</v>
      </c>
      <c r="H158">
        <f t="shared" si="47"/>
        <v>1697342.5501078505</v>
      </c>
      <c r="I158">
        <f t="shared" si="39"/>
        <v>0</v>
      </c>
      <c r="J158">
        <f t="shared" si="40"/>
        <v>2138142.4105347102</v>
      </c>
      <c r="K158">
        <f t="shared" si="41"/>
        <v>2137162.4879198563</v>
      </c>
      <c r="L158">
        <f t="shared" si="48"/>
        <v>2137162.4879198563</v>
      </c>
      <c r="M158">
        <f t="shared" si="42"/>
        <v>0</v>
      </c>
      <c r="N158" s="29">
        <f t="shared" si="49"/>
        <v>2137162.4879198563</v>
      </c>
      <c r="O158" s="29">
        <f t="shared" si="43"/>
        <v>2137052.9392632418</v>
      </c>
      <c r="P158" s="29">
        <f t="shared" si="50"/>
        <v>2137052.9392632418</v>
      </c>
      <c r="Q158">
        <f t="shared" si="51"/>
        <v>0</v>
      </c>
      <c r="R158" s="29">
        <f t="shared" si="52"/>
        <v>2137052.9392632418</v>
      </c>
      <c r="S158" s="29">
        <f t="shared" si="44"/>
        <v>2137052.8389963419</v>
      </c>
      <c r="T158" s="29">
        <f t="shared" si="53"/>
        <v>2137052.8389963419</v>
      </c>
      <c r="U158">
        <f t="shared" si="54"/>
        <v>0</v>
      </c>
      <c r="V158" s="29">
        <f t="shared" si="55"/>
        <v>2137052.8389963419</v>
      </c>
      <c r="W158" s="29">
        <f t="shared" si="45"/>
        <v>2137052.8389963442</v>
      </c>
      <c r="X158" s="29">
        <f t="shared" si="56"/>
        <v>2137052.8389963442</v>
      </c>
      <c r="Y158">
        <f t="shared" si="57"/>
        <v>0</v>
      </c>
    </row>
    <row r="159" spans="1:25" x14ac:dyDescent="0.25">
      <c r="A159" s="4" t="s">
        <v>963</v>
      </c>
      <c r="B159" s="7" t="s">
        <v>485</v>
      </c>
      <c r="C159" s="2" t="s">
        <v>964</v>
      </c>
      <c r="D159">
        <f>VLOOKUP(B159,'Model allocations'!$A$1:$L$317,3,FALSE)</f>
        <v>188416.76684675436</v>
      </c>
      <c r="E159" s="31">
        <f>VLOOKUP(B159,'Initial adjusted formula count'!$A$1:$P$317,12,FALSE)</f>
        <v>0.108426270136307</v>
      </c>
      <c r="F159">
        <f>VLOOKUP(B159,'Model allocations'!$A$1:$L$317,8,FALSE)</f>
        <v>160154.25181974118</v>
      </c>
      <c r="G159" s="30">
        <f t="shared" si="46"/>
        <v>0.85</v>
      </c>
      <c r="H159">
        <f t="shared" si="47"/>
        <v>160154.25181974118</v>
      </c>
      <c r="I159">
        <f t="shared" si="39"/>
        <v>0</v>
      </c>
      <c r="J159">
        <f t="shared" si="40"/>
        <v>160154.25181974118</v>
      </c>
      <c r="K159">
        <f t="shared" si="41"/>
        <v>160080.85223117779</v>
      </c>
      <c r="L159">
        <f t="shared" si="48"/>
        <v>160080.85223117779</v>
      </c>
      <c r="M159">
        <f t="shared" si="42"/>
        <v>160154.25181974118</v>
      </c>
      <c r="N159" s="29">
        <f t="shared" si="49"/>
        <v>0</v>
      </c>
      <c r="O159" s="29">
        <f t="shared" si="43"/>
        <v>0</v>
      </c>
      <c r="P159" s="29">
        <f t="shared" si="50"/>
        <v>160154.25181974118</v>
      </c>
      <c r="Q159">
        <f t="shared" si="51"/>
        <v>0</v>
      </c>
      <c r="R159" s="29">
        <f t="shared" si="52"/>
        <v>0</v>
      </c>
      <c r="S159" s="29">
        <f t="shared" si="44"/>
        <v>0</v>
      </c>
      <c r="T159" s="29">
        <f t="shared" si="53"/>
        <v>160154.25181974118</v>
      </c>
      <c r="U159">
        <f t="shared" si="54"/>
        <v>0</v>
      </c>
      <c r="V159" s="29">
        <f t="shared" si="55"/>
        <v>0</v>
      </c>
      <c r="W159" s="29">
        <f t="shared" si="45"/>
        <v>0</v>
      </c>
      <c r="X159" s="29">
        <f t="shared" si="56"/>
        <v>160154.25181974118</v>
      </c>
      <c r="Y159">
        <f t="shared" si="57"/>
        <v>0</v>
      </c>
    </row>
    <row r="160" spans="1:25" x14ac:dyDescent="0.25">
      <c r="A160" s="4" t="s">
        <v>965</v>
      </c>
      <c r="B160" s="7" t="s">
        <v>487</v>
      </c>
      <c r="C160" s="2" t="s">
        <v>966</v>
      </c>
      <c r="D160">
        <f>VLOOKUP(B160,'Model allocations'!$A$1:$L$317,3,FALSE)</f>
        <v>65538.829396048022</v>
      </c>
      <c r="E160" s="31">
        <f>VLOOKUP(B160,'Initial adjusted formula count'!$A$1:$P$317,12,FALSE)</f>
        <v>0.11210191082802499</v>
      </c>
      <c r="F160">
        <f>VLOOKUP(B160,'Model allocations'!$A$1:$L$317,8,FALSE)</f>
        <v>76486.395173599405</v>
      </c>
      <c r="G160" s="30">
        <f t="shared" si="46"/>
        <v>0.85</v>
      </c>
      <c r="H160">
        <f t="shared" si="47"/>
        <v>55708.004986640815</v>
      </c>
      <c r="I160">
        <f t="shared" si="39"/>
        <v>0</v>
      </c>
      <c r="J160">
        <f t="shared" si="40"/>
        <v>76486.395173599405</v>
      </c>
      <c r="K160">
        <f t="shared" si="41"/>
        <v>76451.341031279429</v>
      </c>
      <c r="L160">
        <f t="shared" si="48"/>
        <v>76451.341031279429</v>
      </c>
      <c r="M160">
        <f t="shared" si="42"/>
        <v>0</v>
      </c>
      <c r="N160" s="29">
        <f t="shared" si="49"/>
        <v>76451.341031279429</v>
      </c>
      <c r="O160" s="29">
        <f t="shared" si="43"/>
        <v>76447.422217546875</v>
      </c>
      <c r="P160" s="29">
        <f t="shared" si="50"/>
        <v>76447.422217546875</v>
      </c>
      <c r="Q160">
        <f t="shared" si="51"/>
        <v>0</v>
      </c>
      <c r="R160" s="29">
        <f t="shared" si="52"/>
        <v>76447.422217546875</v>
      </c>
      <c r="S160" s="29">
        <f t="shared" si="44"/>
        <v>76447.418630763466</v>
      </c>
      <c r="T160" s="29">
        <f t="shared" si="53"/>
        <v>76447.418630763466</v>
      </c>
      <c r="U160">
        <f t="shared" si="54"/>
        <v>0</v>
      </c>
      <c r="V160" s="29">
        <f t="shared" si="55"/>
        <v>76447.418630763466</v>
      </c>
      <c r="W160" s="29">
        <f t="shared" si="45"/>
        <v>76447.418630763554</v>
      </c>
      <c r="X160" s="29">
        <f t="shared" si="56"/>
        <v>76447.418630763554</v>
      </c>
      <c r="Y160">
        <f t="shared" si="57"/>
        <v>0</v>
      </c>
    </row>
    <row r="161" spans="1:25" x14ac:dyDescent="0.25">
      <c r="A161" s="4" t="s">
        <v>967</v>
      </c>
      <c r="B161" s="7" t="s">
        <v>489</v>
      </c>
      <c r="C161" s="2" t="s">
        <v>968</v>
      </c>
      <c r="D161">
        <f>VLOOKUP(B161,'Model allocations'!$A$1:$L$317,3,FALSE)</f>
        <v>33290.802631173603</v>
      </c>
      <c r="E161" s="31">
        <f>VLOOKUP(B161,'Initial adjusted formula count'!$A$1:$P$317,12,FALSE)</f>
        <v>0.119402985074627</v>
      </c>
      <c r="F161">
        <f>VLOOKUP(B161,'Model allocations'!$A$1:$L$317,8,FALSE)</f>
        <v>34766.54326072699</v>
      </c>
      <c r="G161" s="30">
        <f t="shared" si="46"/>
        <v>0.85</v>
      </c>
      <c r="H161">
        <f t="shared" si="47"/>
        <v>28297.182236497563</v>
      </c>
      <c r="I161">
        <f t="shared" si="39"/>
        <v>0</v>
      </c>
      <c r="J161">
        <f t="shared" si="40"/>
        <v>34766.54326072699</v>
      </c>
      <c r="K161">
        <f t="shared" si="41"/>
        <v>34750.609559672455</v>
      </c>
      <c r="L161">
        <f t="shared" si="48"/>
        <v>34750.609559672455</v>
      </c>
      <c r="M161">
        <f t="shared" si="42"/>
        <v>0</v>
      </c>
      <c r="N161" s="29">
        <f t="shared" si="49"/>
        <v>34750.609559672455</v>
      </c>
      <c r="O161" s="29">
        <f t="shared" si="43"/>
        <v>34748.828280703114</v>
      </c>
      <c r="P161" s="29">
        <f t="shared" si="50"/>
        <v>34748.828280703114</v>
      </c>
      <c r="Q161">
        <f t="shared" si="51"/>
        <v>0</v>
      </c>
      <c r="R161" s="29">
        <f t="shared" si="52"/>
        <v>34748.828280703114</v>
      </c>
      <c r="S161" s="29">
        <f t="shared" si="44"/>
        <v>34748.826650347015</v>
      </c>
      <c r="T161" s="29">
        <f t="shared" si="53"/>
        <v>34748.826650347015</v>
      </c>
      <c r="U161">
        <f t="shared" si="54"/>
        <v>0</v>
      </c>
      <c r="V161" s="29">
        <f t="shared" si="55"/>
        <v>34748.826650347015</v>
      </c>
      <c r="W161" s="29">
        <f t="shared" si="45"/>
        <v>34748.826650347051</v>
      </c>
      <c r="X161" s="29">
        <f t="shared" si="56"/>
        <v>34748.826650347051</v>
      </c>
      <c r="Y161">
        <f t="shared" si="57"/>
        <v>0</v>
      </c>
    </row>
    <row r="162" spans="1:25" x14ac:dyDescent="0.25">
      <c r="A162" s="4" t="s">
        <v>969</v>
      </c>
      <c r="B162" s="7" t="s">
        <v>491</v>
      </c>
      <c r="C162" s="2" t="s">
        <v>970</v>
      </c>
      <c r="D162">
        <f>VLOOKUP(B162,'Model allocations'!$A$1:$L$317,3,FALSE)</f>
        <v>60008.823143023299</v>
      </c>
      <c r="E162" s="31">
        <f>VLOOKUP(B162,'Initial adjusted formula count'!$A$1:$P$317,12,FALSE)</f>
        <v>0.284552845528455</v>
      </c>
      <c r="F162">
        <f>VLOOKUP(B162,'Model allocations'!$A$1:$L$317,8,FALSE)</f>
        <v>60841.45070627224</v>
      </c>
      <c r="G162" s="30">
        <f t="shared" si="46"/>
        <v>0.9</v>
      </c>
      <c r="H162">
        <f t="shared" si="47"/>
        <v>54007.940828720974</v>
      </c>
      <c r="I162">
        <f t="shared" si="39"/>
        <v>0</v>
      </c>
      <c r="J162">
        <f t="shared" si="40"/>
        <v>60841.45070627224</v>
      </c>
      <c r="K162">
        <f t="shared" si="41"/>
        <v>60813.566729426799</v>
      </c>
      <c r="L162">
        <f t="shared" si="48"/>
        <v>60813.566729426799</v>
      </c>
      <c r="M162">
        <f t="shared" si="42"/>
        <v>0</v>
      </c>
      <c r="N162" s="29">
        <f t="shared" si="49"/>
        <v>60813.566729426799</v>
      </c>
      <c r="O162" s="29">
        <f t="shared" si="43"/>
        <v>60810.449491230451</v>
      </c>
      <c r="P162" s="29">
        <f t="shared" si="50"/>
        <v>60810.449491230451</v>
      </c>
      <c r="Q162">
        <f t="shared" si="51"/>
        <v>0</v>
      </c>
      <c r="R162" s="29">
        <f t="shared" si="52"/>
        <v>60810.449491230451</v>
      </c>
      <c r="S162" s="29">
        <f t="shared" si="44"/>
        <v>60810.446638107278</v>
      </c>
      <c r="T162" s="29">
        <f t="shared" si="53"/>
        <v>60810.446638107278</v>
      </c>
      <c r="U162">
        <f t="shared" si="54"/>
        <v>0</v>
      </c>
      <c r="V162" s="29">
        <f t="shared" si="55"/>
        <v>60810.446638107278</v>
      </c>
      <c r="W162" s="29">
        <f t="shared" si="45"/>
        <v>60810.446638107351</v>
      </c>
      <c r="X162" s="29">
        <f t="shared" si="56"/>
        <v>60810.446638107351</v>
      </c>
      <c r="Y162">
        <f t="shared" si="57"/>
        <v>0</v>
      </c>
    </row>
    <row r="163" spans="1:25" x14ac:dyDescent="0.25">
      <c r="A163" s="4" t="s">
        <v>971</v>
      </c>
      <c r="B163" s="7" t="s">
        <v>493</v>
      </c>
      <c r="C163" s="2" t="s">
        <v>972</v>
      </c>
      <c r="D163">
        <f>VLOOKUP(B163,'Model allocations'!$A$1:$L$317,3,FALSE)</f>
        <v>234875.69565828278</v>
      </c>
      <c r="E163" s="31">
        <f>VLOOKUP(B163,'Initial adjusted formula count'!$A$1:$P$317,12,FALSE)</f>
        <v>0.19440559440559399</v>
      </c>
      <c r="F163">
        <f>VLOOKUP(B163,'Model allocations'!$A$1:$L$317,8,FALSE)</f>
        <v>241627.47566205272</v>
      </c>
      <c r="G163" s="30">
        <f t="shared" si="46"/>
        <v>0.9</v>
      </c>
      <c r="H163">
        <f t="shared" si="47"/>
        <v>211388.12609245451</v>
      </c>
      <c r="I163">
        <f t="shared" si="39"/>
        <v>0</v>
      </c>
      <c r="J163">
        <f t="shared" si="40"/>
        <v>241627.47566205272</v>
      </c>
      <c r="K163">
        <f t="shared" si="41"/>
        <v>241516.7364397237</v>
      </c>
      <c r="L163">
        <f t="shared" si="48"/>
        <v>241516.7364397237</v>
      </c>
      <c r="M163">
        <f t="shared" si="42"/>
        <v>0</v>
      </c>
      <c r="N163" s="29">
        <f t="shared" si="49"/>
        <v>241516.7364397237</v>
      </c>
      <c r="O163" s="29">
        <f t="shared" si="43"/>
        <v>241504.35655088676</v>
      </c>
      <c r="P163" s="29">
        <f t="shared" si="50"/>
        <v>241504.35655088676</v>
      </c>
      <c r="Q163">
        <f t="shared" si="51"/>
        <v>0</v>
      </c>
      <c r="R163" s="29">
        <f t="shared" si="52"/>
        <v>241504.35655088676</v>
      </c>
      <c r="S163" s="29">
        <f t="shared" si="44"/>
        <v>241504.34521991189</v>
      </c>
      <c r="T163" s="29">
        <f t="shared" si="53"/>
        <v>241504.34521991189</v>
      </c>
      <c r="U163">
        <f t="shared" si="54"/>
        <v>0</v>
      </c>
      <c r="V163" s="29">
        <f t="shared" si="55"/>
        <v>241504.34521991189</v>
      </c>
      <c r="W163" s="29">
        <f t="shared" si="45"/>
        <v>241504.34521991215</v>
      </c>
      <c r="X163" s="29">
        <f t="shared" si="56"/>
        <v>241504.34521991215</v>
      </c>
      <c r="Y163">
        <f t="shared" si="57"/>
        <v>0</v>
      </c>
    </row>
    <row r="164" spans="1:25" x14ac:dyDescent="0.25">
      <c r="A164" s="4" t="s">
        <v>973</v>
      </c>
      <c r="B164" s="7" t="s">
        <v>495</v>
      </c>
      <c r="C164" s="2" t="s">
        <v>974</v>
      </c>
      <c r="D164">
        <f>VLOOKUP(B164,'Model allocations'!$A$1:$L$317,3,FALSE)</f>
        <v>183425.79488940752</v>
      </c>
      <c r="E164" s="31">
        <f>VLOOKUP(B164,'Initial adjusted formula count'!$A$1:$P$317,12,FALSE)</f>
        <v>7.3697585768741997E-2</v>
      </c>
      <c r="F164">
        <f>VLOOKUP(B164,'Model allocations'!$A$1:$L$317,8,FALSE)</f>
        <v>155911.9256559964</v>
      </c>
      <c r="G164" s="30">
        <f t="shared" si="46"/>
        <v>0.85</v>
      </c>
      <c r="H164">
        <f t="shared" si="47"/>
        <v>155911.9256559964</v>
      </c>
      <c r="I164">
        <f t="shared" si="39"/>
        <v>0</v>
      </c>
      <c r="J164">
        <f t="shared" si="40"/>
        <v>155911.9256559964</v>
      </c>
      <c r="K164">
        <f t="shared" si="41"/>
        <v>155840.4703492203</v>
      </c>
      <c r="L164">
        <f t="shared" si="48"/>
        <v>155840.4703492203</v>
      </c>
      <c r="M164">
        <f t="shared" si="42"/>
        <v>155911.9256559964</v>
      </c>
      <c r="N164" s="29">
        <f t="shared" si="49"/>
        <v>0</v>
      </c>
      <c r="O164" s="29">
        <f t="shared" si="43"/>
        <v>0</v>
      </c>
      <c r="P164" s="29">
        <f t="shared" si="50"/>
        <v>155911.9256559964</v>
      </c>
      <c r="Q164">
        <f t="shared" si="51"/>
        <v>0</v>
      </c>
      <c r="R164" s="29">
        <f t="shared" si="52"/>
        <v>0</v>
      </c>
      <c r="S164" s="29">
        <f t="shared" si="44"/>
        <v>0</v>
      </c>
      <c r="T164" s="29">
        <f t="shared" si="53"/>
        <v>155911.9256559964</v>
      </c>
      <c r="U164">
        <f t="shared" si="54"/>
        <v>0</v>
      </c>
      <c r="V164" s="29">
        <f t="shared" si="55"/>
        <v>0</v>
      </c>
      <c r="W164" s="29">
        <f t="shared" si="45"/>
        <v>0</v>
      </c>
      <c r="X164" s="29">
        <f t="shared" si="56"/>
        <v>155911.9256559964</v>
      </c>
      <c r="Y164">
        <f t="shared" si="57"/>
        <v>0</v>
      </c>
    </row>
    <row r="165" spans="1:25" x14ac:dyDescent="0.25">
      <c r="A165" s="4" t="s">
        <v>975</v>
      </c>
      <c r="B165" s="7" t="s">
        <v>177</v>
      </c>
      <c r="C165" s="2" t="s">
        <v>976</v>
      </c>
      <c r="D165">
        <f>VLOOKUP(B165,'Model allocations'!$A$1:$L$317,3,FALSE)</f>
        <v>207392.56915397925</v>
      </c>
      <c r="E165" s="31">
        <f>VLOOKUP(B165,'Initial adjusted formula count'!$A$1:$P$317,12,FALSE)</f>
        <v>0.11236462093862799</v>
      </c>
      <c r="F165">
        <f>VLOOKUP(B165,'Model allocations'!$A$1:$L$317,8,FALSE)</f>
        <v>216421.7317980256</v>
      </c>
      <c r="G165" s="30">
        <f t="shared" si="46"/>
        <v>0.85</v>
      </c>
      <c r="H165">
        <f t="shared" si="47"/>
        <v>176283.68378088236</v>
      </c>
      <c r="I165">
        <f t="shared" si="39"/>
        <v>0</v>
      </c>
      <c r="J165">
        <f t="shared" si="40"/>
        <v>216421.7317980256</v>
      </c>
      <c r="K165">
        <f t="shared" si="41"/>
        <v>216322.54450896112</v>
      </c>
      <c r="L165">
        <f t="shared" si="48"/>
        <v>216322.54450896112</v>
      </c>
      <c r="M165">
        <f t="shared" si="42"/>
        <v>0</v>
      </c>
      <c r="N165" s="29">
        <f t="shared" si="49"/>
        <v>216322.54450896112</v>
      </c>
      <c r="O165" s="29">
        <f t="shared" si="43"/>
        <v>216311.45604737694</v>
      </c>
      <c r="P165" s="29">
        <f t="shared" si="50"/>
        <v>216311.45604737694</v>
      </c>
      <c r="Q165">
        <f t="shared" si="51"/>
        <v>0</v>
      </c>
      <c r="R165" s="29">
        <f t="shared" si="52"/>
        <v>216311.45604737694</v>
      </c>
      <c r="S165" s="29">
        <f t="shared" si="44"/>
        <v>216311.44589841025</v>
      </c>
      <c r="T165" s="29">
        <f t="shared" si="53"/>
        <v>216311.44589841025</v>
      </c>
      <c r="U165">
        <f t="shared" si="54"/>
        <v>0</v>
      </c>
      <c r="V165" s="29">
        <f t="shared" si="55"/>
        <v>216311.44589841025</v>
      </c>
      <c r="W165" s="29">
        <f t="shared" si="45"/>
        <v>216311.44589841049</v>
      </c>
      <c r="X165" s="29">
        <f t="shared" si="56"/>
        <v>216311.44589841049</v>
      </c>
      <c r="Y165">
        <f t="shared" si="57"/>
        <v>0</v>
      </c>
    </row>
    <row r="166" spans="1:25" x14ac:dyDescent="0.25">
      <c r="A166" s="4" t="s">
        <v>977</v>
      </c>
      <c r="B166" s="7" t="s">
        <v>497</v>
      </c>
      <c r="C166" s="2" t="s">
        <v>978</v>
      </c>
      <c r="D166">
        <f>VLOOKUP(B166,'Model allocations'!$A$1:$L$317,3,FALSE)</f>
        <v>137656.08536749179</v>
      </c>
      <c r="E166" s="31">
        <f>VLOOKUP(B166,'Initial adjusted formula count'!$A$1:$P$317,12,FALSE)</f>
        <v>0.182978723404255</v>
      </c>
      <c r="F166">
        <f>VLOOKUP(B166,'Model allocations'!$A$1:$L$317,8,FALSE)</f>
        <v>123890.47683074261</v>
      </c>
      <c r="G166" s="30">
        <f t="shared" si="46"/>
        <v>0.9</v>
      </c>
      <c r="H166">
        <f t="shared" si="47"/>
        <v>123890.47683074261</v>
      </c>
      <c r="I166">
        <f t="shared" si="39"/>
        <v>0</v>
      </c>
      <c r="J166">
        <f t="shared" si="40"/>
        <v>123890.47683074261</v>
      </c>
      <c r="K166">
        <f t="shared" si="41"/>
        <v>123833.69713290148</v>
      </c>
      <c r="L166">
        <f t="shared" si="48"/>
        <v>123833.69713290148</v>
      </c>
      <c r="M166">
        <f t="shared" si="42"/>
        <v>123890.47683074261</v>
      </c>
      <c r="N166" s="29">
        <f t="shared" si="49"/>
        <v>0</v>
      </c>
      <c r="O166" s="29">
        <f t="shared" si="43"/>
        <v>0</v>
      </c>
      <c r="P166" s="29">
        <f t="shared" si="50"/>
        <v>123890.47683074261</v>
      </c>
      <c r="Q166">
        <f t="shared" si="51"/>
        <v>0</v>
      </c>
      <c r="R166" s="29">
        <f t="shared" si="52"/>
        <v>0</v>
      </c>
      <c r="S166" s="29">
        <f t="shared" si="44"/>
        <v>0</v>
      </c>
      <c r="T166" s="29">
        <f t="shared" si="53"/>
        <v>123890.47683074261</v>
      </c>
      <c r="U166">
        <f t="shared" si="54"/>
        <v>0</v>
      </c>
      <c r="V166" s="29">
        <f t="shared" si="55"/>
        <v>0</v>
      </c>
      <c r="W166" s="29">
        <f t="shared" si="45"/>
        <v>0</v>
      </c>
      <c r="X166" s="29">
        <f t="shared" si="56"/>
        <v>123890.47683074261</v>
      </c>
      <c r="Y166">
        <f t="shared" si="57"/>
        <v>0</v>
      </c>
    </row>
    <row r="167" spans="1:25" x14ac:dyDescent="0.25">
      <c r="A167" s="4" t="s">
        <v>979</v>
      </c>
      <c r="B167" s="7" t="s">
        <v>499</v>
      </c>
      <c r="C167" s="2" t="s">
        <v>980</v>
      </c>
      <c r="D167">
        <f>VLOOKUP(B167,'Model allocations'!$A$1:$L$317,3,FALSE)</f>
        <v>356185.12088838493</v>
      </c>
      <c r="E167" s="31">
        <f>VLOOKUP(B167,'Initial adjusted formula count'!$A$1:$P$317,12,FALSE)</f>
        <v>8.9673913043478201E-2</v>
      </c>
      <c r="F167">
        <f>VLOOKUP(B167,'Model allocations'!$A$1:$L$317,8,FALSE)</f>
        <v>302757.35275512718</v>
      </c>
      <c r="G167" s="30">
        <f t="shared" si="46"/>
        <v>0.85</v>
      </c>
      <c r="H167">
        <f t="shared" si="47"/>
        <v>302757.35275512718</v>
      </c>
      <c r="I167">
        <f t="shared" si="39"/>
        <v>0</v>
      </c>
      <c r="J167">
        <f t="shared" si="40"/>
        <v>302757.35275512718</v>
      </c>
      <c r="K167">
        <f t="shared" si="41"/>
        <v>302618.5973685279</v>
      </c>
      <c r="L167">
        <f t="shared" si="48"/>
        <v>302618.5973685279</v>
      </c>
      <c r="M167">
        <f t="shared" si="42"/>
        <v>302757.35275512718</v>
      </c>
      <c r="N167" s="29">
        <f t="shared" si="49"/>
        <v>0</v>
      </c>
      <c r="O167" s="29">
        <f t="shared" si="43"/>
        <v>0</v>
      </c>
      <c r="P167" s="29">
        <f t="shared" si="50"/>
        <v>302757.35275512718</v>
      </c>
      <c r="Q167">
        <f t="shared" si="51"/>
        <v>0</v>
      </c>
      <c r="R167" s="29">
        <f t="shared" si="52"/>
        <v>0</v>
      </c>
      <c r="S167" s="29">
        <f t="shared" si="44"/>
        <v>0</v>
      </c>
      <c r="T167" s="29">
        <f t="shared" si="53"/>
        <v>302757.35275512718</v>
      </c>
      <c r="U167">
        <f t="shared" si="54"/>
        <v>0</v>
      </c>
      <c r="V167" s="29">
        <f t="shared" si="55"/>
        <v>0</v>
      </c>
      <c r="W167" s="29">
        <f t="shared" si="45"/>
        <v>0</v>
      </c>
      <c r="X167" s="29">
        <f t="shared" si="56"/>
        <v>302757.35275512718</v>
      </c>
      <c r="Y167">
        <f t="shared" si="57"/>
        <v>0</v>
      </c>
    </row>
    <row r="168" spans="1:25" x14ac:dyDescent="0.25">
      <c r="A168" s="4" t="s">
        <v>981</v>
      </c>
      <c r="B168" s="7" t="s">
        <v>179</v>
      </c>
      <c r="C168" s="2" t="s">
        <v>982</v>
      </c>
      <c r="D168">
        <f>VLOOKUP(B168,'Model allocations'!$A$1:$L$317,3,FALSE)</f>
        <v>492120.50518878293</v>
      </c>
      <c r="E168" s="31">
        <f>VLOOKUP(B168,'Initial adjusted formula count'!$A$1:$P$317,12,FALSE)</f>
        <v>6.9692737430167601E-2</v>
      </c>
      <c r="F168">
        <f>VLOOKUP(B168,'Model allocations'!$A$1:$L$317,8,FALSE)</f>
        <v>433712.62717756949</v>
      </c>
      <c r="G168" s="30">
        <f t="shared" si="46"/>
        <v>0.85</v>
      </c>
      <c r="H168">
        <f t="shared" si="47"/>
        <v>418302.42941046547</v>
      </c>
      <c r="I168">
        <f t="shared" si="39"/>
        <v>0</v>
      </c>
      <c r="J168">
        <f t="shared" si="40"/>
        <v>433712.62717756949</v>
      </c>
      <c r="K168">
        <f t="shared" si="41"/>
        <v>433513.85425691417</v>
      </c>
      <c r="L168">
        <f t="shared" si="48"/>
        <v>433513.85425691417</v>
      </c>
      <c r="M168">
        <f t="shared" si="42"/>
        <v>0</v>
      </c>
      <c r="N168" s="29">
        <f t="shared" si="49"/>
        <v>433513.85425691417</v>
      </c>
      <c r="O168" s="29">
        <f t="shared" si="43"/>
        <v>433491.63280177163</v>
      </c>
      <c r="P168" s="29">
        <f t="shared" si="50"/>
        <v>433491.63280177163</v>
      </c>
      <c r="Q168">
        <f t="shared" si="51"/>
        <v>0</v>
      </c>
      <c r="R168" s="29">
        <f t="shared" si="52"/>
        <v>433491.63280177163</v>
      </c>
      <c r="S168" s="29">
        <f t="shared" si="44"/>
        <v>433491.61246307933</v>
      </c>
      <c r="T168" s="29">
        <f t="shared" si="53"/>
        <v>433491.61246307933</v>
      </c>
      <c r="U168">
        <f t="shared" si="54"/>
        <v>0</v>
      </c>
      <c r="V168" s="29">
        <f t="shared" si="55"/>
        <v>433491.61246307933</v>
      </c>
      <c r="W168" s="29">
        <f t="shared" si="45"/>
        <v>433491.61246307986</v>
      </c>
      <c r="X168" s="29">
        <f t="shared" si="56"/>
        <v>433491.61246307986</v>
      </c>
      <c r="Y168">
        <f t="shared" si="57"/>
        <v>0</v>
      </c>
    </row>
    <row r="169" spans="1:25" x14ac:dyDescent="0.25">
      <c r="A169" s="4" t="s">
        <v>983</v>
      </c>
      <c r="B169" s="7" t="s">
        <v>501</v>
      </c>
      <c r="C169" s="2" t="s">
        <v>984</v>
      </c>
      <c r="D169">
        <f>VLOOKUP(B169,'Model allocations'!$A$1:$L$317,3,FALSE)</f>
        <v>295100.23300656042</v>
      </c>
      <c r="E169" s="31">
        <f>VLOOKUP(B169,'Initial adjusted formula count'!$A$1:$P$317,12,FALSE)</f>
        <v>0.150242326332795</v>
      </c>
      <c r="F169">
        <f>VLOOKUP(B169,'Model allocations'!$A$1:$L$317,8,FALSE)</f>
        <v>323328.85232476116</v>
      </c>
      <c r="G169" s="30">
        <f t="shared" si="46"/>
        <v>0.9</v>
      </c>
      <c r="H169">
        <f t="shared" si="47"/>
        <v>265590.20970590436</v>
      </c>
      <c r="I169">
        <f t="shared" si="39"/>
        <v>0</v>
      </c>
      <c r="J169">
        <f t="shared" si="40"/>
        <v>323328.85232476116</v>
      </c>
      <c r="K169">
        <f t="shared" si="41"/>
        <v>323180.66890495399</v>
      </c>
      <c r="L169">
        <f t="shared" si="48"/>
        <v>323180.66890495399</v>
      </c>
      <c r="M169">
        <f t="shared" si="42"/>
        <v>0</v>
      </c>
      <c r="N169" s="29">
        <f t="shared" si="49"/>
        <v>323180.66890495399</v>
      </c>
      <c r="O169" s="29">
        <f t="shared" si="43"/>
        <v>323164.10301053914</v>
      </c>
      <c r="P169" s="29">
        <f t="shared" si="50"/>
        <v>323164.10301053914</v>
      </c>
      <c r="Q169">
        <f t="shared" si="51"/>
        <v>0</v>
      </c>
      <c r="R169" s="29">
        <f t="shared" si="52"/>
        <v>323164.10301053914</v>
      </c>
      <c r="S169" s="29">
        <f t="shared" si="44"/>
        <v>323164.08784822747</v>
      </c>
      <c r="T169" s="29">
        <f t="shared" si="53"/>
        <v>323164.08784822747</v>
      </c>
      <c r="U169">
        <f t="shared" si="54"/>
        <v>0</v>
      </c>
      <c r="V169" s="29">
        <f t="shared" si="55"/>
        <v>323164.08784822747</v>
      </c>
      <c r="W169" s="29">
        <f t="shared" si="45"/>
        <v>323164.08784822782</v>
      </c>
      <c r="X169" s="29">
        <f t="shared" si="56"/>
        <v>323164.08784822782</v>
      </c>
      <c r="Y169">
        <f t="shared" si="57"/>
        <v>0</v>
      </c>
    </row>
    <row r="170" spans="1:25" x14ac:dyDescent="0.25">
      <c r="A170" s="4" t="s">
        <v>985</v>
      </c>
      <c r="B170" s="7" t="s">
        <v>503</v>
      </c>
      <c r="C170" s="2" t="s">
        <v>986</v>
      </c>
      <c r="D170">
        <f>VLOOKUP(B170,'Model allocations'!$A$1:$L$317,3,FALSE)</f>
        <v>0</v>
      </c>
      <c r="E170" s="31">
        <f>VLOOKUP(B170,'Initial adjusted formula count'!$A$1:$P$317,12,FALSE)</f>
        <v>0.19607843137254899</v>
      </c>
      <c r="F170">
        <f>VLOOKUP(B170,'Model allocations'!$A$1:$L$317,8,FALSE)</f>
        <v>8691.6358151817476</v>
      </c>
      <c r="G170" s="30">
        <f t="shared" si="46"/>
        <v>0.9</v>
      </c>
      <c r="H170">
        <f t="shared" si="47"/>
        <v>0</v>
      </c>
      <c r="I170">
        <f t="shared" si="39"/>
        <v>0</v>
      </c>
      <c r="J170">
        <f t="shared" si="40"/>
        <v>8691.6358151817476</v>
      </c>
      <c r="K170">
        <f t="shared" si="41"/>
        <v>8687.6523899181138</v>
      </c>
      <c r="L170">
        <f t="shared" si="48"/>
        <v>8687.6523899181138</v>
      </c>
      <c r="M170">
        <f t="shared" si="42"/>
        <v>0</v>
      </c>
      <c r="N170" s="29">
        <f t="shared" si="49"/>
        <v>8687.6523899181138</v>
      </c>
      <c r="O170" s="29">
        <f t="shared" si="43"/>
        <v>8687.2070701757784</v>
      </c>
      <c r="P170" s="29">
        <f t="shared" si="50"/>
        <v>8687.2070701757784</v>
      </c>
      <c r="Q170">
        <f t="shared" si="51"/>
        <v>0</v>
      </c>
      <c r="R170" s="29">
        <f t="shared" si="52"/>
        <v>8687.2070701757784</v>
      </c>
      <c r="S170" s="29">
        <f t="shared" si="44"/>
        <v>8687.2066625867537</v>
      </c>
      <c r="T170" s="29">
        <f t="shared" si="53"/>
        <v>8687.2066625867537</v>
      </c>
      <c r="U170">
        <f t="shared" si="54"/>
        <v>0</v>
      </c>
      <c r="V170" s="29">
        <f t="shared" si="55"/>
        <v>8687.2066625867537</v>
      </c>
      <c r="W170" s="29">
        <f t="shared" si="45"/>
        <v>8687.2066625867628</v>
      </c>
      <c r="X170" s="29">
        <f t="shared" si="56"/>
        <v>8687.2066625867628</v>
      </c>
      <c r="Y170">
        <f t="shared" si="57"/>
        <v>0</v>
      </c>
    </row>
    <row r="171" spans="1:25" x14ac:dyDescent="0.25">
      <c r="A171" s="4" t="s">
        <v>987</v>
      </c>
      <c r="B171" s="7" t="s">
        <v>181</v>
      </c>
      <c r="C171" s="2" t="s">
        <v>988</v>
      </c>
      <c r="D171">
        <f>VLOOKUP(B171,'Model allocations'!$A$1:$L$317,3,FALSE)</f>
        <v>1296548.2540550628</v>
      </c>
      <c r="E171" s="31">
        <f>VLOOKUP(B171,'Initial adjusted formula count'!$A$1:$P$317,12,FALSE)</f>
        <v>9.4427153679018105E-2</v>
      </c>
      <c r="F171">
        <f>VLOOKUP(B171,'Model allocations'!$A$1:$L$317,8,FALSE)</f>
        <v>1397615.0390812259</v>
      </c>
      <c r="G171" s="30">
        <f t="shared" si="46"/>
        <v>0.85</v>
      </c>
      <c r="H171">
        <f t="shared" si="47"/>
        <v>1102066.0159468034</v>
      </c>
      <c r="I171">
        <f t="shared" si="39"/>
        <v>0</v>
      </c>
      <c r="J171">
        <f t="shared" si="40"/>
        <v>1397615.0390812259</v>
      </c>
      <c r="K171">
        <f t="shared" si="41"/>
        <v>1396974.5042988334</v>
      </c>
      <c r="L171">
        <f t="shared" si="48"/>
        <v>1396974.5042988334</v>
      </c>
      <c r="M171">
        <f t="shared" si="42"/>
        <v>0</v>
      </c>
      <c r="N171" s="29">
        <f t="shared" si="49"/>
        <v>1396974.5042988334</v>
      </c>
      <c r="O171" s="29">
        <f t="shared" si="43"/>
        <v>1396902.8968842661</v>
      </c>
      <c r="P171" s="29">
        <f t="shared" si="50"/>
        <v>1396902.8968842661</v>
      </c>
      <c r="Q171">
        <f t="shared" si="51"/>
        <v>0</v>
      </c>
      <c r="R171" s="29">
        <f t="shared" si="52"/>
        <v>1396902.8968842661</v>
      </c>
      <c r="S171" s="29">
        <f t="shared" si="44"/>
        <v>1396902.8313439509</v>
      </c>
      <c r="T171" s="29">
        <f t="shared" si="53"/>
        <v>1396902.8313439509</v>
      </c>
      <c r="U171">
        <f t="shared" si="54"/>
        <v>0</v>
      </c>
      <c r="V171" s="29">
        <f t="shared" si="55"/>
        <v>1396902.8313439509</v>
      </c>
      <c r="W171" s="29">
        <f t="shared" si="45"/>
        <v>1396902.8313439526</v>
      </c>
      <c r="X171" s="29">
        <f t="shared" si="56"/>
        <v>1396902.8313439526</v>
      </c>
      <c r="Y171">
        <f t="shared" si="57"/>
        <v>0</v>
      </c>
    </row>
    <row r="172" spans="1:25" x14ac:dyDescent="0.25">
      <c r="A172" s="4" t="s">
        <v>989</v>
      </c>
      <c r="B172" s="7" t="s">
        <v>505</v>
      </c>
      <c r="C172" s="2" t="s">
        <v>990</v>
      </c>
      <c r="D172">
        <f>VLOOKUP(B172,'Model allocations'!$A$1:$L$317,3,FALSE)</f>
        <v>60224.537348277634</v>
      </c>
      <c r="E172" s="31">
        <f>VLOOKUP(B172,'Initial adjusted formula count'!$A$1:$P$317,12,FALSE)</f>
        <v>0.20704845814978001</v>
      </c>
      <c r="F172">
        <f>VLOOKUP(B172,'Model allocations'!$A$1:$L$317,8,FALSE)</f>
        <v>54202.083613449875</v>
      </c>
      <c r="G172" s="30">
        <f t="shared" si="46"/>
        <v>0.9</v>
      </c>
      <c r="H172">
        <f t="shared" si="47"/>
        <v>54202.083613449875</v>
      </c>
      <c r="I172">
        <f t="shared" si="39"/>
        <v>0</v>
      </c>
      <c r="J172">
        <f t="shared" si="40"/>
        <v>54202.083613449875</v>
      </c>
      <c r="K172">
        <f t="shared" si="41"/>
        <v>54177.242495644379</v>
      </c>
      <c r="L172">
        <f t="shared" si="48"/>
        <v>54177.242495644379</v>
      </c>
      <c r="M172">
        <f t="shared" si="42"/>
        <v>54202.083613449875</v>
      </c>
      <c r="N172" s="29">
        <f t="shared" si="49"/>
        <v>0</v>
      </c>
      <c r="O172" s="29">
        <f t="shared" si="43"/>
        <v>0</v>
      </c>
      <c r="P172" s="29">
        <f t="shared" si="50"/>
        <v>54202.083613449875</v>
      </c>
      <c r="Q172">
        <f t="shared" si="51"/>
        <v>0</v>
      </c>
      <c r="R172" s="29">
        <f t="shared" si="52"/>
        <v>0</v>
      </c>
      <c r="S172" s="29">
        <f t="shared" si="44"/>
        <v>0</v>
      </c>
      <c r="T172" s="29">
        <f t="shared" si="53"/>
        <v>54202.083613449875</v>
      </c>
      <c r="U172">
        <f t="shared" si="54"/>
        <v>0</v>
      </c>
      <c r="V172" s="29">
        <f t="shared" si="55"/>
        <v>0</v>
      </c>
      <c r="W172" s="29">
        <f t="shared" si="45"/>
        <v>0</v>
      </c>
      <c r="X172" s="29">
        <f t="shared" si="56"/>
        <v>54202.083613449875</v>
      </c>
      <c r="Y172">
        <f t="shared" si="57"/>
        <v>0</v>
      </c>
    </row>
    <row r="173" spans="1:25" x14ac:dyDescent="0.25">
      <c r="A173" s="4" t="s">
        <v>991</v>
      </c>
      <c r="B173" s="7" t="s">
        <v>183</v>
      </c>
      <c r="C173" s="2" t="s">
        <v>992</v>
      </c>
      <c r="D173">
        <f>VLOOKUP(B173,'Model allocations'!$A$1:$L$317,3,FALSE)</f>
        <v>872395.4410164787</v>
      </c>
      <c r="E173" s="31">
        <f>VLOOKUP(B173,'Initial adjusted formula count'!$A$1:$P$317,12,FALSE)</f>
        <v>3.9637727841145901E-2</v>
      </c>
      <c r="F173">
        <f>VLOOKUP(B173,'Model allocations'!$A$1:$L$317,8,FALSE)</f>
        <v>909145.1062680115</v>
      </c>
      <c r="G173" s="30">
        <f t="shared" si="46"/>
        <v>0.85</v>
      </c>
      <c r="H173">
        <f t="shared" si="47"/>
        <v>741536.12486400688</v>
      </c>
      <c r="I173">
        <f t="shared" si="39"/>
        <v>0</v>
      </c>
      <c r="J173">
        <f t="shared" si="40"/>
        <v>909145.1062680115</v>
      </c>
      <c r="K173">
        <f t="shared" si="41"/>
        <v>908728.43998543534</v>
      </c>
      <c r="L173">
        <f t="shared" si="48"/>
        <v>908728.43998543534</v>
      </c>
      <c r="M173">
        <f t="shared" si="42"/>
        <v>0</v>
      </c>
      <c r="N173" s="29">
        <f t="shared" si="49"/>
        <v>908728.43998543534</v>
      </c>
      <c r="O173" s="29">
        <f t="shared" si="43"/>
        <v>908681.85954038706</v>
      </c>
      <c r="P173" s="29">
        <f t="shared" si="50"/>
        <v>908681.85954038706</v>
      </c>
      <c r="Q173">
        <f t="shared" si="51"/>
        <v>0</v>
      </c>
      <c r="R173" s="29">
        <f t="shared" si="52"/>
        <v>908681.85954038706</v>
      </c>
      <c r="S173" s="29">
        <f t="shared" si="44"/>
        <v>908681.81690657523</v>
      </c>
      <c r="T173" s="29">
        <f t="shared" si="53"/>
        <v>908681.81690657523</v>
      </c>
      <c r="U173">
        <f t="shared" si="54"/>
        <v>0</v>
      </c>
      <c r="V173" s="29">
        <f t="shared" si="55"/>
        <v>908681.81690657523</v>
      </c>
      <c r="W173" s="29">
        <f t="shared" si="45"/>
        <v>908681.81690657628</v>
      </c>
      <c r="X173" s="29">
        <f t="shared" si="56"/>
        <v>908681.81690657628</v>
      </c>
      <c r="Y173">
        <f t="shared" si="57"/>
        <v>0</v>
      </c>
    </row>
    <row r="174" spans="1:25" x14ac:dyDescent="0.25">
      <c r="A174" s="4" t="s">
        <v>993</v>
      </c>
      <c r="B174" s="7" t="s">
        <v>185</v>
      </c>
      <c r="C174" s="2" t="s">
        <v>994</v>
      </c>
      <c r="D174">
        <f>VLOOKUP(B174,'Model allocations'!$A$1:$L$317,3,FALSE)</f>
        <v>384569.00240472978</v>
      </c>
      <c r="E174" s="31">
        <f>VLOOKUP(B174,'Initial adjusted formula count'!$A$1:$P$317,12,FALSE)</f>
        <v>9.6557514693534796E-2</v>
      </c>
      <c r="F174">
        <f>VLOOKUP(B174,'Model allocations'!$A$1:$L$317,8,FALSE)</f>
        <v>499769.05937295075</v>
      </c>
      <c r="G174" s="30">
        <f t="shared" si="46"/>
        <v>0.85</v>
      </c>
      <c r="H174">
        <f t="shared" si="47"/>
        <v>326883.6520440203</v>
      </c>
      <c r="I174">
        <f t="shared" si="39"/>
        <v>0</v>
      </c>
      <c r="J174">
        <f t="shared" si="40"/>
        <v>499769.05937295075</v>
      </c>
      <c r="K174">
        <f t="shared" si="41"/>
        <v>499540.01242029178</v>
      </c>
      <c r="L174">
        <f t="shared" si="48"/>
        <v>499540.01242029178</v>
      </c>
      <c r="M174">
        <f t="shared" si="42"/>
        <v>0</v>
      </c>
      <c r="N174" s="29">
        <f t="shared" si="49"/>
        <v>499540.01242029178</v>
      </c>
      <c r="O174" s="29">
        <f t="shared" si="43"/>
        <v>499514.40653510753</v>
      </c>
      <c r="P174" s="29">
        <f t="shared" si="50"/>
        <v>499514.40653510753</v>
      </c>
      <c r="Q174">
        <f t="shared" si="51"/>
        <v>0</v>
      </c>
      <c r="R174" s="29">
        <f t="shared" si="52"/>
        <v>499514.40653510753</v>
      </c>
      <c r="S174" s="29">
        <f t="shared" si="44"/>
        <v>499514.38309873862</v>
      </c>
      <c r="T174" s="29">
        <f t="shared" si="53"/>
        <v>499514.38309873862</v>
      </c>
      <c r="U174">
        <f t="shared" si="54"/>
        <v>0</v>
      </c>
      <c r="V174" s="29">
        <f t="shared" si="55"/>
        <v>499514.38309873862</v>
      </c>
      <c r="W174" s="29">
        <f t="shared" si="45"/>
        <v>499514.3830987392</v>
      </c>
      <c r="X174" s="29">
        <f t="shared" si="56"/>
        <v>499514.3830987392</v>
      </c>
      <c r="Y174">
        <f t="shared" si="57"/>
        <v>0</v>
      </c>
    </row>
    <row r="175" spans="1:25" x14ac:dyDescent="0.25">
      <c r="A175" s="4" t="s">
        <v>995</v>
      </c>
      <c r="B175" s="7" t="s">
        <v>187</v>
      </c>
      <c r="C175" s="2" t="s">
        <v>996</v>
      </c>
      <c r="D175">
        <f>VLOOKUP(B175,'Model allocations'!$A$1:$L$317,3,FALSE)</f>
        <v>14625.959070295998</v>
      </c>
      <c r="E175" s="31">
        <f>VLOOKUP(B175,'Initial adjusted formula count'!$A$1:$P$317,12,FALSE)</f>
        <v>6.8702290076335895E-2</v>
      </c>
      <c r="F175">
        <f>VLOOKUP(B175,'Model allocations'!$A$1:$L$317,8,FALSE)</f>
        <v>0</v>
      </c>
      <c r="G175" s="30">
        <f t="shared" si="46"/>
        <v>0.85</v>
      </c>
      <c r="H175">
        <f t="shared" si="47"/>
        <v>0</v>
      </c>
      <c r="I175">
        <f t="shared" si="39"/>
        <v>0</v>
      </c>
      <c r="J175">
        <f t="shared" si="40"/>
        <v>0</v>
      </c>
      <c r="K175">
        <f t="shared" si="41"/>
        <v>0</v>
      </c>
      <c r="L175">
        <f t="shared" si="48"/>
        <v>0</v>
      </c>
      <c r="M175">
        <f t="shared" si="42"/>
        <v>0</v>
      </c>
      <c r="N175" s="29">
        <f t="shared" si="49"/>
        <v>0</v>
      </c>
      <c r="O175" s="29">
        <f t="shared" si="43"/>
        <v>0</v>
      </c>
      <c r="P175" s="29">
        <f t="shared" si="50"/>
        <v>0</v>
      </c>
      <c r="Q175">
        <f t="shared" si="51"/>
        <v>0</v>
      </c>
      <c r="R175" s="29">
        <f t="shared" si="52"/>
        <v>0</v>
      </c>
      <c r="S175" s="29">
        <f t="shared" si="44"/>
        <v>0</v>
      </c>
      <c r="T175" s="29">
        <f t="shared" si="53"/>
        <v>0</v>
      </c>
      <c r="U175">
        <f t="shared" si="54"/>
        <v>0</v>
      </c>
      <c r="V175" s="29">
        <f t="shared" si="55"/>
        <v>0</v>
      </c>
      <c r="W175" s="29">
        <f t="shared" si="45"/>
        <v>0</v>
      </c>
      <c r="X175" s="29">
        <f t="shared" si="56"/>
        <v>0</v>
      </c>
      <c r="Y175">
        <f t="shared" si="57"/>
        <v>0</v>
      </c>
    </row>
    <row r="176" spans="1:25" x14ac:dyDescent="0.25">
      <c r="A176" s="4" t="s">
        <v>997</v>
      </c>
      <c r="B176" s="7" t="s">
        <v>507</v>
      </c>
      <c r="C176" s="2" t="s">
        <v>998</v>
      </c>
      <c r="D176">
        <f>VLOOKUP(B176,'Model allocations'!$A$1:$L$317,3,FALSE)</f>
        <v>96359.259757244217</v>
      </c>
      <c r="E176" s="31">
        <f>VLOOKUP(B176,'Initial adjusted formula count'!$A$1:$P$317,12,FALSE)</f>
        <v>0.15044247787610601</v>
      </c>
      <c r="F176">
        <f>VLOOKUP(B176,'Model allocations'!$A$1:$L$317,8,FALSE)</f>
        <v>86723.333781519803</v>
      </c>
      <c r="G176" s="30">
        <f t="shared" si="46"/>
        <v>0.9</v>
      </c>
      <c r="H176">
        <f t="shared" si="47"/>
        <v>86723.333781519803</v>
      </c>
      <c r="I176">
        <f t="shared" si="39"/>
        <v>0</v>
      </c>
      <c r="J176">
        <f t="shared" si="40"/>
        <v>86723.333781519803</v>
      </c>
      <c r="K176">
        <f t="shared" si="41"/>
        <v>86683.587993031004</v>
      </c>
      <c r="L176">
        <f t="shared" si="48"/>
        <v>86683.587993031004</v>
      </c>
      <c r="M176">
        <f t="shared" si="42"/>
        <v>86723.333781519803</v>
      </c>
      <c r="N176" s="29">
        <f t="shared" si="49"/>
        <v>0</v>
      </c>
      <c r="O176" s="29">
        <f t="shared" si="43"/>
        <v>0</v>
      </c>
      <c r="P176" s="29">
        <f t="shared" si="50"/>
        <v>86723.333781519803</v>
      </c>
      <c r="Q176">
        <f t="shared" si="51"/>
        <v>0</v>
      </c>
      <c r="R176" s="29">
        <f t="shared" si="52"/>
        <v>0</v>
      </c>
      <c r="S176" s="29">
        <f t="shared" si="44"/>
        <v>0</v>
      </c>
      <c r="T176" s="29">
        <f t="shared" si="53"/>
        <v>86723.333781519803</v>
      </c>
      <c r="U176">
        <f t="shared" si="54"/>
        <v>0</v>
      </c>
      <c r="V176" s="29">
        <f t="shared" si="55"/>
        <v>0</v>
      </c>
      <c r="W176" s="29">
        <f t="shared" si="45"/>
        <v>0</v>
      </c>
      <c r="X176" s="29">
        <f t="shared" si="56"/>
        <v>86723.333781519803</v>
      </c>
      <c r="Y176">
        <f t="shared" si="57"/>
        <v>0</v>
      </c>
    </row>
    <row r="177" spans="1:25" x14ac:dyDescent="0.25">
      <c r="A177" s="4" t="s">
        <v>999</v>
      </c>
      <c r="B177" s="7" t="s">
        <v>509</v>
      </c>
      <c r="C177" s="2" t="s">
        <v>1000</v>
      </c>
      <c r="D177">
        <f>VLOOKUP(B177,'Model allocations'!$A$1:$L$317,3,FALSE)</f>
        <v>166047.6529745369</v>
      </c>
      <c r="E177" s="31">
        <f>VLOOKUP(B177,'Initial adjusted formula count'!$A$1:$P$317,12,FALSE)</f>
        <v>0.19159335288367499</v>
      </c>
      <c r="F177">
        <f>VLOOKUP(B177,'Model allocations'!$A$1:$L$317,8,FALSE)</f>
        <v>170356.06197756229</v>
      </c>
      <c r="G177" s="30">
        <f t="shared" si="46"/>
        <v>0.9</v>
      </c>
      <c r="H177">
        <f t="shared" si="47"/>
        <v>149442.88767708323</v>
      </c>
      <c r="I177">
        <f t="shared" si="39"/>
        <v>0</v>
      </c>
      <c r="J177">
        <f t="shared" si="40"/>
        <v>170356.06197756229</v>
      </c>
      <c r="K177">
        <f t="shared" si="41"/>
        <v>170277.98684239507</v>
      </c>
      <c r="L177">
        <f t="shared" si="48"/>
        <v>170277.98684239507</v>
      </c>
      <c r="M177">
        <f t="shared" si="42"/>
        <v>0</v>
      </c>
      <c r="N177" s="29">
        <f t="shared" si="49"/>
        <v>170277.98684239507</v>
      </c>
      <c r="O177" s="29">
        <f t="shared" si="43"/>
        <v>170269.2585754453</v>
      </c>
      <c r="P177" s="29">
        <f t="shared" si="50"/>
        <v>170269.2585754453</v>
      </c>
      <c r="Q177">
        <f t="shared" si="51"/>
        <v>0</v>
      </c>
      <c r="R177" s="29">
        <f t="shared" si="52"/>
        <v>170269.2585754453</v>
      </c>
      <c r="S177" s="29">
        <f t="shared" si="44"/>
        <v>170269.25058670042</v>
      </c>
      <c r="T177" s="29">
        <f t="shared" si="53"/>
        <v>170269.25058670042</v>
      </c>
      <c r="U177">
        <f t="shared" si="54"/>
        <v>0</v>
      </c>
      <c r="V177" s="29">
        <f t="shared" si="55"/>
        <v>170269.25058670042</v>
      </c>
      <c r="W177" s="29">
        <f t="shared" si="45"/>
        <v>170269.25058670063</v>
      </c>
      <c r="X177" s="29">
        <f t="shared" si="56"/>
        <v>170269.25058670063</v>
      </c>
      <c r="Y177">
        <f t="shared" si="57"/>
        <v>0</v>
      </c>
    </row>
    <row r="178" spans="1:25" x14ac:dyDescent="0.25">
      <c r="A178" s="4" t="s">
        <v>1001</v>
      </c>
      <c r="B178" s="7" t="s">
        <v>511</v>
      </c>
      <c r="C178" s="2" t="s">
        <v>1002</v>
      </c>
      <c r="D178">
        <f>VLOOKUP(B178,'Model allocations'!$A$1:$L$317,3,FALSE)</f>
        <v>169489.05510872419</v>
      </c>
      <c r="E178" s="31">
        <f>VLOOKUP(B178,'Initial adjusted formula count'!$A$1:$P$317,12,FALSE)</f>
        <v>0.21212121212121199</v>
      </c>
      <c r="F178">
        <f>VLOOKUP(B178,'Model allocations'!$A$1:$L$317,8,FALSE)</f>
        <v>152540.14959785176</v>
      </c>
      <c r="G178" s="30">
        <f t="shared" si="46"/>
        <v>0.9</v>
      </c>
      <c r="H178">
        <f t="shared" si="47"/>
        <v>152540.14959785176</v>
      </c>
      <c r="I178">
        <f t="shared" si="39"/>
        <v>0</v>
      </c>
      <c r="J178">
        <f t="shared" si="40"/>
        <v>152540.14959785176</v>
      </c>
      <c r="K178">
        <f t="shared" si="41"/>
        <v>152470.23959488486</v>
      </c>
      <c r="L178">
        <f t="shared" si="48"/>
        <v>152470.23959488486</v>
      </c>
      <c r="M178">
        <f t="shared" si="42"/>
        <v>152540.14959785176</v>
      </c>
      <c r="N178" s="29">
        <f t="shared" si="49"/>
        <v>0</v>
      </c>
      <c r="O178" s="29">
        <f t="shared" si="43"/>
        <v>0</v>
      </c>
      <c r="P178" s="29">
        <f t="shared" si="50"/>
        <v>152540.14959785176</v>
      </c>
      <c r="Q178">
        <f t="shared" si="51"/>
        <v>0</v>
      </c>
      <c r="R178" s="29">
        <f t="shared" si="52"/>
        <v>0</v>
      </c>
      <c r="S178" s="29">
        <f t="shared" si="44"/>
        <v>0</v>
      </c>
      <c r="T178" s="29">
        <f t="shared" si="53"/>
        <v>152540.14959785176</v>
      </c>
      <c r="U178">
        <f t="shared" si="54"/>
        <v>0</v>
      </c>
      <c r="V178" s="29">
        <f t="shared" si="55"/>
        <v>0</v>
      </c>
      <c r="W178" s="29">
        <f t="shared" si="45"/>
        <v>0</v>
      </c>
      <c r="X178" s="29">
        <f t="shared" si="56"/>
        <v>152540.14959785176</v>
      </c>
      <c r="Y178">
        <f t="shared" si="57"/>
        <v>0</v>
      </c>
    </row>
    <row r="179" spans="1:25" x14ac:dyDescent="0.25">
      <c r="A179" s="4" t="s">
        <v>1003</v>
      </c>
      <c r="B179" s="7" t="s">
        <v>288</v>
      </c>
      <c r="C179" s="2" t="s">
        <v>1004</v>
      </c>
      <c r="D179">
        <f>VLOOKUP(B179,'Model allocations'!$A$1:$L$317,3,FALSE)</f>
        <v>28155.944818917713</v>
      </c>
      <c r="E179" s="31">
        <f>VLOOKUP(B179,'Initial adjusted formula count'!$A$1:$P$317,12,FALSE)</f>
        <v>0.14610389610389601</v>
      </c>
      <c r="F179">
        <f>VLOOKUP(B179,'Model allocations'!$A$1:$L$317,8,FALSE)</f>
        <v>39112.361168317882</v>
      </c>
      <c r="G179" s="30">
        <f t="shared" si="46"/>
        <v>0.85</v>
      </c>
      <c r="H179">
        <f t="shared" si="47"/>
        <v>23932.553096080057</v>
      </c>
      <c r="I179">
        <f t="shared" si="39"/>
        <v>0</v>
      </c>
      <c r="J179">
        <f t="shared" si="40"/>
        <v>39112.361168317882</v>
      </c>
      <c r="K179">
        <f t="shared" si="41"/>
        <v>39094.435754631522</v>
      </c>
      <c r="L179">
        <f t="shared" si="48"/>
        <v>39094.435754631522</v>
      </c>
      <c r="M179">
        <f t="shared" si="42"/>
        <v>0</v>
      </c>
      <c r="N179" s="29">
        <f t="shared" si="49"/>
        <v>39094.435754631522</v>
      </c>
      <c r="O179" s="29">
        <f t="shared" si="43"/>
        <v>39092.431815791017</v>
      </c>
      <c r="P179" s="29">
        <f t="shared" si="50"/>
        <v>39092.431815791017</v>
      </c>
      <c r="Q179">
        <f t="shared" si="51"/>
        <v>0</v>
      </c>
      <c r="R179" s="29">
        <f t="shared" si="52"/>
        <v>39092.431815791017</v>
      </c>
      <c r="S179" s="29">
        <f t="shared" si="44"/>
        <v>39092.429981640409</v>
      </c>
      <c r="T179" s="29">
        <f t="shared" si="53"/>
        <v>39092.429981640409</v>
      </c>
      <c r="U179">
        <f t="shared" si="54"/>
        <v>0</v>
      </c>
      <c r="V179" s="29">
        <f t="shared" si="55"/>
        <v>39092.429981640409</v>
      </c>
      <c r="W179" s="29">
        <f t="shared" si="45"/>
        <v>39092.429981640453</v>
      </c>
      <c r="X179" s="29">
        <f t="shared" si="56"/>
        <v>39092.429981640453</v>
      </c>
      <c r="Y179">
        <f t="shared" si="57"/>
        <v>0</v>
      </c>
    </row>
    <row r="180" spans="1:25" x14ac:dyDescent="0.25">
      <c r="A180" s="4" t="s">
        <v>1005</v>
      </c>
      <c r="B180" s="7" t="s">
        <v>513</v>
      </c>
      <c r="C180" s="2" t="s">
        <v>1006</v>
      </c>
      <c r="D180">
        <f>VLOOKUP(B180,'Model allocations'!$A$1:$L$317,3,FALSE)</f>
        <v>189540.06334198822</v>
      </c>
      <c r="E180" s="31">
        <f>VLOOKUP(B180,'Initial adjusted formula count'!$A$1:$P$317,12,FALSE)</f>
        <v>0.15983175604626701</v>
      </c>
      <c r="F180">
        <f>VLOOKUP(B180,'Model allocations'!$A$1:$L$317,8,FALSE)</f>
        <v>170586.05700778941</v>
      </c>
      <c r="G180" s="30">
        <f t="shared" si="46"/>
        <v>0.9</v>
      </c>
      <c r="H180">
        <f t="shared" si="47"/>
        <v>170586.05700778941</v>
      </c>
      <c r="I180">
        <f t="shared" si="39"/>
        <v>0</v>
      </c>
      <c r="J180">
        <f t="shared" si="40"/>
        <v>170586.05700778941</v>
      </c>
      <c r="K180">
        <f t="shared" si="41"/>
        <v>170507.87646461462</v>
      </c>
      <c r="L180">
        <f t="shared" si="48"/>
        <v>170507.87646461462</v>
      </c>
      <c r="M180">
        <f t="shared" si="42"/>
        <v>170586.05700778941</v>
      </c>
      <c r="N180" s="29">
        <f t="shared" si="49"/>
        <v>0</v>
      </c>
      <c r="O180" s="29">
        <f t="shared" si="43"/>
        <v>0</v>
      </c>
      <c r="P180" s="29">
        <f t="shared" si="50"/>
        <v>170586.05700778941</v>
      </c>
      <c r="Q180">
        <f t="shared" si="51"/>
        <v>0</v>
      </c>
      <c r="R180" s="29">
        <f t="shared" si="52"/>
        <v>0</v>
      </c>
      <c r="S180" s="29">
        <f t="shared" si="44"/>
        <v>0</v>
      </c>
      <c r="T180" s="29">
        <f t="shared" si="53"/>
        <v>170586.05700778941</v>
      </c>
      <c r="U180">
        <f t="shared" si="54"/>
        <v>0</v>
      </c>
      <c r="V180" s="29">
        <f t="shared" si="55"/>
        <v>0</v>
      </c>
      <c r="W180" s="29">
        <f t="shared" si="45"/>
        <v>0</v>
      </c>
      <c r="X180" s="29">
        <f t="shared" si="56"/>
        <v>170586.05700778941</v>
      </c>
      <c r="Y180">
        <f t="shared" si="57"/>
        <v>0</v>
      </c>
    </row>
    <row r="181" spans="1:25" x14ac:dyDescent="0.25">
      <c r="A181" s="4" t="s">
        <v>1007</v>
      </c>
      <c r="B181" s="7" t="s">
        <v>189</v>
      </c>
      <c r="C181" s="2" t="s">
        <v>1008</v>
      </c>
      <c r="D181">
        <f>VLOOKUP(B181,'Model allocations'!$A$1:$L$317,3,FALSE)</f>
        <v>938642.43209958449</v>
      </c>
      <c r="E181" s="31">
        <f>VLOOKUP(B181,'Initial adjusted formula count'!$A$1:$P$317,12,FALSE)</f>
        <v>8.5544021530180703E-2</v>
      </c>
      <c r="F181">
        <f>VLOOKUP(B181,'Model allocations'!$A$1:$L$317,8,FALSE)</f>
        <v>797429.69839450764</v>
      </c>
      <c r="G181" s="30">
        <f t="shared" si="46"/>
        <v>0.85</v>
      </c>
      <c r="H181">
        <f t="shared" si="47"/>
        <v>797846.06728464679</v>
      </c>
      <c r="I181">
        <f t="shared" si="39"/>
        <v>797846.06728464679</v>
      </c>
      <c r="J181">
        <f t="shared" si="40"/>
        <v>0</v>
      </c>
      <c r="K181">
        <f t="shared" si="41"/>
        <v>0</v>
      </c>
      <c r="L181">
        <f t="shared" si="48"/>
        <v>797846.06728464679</v>
      </c>
      <c r="M181">
        <f t="shared" si="42"/>
        <v>0</v>
      </c>
      <c r="N181" s="29">
        <f t="shared" si="49"/>
        <v>0</v>
      </c>
      <c r="O181" s="29">
        <f t="shared" si="43"/>
        <v>0</v>
      </c>
      <c r="P181" s="29">
        <f t="shared" si="50"/>
        <v>797846.06728464679</v>
      </c>
      <c r="Q181">
        <f t="shared" si="51"/>
        <v>0</v>
      </c>
      <c r="R181" s="29">
        <f t="shared" si="52"/>
        <v>0</v>
      </c>
      <c r="S181" s="29">
        <f t="shared" si="44"/>
        <v>0</v>
      </c>
      <c r="T181" s="29">
        <f t="shared" si="53"/>
        <v>797846.06728464679</v>
      </c>
      <c r="U181">
        <f t="shared" si="54"/>
        <v>0</v>
      </c>
      <c r="V181" s="29">
        <f t="shared" si="55"/>
        <v>0</v>
      </c>
      <c r="W181" s="29">
        <f t="shared" si="45"/>
        <v>0</v>
      </c>
      <c r="X181" s="29">
        <f t="shared" si="56"/>
        <v>797846.06728464679</v>
      </c>
      <c r="Y181">
        <f t="shared" si="57"/>
        <v>0</v>
      </c>
    </row>
    <row r="182" spans="1:25" x14ac:dyDescent="0.25">
      <c r="A182" s="4" t="s">
        <v>1009</v>
      </c>
      <c r="B182" s="7" t="s">
        <v>515</v>
      </c>
      <c r="C182" s="2" t="s">
        <v>1010</v>
      </c>
      <c r="D182">
        <f>VLOOKUP(B182,'Model allocations'!$A$1:$L$317,3,FALSE)</f>
        <v>362248.38360727491</v>
      </c>
      <c r="E182" s="31">
        <f>VLOOKUP(B182,'Initial adjusted formula count'!$A$1:$P$317,12,FALSE)</f>
        <v>0.20904255319148901</v>
      </c>
      <c r="F182">
        <f>VLOOKUP(B182,'Model allocations'!$A$1:$L$317,8,FALSE)</f>
        <v>341581.28753664275</v>
      </c>
      <c r="G182" s="30">
        <f t="shared" si="46"/>
        <v>0.9</v>
      </c>
      <c r="H182">
        <f t="shared" si="47"/>
        <v>326023.54524654744</v>
      </c>
      <c r="I182">
        <f t="shared" si="39"/>
        <v>0</v>
      </c>
      <c r="J182">
        <f t="shared" si="40"/>
        <v>341581.28753664275</v>
      </c>
      <c r="K182">
        <f t="shared" si="41"/>
        <v>341424.7389237819</v>
      </c>
      <c r="L182">
        <f t="shared" si="48"/>
        <v>341424.7389237819</v>
      </c>
      <c r="M182">
        <f t="shared" si="42"/>
        <v>0</v>
      </c>
      <c r="N182" s="29">
        <f t="shared" si="49"/>
        <v>341424.7389237819</v>
      </c>
      <c r="O182" s="29">
        <f t="shared" si="43"/>
        <v>341407.23785790813</v>
      </c>
      <c r="P182" s="29">
        <f t="shared" si="50"/>
        <v>341407.23785790813</v>
      </c>
      <c r="Q182">
        <f t="shared" si="51"/>
        <v>0</v>
      </c>
      <c r="R182" s="29">
        <f t="shared" si="52"/>
        <v>341407.23785790813</v>
      </c>
      <c r="S182" s="29">
        <f t="shared" si="44"/>
        <v>341407.2218396595</v>
      </c>
      <c r="T182" s="29">
        <f t="shared" si="53"/>
        <v>341407.2218396595</v>
      </c>
      <c r="U182">
        <f t="shared" si="54"/>
        <v>0</v>
      </c>
      <c r="V182" s="29">
        <f t="shared" si="55"/>
        <v>341407.2218396595</v>
      </c>
      <c r="W182" s="29">
        <f t="shared" si="45"/>
        <v>341407.22183965991</v>
      </c>
      <c r="X182" s="29">
        <f t="shared" si="56"/>
        <v>341407.22183965991</v>
      </c>
      <c r="Y182">
        <f t="shared" si="57"/>
        <v>0</v>
      </c>
    </row>
    <row r="183" spans="1:25" x14ac:dyDescent="0.25">
      <c r="A183" s="4" t="s">
        <v>1011</v>
      </c>
      <c r="B183" s="7" t="s">
        <v>517</v>
      </c>
      <c r="C183" s="2" t="s">
        <v>1012</v>
      </c>
      <c r="D183">
        <f>VLOOKUP(B183,'Model allocations'!$A$1:$L$317,3,FALSE)</f>
        <v>110985.21882754021</v>
      </c>
      <c r="E183" s="31">
        <f>VLOOKUP(B183,'Initial adjusted formula count'!$A$1:$P$317,12,FALSE)</f>
        <v>0.123678646934461</v>
      </c>
      <c r="F183">
        <f>VLOOKUP(B183,'Model allocations'!$A$1:$L$317,8,FALSE)</f>
        <v>101692.13903762648</v>
      </c>
      <c r="G183" s="30">
        <f t="shared" si="46"/>
        <v>0.85</v>
      </c>
      <c r="H183">
        <f t="shared" si="47"/>
        <v>94337.436003409181</v>
      </c>
      <c r="I183">
        <f t="shared" si="39"/>
        <v>0</v>
      </c>
      <c r="J183">
        <f t="shared" si="40"/>
        <v>101692.13903762648</v>
      </c>
      <c r="K183">
        <f t="shared" si="41"/>
        <v>101645.53296204195</v>
      </c>
      <c r="L183">
        <f t="shared" si="48"/>
        <v>101645.53296204195</v>
      </c>
      <c r="M183">
        <f t="shared" si="42"/>
        <v>0</v>
      </c>
      <c r="N183" s="29">
        <f t="shared" si="49"/>
        <v>101645.53296204195</v>
      </c>
      <c r="O183" s="29">
        <f t="shared" si="43"/>
        <v>101640.32272105663</v>
      </c>
      <c r="P183" s="29">
        <f t="shared" si="50"/>
        <v>101640.32272105663</v>
      </c>
      <c r="Q183">
        <f t="shared" si="51"/>
        <v>0</v>
      </c>
      <c r="R183" s="29">
        <f t="shared" si="52"/>
        <v>101640.32272105663</v>
      </c>
      <c r="S183" s="29">
        <f t="shared" si="44"/>
        <v>101640.31795226505</v>
      </c>
      <c r="T183" s="29">
        <f t="shared" si="53"/>
        <v>101640.31795226505</v>
      </c>
      <c r="U183">
        <f t="shared" si="54"/>
        <v>0</v>
      </c>
      <c r="V183" s="29">
        <f t="shared" si="55"/>
        <v>101640.31795226505</v>
      </c>
      <c r="W183" s="29">
        <f t="shared" si="45"/>
        <v>101640.31795226516</v>
      </c>
      <c r="X183" s="29">
        <f t="shared" si="56"/>
        <v>101640.31795226516</v>
      </c>
      <c r="Y183">
        <f t="shared" si="57"/>
        <v>0</v>
      </c>
    </row>
    <row r="184" spans="1:25" x14ac:dyDescent="0.25">
      <c r="A184" s="4" t="s">
        <v>1013</v>
      </c>
      <c r="B184" s="7" t="s">
        <v>519</v>
      </c>
      <c r="C184" s="2" t="s">
        <v>1014</v>
      </c>
      <c r="D184">
        <f>VLOOKUP(B184,'Model allocations'!$A$1:$L$317,3,FALSE)</f>
        <v>16346.660137389648</v>
      </c>
      <c r="E184" s="31">
        <f>VLOOKUP(B184,'Initial adjusted formula count'!$A$1:$P$317,12,FALSE)</f>
        <v>0.38095238095238099</v>
      </c>
      <c r="F184">
        <f>VLOOKUP(B184,'Model allocations'!$A$1:$L$317,8,FALSE)</f>
        <v>20859.925956436204</v>
      </c>
      <c r="G184" s="30">
        <f t="shared" si="46"/>
        <v>0.95</v>
      </c>
      <c r="H184">
        <f t="shared" si="47"/>
        <v>15529.327130520165</v>
      </c>
      <c r="I184">
        <f t="shared" si="39"/>
        <v>0</v>
      </c>
      <c r="J184">
        <f t="shared" si="40"/>
        <v>20859.925956436204</v>
      </c>
      <c r="K184">
        <f t="shared" si="41"/>
        <v>20850.365735803483</v>
      </c>
      <c r="L184">
        <f t="shared" si="48"/>
        <v>20850.365735803483</v>
      </c>
      <c r="M184">
        <f t="shared" si="42"/>
        <v>0</v>
      </c>
      <c r="N184" s="29">
        <f t="shared" si="49"/>
        <v>20850.365735803483</v>
      </c>
      <c r="O184" s="29">
        <f t="shared" si="43"/>
        <v>20849.296968421881</v>
      </c>
      <c r="P184" s="29">
        <f t="shared" si="50"/>
        <v>20849.296968421881</v>
      </c>
      <c r="Q184">
        <f t="shared" si="51"/>
        <v>0</v>
      </c>
      <c r="R184" s="29">
        <f t="shared" si="52"/>
        <v>20849.296968421881</v>
      </c>
      <c r="S184" s="29">
        <f t="shared" si="44"/>
        <v>20849.295990208226</v>
      </c>
      <c r="T184" s="29">
        <f t="shared" si="53"/>
        <v>20849.295990208226</v>
      </c>
      <c r="U184">
        <f t="shared" si="54"/>
        <v>0</v>
      </c>
      <c r="V184" s="29">
        <f t="shared" si="55"/>
        <v>20849.295990208226</v>
      </c>
      <c r="W184" s="29">
        <f t="shared" si="45"/>
        <v>20849.295990208251</v>
      </c>
      <c r="X184" s="29">
        <f t="shared" si="56"/>
        <v>20849.295990208251</v>
      </c>
      <c r="Y184">
        <f t="shared" si="57"/>
        <v>0</v>
      </c>
    </row>
    <row r="185" spans="1:25" x14ac:dyDescent="0.25">
      <c r="A185" s="4" t="s">
        <v>1015</v>
      </c>
      <c r="B185" s="7" t="s">
        <v>521</v>
      </c>
      <c r="C185" s="2" t="s">
        <v>1016</v>
      </c>
      <c r="D185">
        <f>VLOOKUP(B185,'Model allocations'!$A$1:$L$317,3,FALSE)</f>
        <v>67967.692150199073</v>
      </c>
      <c r="E185" s="31">
        <f>VLOOKUP(B185,'Initial adjusted formula count'!$A$1:$P$317,12,FALSE)</f>
        <v>0.146596858638743</v>
      </c>
      <c r="F185">
        <f>VLOOKUP(B185,'Model allocations'!$A$1:$L$317,8,FALSE)</f>
        <v>73009.740847526671</v>
      </c>
      <c r="G185" s="30">
        <f t="shared" si="46"/>
        <v>0.85</v>
      </c>
      <c r="H185">
        <f t="shared" si="47"/>
        <v>57772.538327669208</v>
      </c>
      <c r="I185">
        <f t="shared" si="39"/>
        <v>0</v>
      </c>
      <c r="J185">
        <f t="shared" si="40"/>
        <v>73009.740847526671</v>
      </c>
      <c r="K185">
        <f t="shared" si="41"/>
        <v>72976.280075312141</v>
      </c>
      <c r="L185">
        <f t="shared" si="48"/>
        <v>72976.280075312141</v>
      </c>
      <c r="M185">
        <f t="shared" si="42"/>
        <v>0</v>
      </c>
      <c r="N185" s="29">
        <f t="shared" si="49"/>
        <v>72976.280075312141</v>
      </c>
      <c r="O185" s="29">
        <f t="shared" si="43"/>
        <v>72972.539389476515</v>
      </c>
      <c r="P185" s="29">
        <f t="shared" si="50"/>
        <v>72972.539389476515</v>
      </c>
      <c r="Q185">
        <f t="shared" si="51"/>
        <v>0</v>
      </c>
      <c r="R185" s="29">
        <f t="shared" si="52"/>
        <v>72972.539389476515</v>
      </c>
      <c r="S185" s="29">
        <f t="shared" si="44"/>
        <v>72972.535965728719</v>
      </c>
      <c r="T185" s="29">
        <f t="shared" si="53"/>
        <v>72972.535965728719</v>
      </c>
      <c r="U185">
        <f t="shared" si="54"/>
        <v>0</v>
      </c>
      <c r="V185" s="29">
        <f t="shared" si="55"/>
        <v>72972.535965728719</v>
      </c>
      <c r="W185" s="29">
        <f t="shared" si="45"/>
        <v>72972.535965728792</v>
      </c>
      <c r="X185" s="29">
        <f t="shared" si="56"/>
        <v>72972.535965728792</v>
      </c>
      <c r="Y185">
        <f t="shared" si="57"/>
        <v>0</v>
      </c>
    </row>
    <row r="186" spans="1:25" x14ac:dyDescent="0.25">
      <c r="A186" s="4" t="s">
        <v>1017</v>
      </c>
      <c r="B186" s="7" t="s">
        <v>290</v>
      </c>
      <c r="C186" s="2" t="s">
        <v>1018</v>
      </c>
      <c r="D186">
        <f>VLOOKUP(B186,'Model allocations'!$A$1:$L$317,3,FALSE)</f>
        <v>18927.711738030121</v>
      </c>
      <c r="E186" s="31">
        <f>VLOOKUP(B186,'Initial adjusted formula count'!$A$1:$P$317,12,FALSE)</f>
        <v>8.98876404494382E-2</v>
      </c>
      <c r="F186">
        <f>VLOOKUP(B186,'Model allocations'!$A$1:$L$317,8,FALSE)</f>
        <v>16088.554977325603</v>
      </c>
      <c r="G186" s="30">
        <f t="shared" si="46"/>
        <v>0.85</v>
      </c>
      <c r="H186">
        <f t="shared" si="47"/>
        <v>16088.554977325603</v>
      </c>
      <c r="I186">
        <f t="shared" si="39"/>
        <v>0</v>
      </c>
      <c r="J186">
        <f t="shared" si="40"/>
        <v>16088.554977325603</v>
      </c>
      <c r="K186">
        <f t="shared" si="41"/>
        <v>16081.181502675399</v>
      </c>
      <c r="L186">
        <f t="shared" si="48"/>
        <v>16081.181502675399</v>
      </c>
      <c r="M186">
        <f t="shared" si="42"/>
        <v>16088.554977325603</v>
      </c>
      <c r="N186" s="29">
        <f t="shared" si="49"/>
        <v>0</v>
      </c>
      <c r="O186" s="29">
        <f t="shared" si="43"/>
        <v>0</v>
      </c>
      <c r="P186" s="29">
        <f t="shared" si="50"/>
        <v>16088.554977325603</v>
      </c>
      <c r="Q186">
        <f t="shared" si="51"/>
        <v>0</v>
      </c>
      <c r="R186" s="29">
        <f t="shared" si="52"/>
        <v>0</v>
      </c>
      <c r="S186" s="29">
        <f t="shared" si="44"/>
        <v>0</v>
      </c>
      <c r="T186" s="29">
        <f t="shared" si="53"/>
        <v>16088.554977325603</v>
      </c>
      <c r="U186">
        <f t="shared" si="54"/>
        <v>0</v>
      </c>
      <c r="V186" s="29">
        <f t="shared" si="55"/>
        <v>0</v>
      </c>
      <c r="W186" s="29">
        <f t="shared" si="45"/>
        <v>0</v>
      </c>
      <c r="X186" s="29">
        <f t="shared" si="56"/>
        <v>16088.554977325603</v>
      </c>
      <c r="Y186">
        <f t="shared" si="57"/>
        <v>0</v>
      </c>
    </row>
    <row r="187" spans="1:25" x14ac:dyDescent="0.25">
      <c r="A187" s="4" t="s">
        <v>1019</v>
      </c>
      <c r="B187" s="7" t="s">
        <v>523</v>
      </c>
      <c r="C187" s="2" t="s">
        <v>1020</v>
      </c>
      <c r="D187">
        <f>VLOOKUP(B187,'Model allocations'!$A$1:$L$317,3,FALSE)</f>
        <v>30972.619207685646</v>
      </c>
      <c r="E187" s="31">
        <f>VLOOKUP(B187,'Initial adjusted formula count'!$A$1:$P$317,12,FALSE)</f>
        <v>0.34615384615384598</v>
      </c>
      <c r="F187">
        <f>VLOOKUP(B187,'Model allocations'!$A$1:$L$317,8,FALSE)</f>
        <v>39112.361168317882</v>
      </c>
      <c r="G187" s="30">
        <f t="shared" si="46"/>
        <v>0.95</v>
      </c>
      <c r="H187">
        <f t="shared" si="47"/>
        <v>29423.988247301364</v>
      </c>
      <c r="I187">
        <f t="shared" si="39"/>
        <v>0</v>
      </c>
      <c r="J187">
        <f t="shared" si="40"/>
        <v>39112.361168317882</v>
      </c>
      <c r="K187">
        <f t="shared" si="41"/>
        <v>39094.435754631522</v>
      </c>
      <c r="L187">
        <f t="shared" si="48"/>
        <v>39094.435754631522</v>
      </c>
      <c r="M187">
        <f t="shared" si="42"/>
        <v>0</v>
      </c>
      <c r="N187" s="29">
        <f t="shared" si="49"/>
        <v>39094.435754631522</v>
      </c>
      <c r="O187" s="29">
        <f t="shared" si="43"/>
        <v>39092.431815791017</v>
      </c>
      <c r="P187" s="29">
        <f t="shared" si="50"/>
        <v>39092.431815791017</v>
      </c>
      <c r="Q187">
        <f t="shared" si="51"/>
        <v>0</v>
      </c>
      <c r="R187" s="29">
        <f t="shared" si="52"/>
        <v>39092.431815791017</v>
      </c>
      <c r="S187" s="29">
        <f t="shared" si="44"/>
        <v>39092.429981640409</v>
      </c>
      <c r="T187" s="29">
        <f t="shared" si="53"/>
        <v>39092.429981640409</v>
      </c>
      <c r="U187">
        <f t="shared" si="54"/>
        <v>0</v>
      </c>
      <c r="V187" s="29">
        <f t="shared" si="55"/>
        <v>39092.429981640409</v>
      </c>
      <c r="W187" s="29">
        <f t="shared" si="45"/>
        <v>39092.429981640453</v>
      </c>
      <c r="X187" s="29">
        <f t="shared" si="56"/>
        <v>39092.429981640453</v>
      </c>
      <c r="Y187">
        <f t="shared" si="57"/>
        <v>0</v>
      </c>
    </row>
    <row r="188" spans="1:25" x14ac:dyDescent="0.25">
      <c r="A188" s="4" t="s">
        <v>1021</v>
      </c>
      <c r="B188" s="7" t="s">
        <v>525</v>
      </c>
      <c r="C188" s="2" t="s">
        <v>1022</v>
      </c>
      <c r="D188">
        <f>VLOOKUP(B188,'Model allocations'!$A$1:$L$317,3,FALSE)</f>
        <v>51145.731377996824</v>
      </c>
      <c r="E188" s="31">
        <f>VLOOKUP(B188,'Initial adjusted formula count'!$A$1:$P$317,12,FALSE)</f>
        <v>7.1969696969697003E-2</v>
      </c>
      <c r="F188">
        <f>VLOOKUP(B188,'Model allocations'!$A$1:$L$317,8,FALSE)</f>
        <v>43473.871671297296</v>
      </c>
      <c r="G188" s="30">
        <f t="shared" si="46"/>
        <v>0.85</v>
      </c>
      <c r="H188">
        <f t="shared" si="47"/>
        <v>43473.871671297296</v>
      </c>
      <c r="I188">
        <f t="shared" si="39"/>
        <v>0</v>
      </c>
      <c r="J188">
        <f t="shared" si="40"/>
        <v>43473.871671297296</v>
      </c>
      <c r="K188">
        <f t="shared" si="41"/>
        <v>43453.947352974967</v>
      </c>
      <c r="L188">
        <f t="shared" si="48"/>
        <v>43453.947352974967</v>
      </c>
      <c r="M188">
        <f t="shared" si="42"/>
        <v>43473.871671297296</v>
      </c>
      <c r="N188" s="29">
        <f t="shared" si="49"/>
        <v>0</v>
      </c>
      <c r="O188" s="29">
        <f t="shared" si="43"/>
        <v>0</v>
      </c>
      <c r="P188" s="29">
        <f t="shared" si="50"/>
        <v>43473.871671297296</v>
      </c>
      <c r="Q188">
        <f t="shared" si="51"/>
        <v>0</v>
      </c>
      <c r="R188" s="29">
        <f t="shared" si="52"/>
        <v>0</v>
      </c>
      <c r="S188" s="29">
        <f t="shared" si="44"/>
        <v>0</v>
      </c>
      <c r="T188" s="29">
        <f t="shared" si="53"/>
        <v>43473.871671297296</v>
      </c>
      <c r="U188">
        <f t="shared" si="54"/>
        <v>0</v>
      </c>
      <c r="V188" s="29">
        <f t="shared" si="55"/>
        <v>0</v>
      </c>
      <c r="W188" s="29">
        <f t="shared" si="45"/>
        <v>0</v>
      </c>
      <c r="X188" s="29">
        <f t="shared" si="56"/>
        <v>43473.871671297296</v>
      </c>
      <c r="Y188">
        <f t="shared" si="57"/>
        <v>0</v>
      </c>
    </row>
    <row r="189" spans="1:25" x14ac:dyDescent="0.25">
      <c r="A189" s="4" t="s">
        <v>1023</v>
      </c>
      <c r="B189" s="7" t="s">
        <v>527</v>
      </c>
      <c r="C189" s="2" t="s">
        <v>1024</v>
      </c>
      <c r="D189">
        <f>VLOOKUP(B189,'Model allocations'!$A$1:$L$317,3,FALSE)</f>
        <v>221699.26327839165</v>
      </c>
      <c r="E189" s="31">
        <f>VLOOKUP(B189,'Initial adjusted formula count'!$A$1:$P$317,12,FALSE)</f>
        <v>0.215317919075144</v>
      </c>
      <c r="F189">
        <f>VLOOKUP(B189,'Model allocations'!$A$1:$L$317,8,FALSE)</f>
        <v>199529.33695055248</v>
      </c>
      <c r="G189" s="30">
        <f t="shared" si="46"/>
        <v>0.9</v>
      </c>
      <c r="H189">
        <f t="shared" si="47"/>
        <v>199529.33695055248</v>
      </c>
      <c r="I189">
        <f t="shared" si="39"/>
        <v>0</v>
      </c>
      <c r="J189">
        <f t="shared" si="40"/>
        <v>199529.33695055248</v>
      </c>
      <c r="K189">
        <f t="shared" si="41"/>
        <v>199437.89154044259</v>
      </c>
      <c r="L189">
        <f t="shared" si="48"/>
        <v>199437.89154044259</v>
      </c>
      <c r="M189">
        <f t="shared" si="42"/>
        <v>199529.33695055248</v>
      </c>
      <c r="N189" s="29">
        <f t="shared" si="49"/>
        <v>0</v>
      </c>
      <c r="O189" s="29">
        <f t="shared" si="43"/>
        <v>0</v>
      </c>
      <c r="P189" s="29">
        <f t="shared" si="50"/>
        <v>199529.33695055248</v>
      </c>
      <c r="Q189">
        <f t="shared" si="51"/>
        <v>0</v>
      </c>
      <c r="R189" s="29">
        <f t="shared" si="52"/>
        <v>0</v>
      </c>
      <c r="S189" s="29">
        <f t="shared" si="44"/>
        <v>0</v>
      </c>
      <c r="T189" s="29">
        <f t="shared" si="53"/>
        <v>199529.33695055248</v>
      </c>
      <c r="U189">
        <f t="shared" si="54"/>
        <v>0</v>
      </c>
      <c r="V189" s="29">
        <f t="shared" si="55"/>
        <v>0</v>
      </c>
      <c r="W189" s="29">
        <f t="shared" si="45"/>
        <v>0</v>
      </c>
      <c r="X189" s="29">
        <f t="shared" si="56"/>
        <v>199529.33695055248</v>
      </c>
      <c r="Y189">
        <f t="shared" si="57"/>
        <v>0</v>
      </c>
    </row>
    <row r="190" spans="1:25" x14ac:dyDescent="0.25">
      <c r="A190" s="4" t="s">
        <v>1025</v>
      </c>
      <c r="B190" s="7" t="s">
        <v>292</v>
      </c>
      <c r="C190" s="2" t="s">
        <v>1026</v>
      </c>
      <c r="D190">
        <f>VLOOKUP(B190,'Model allocations'!$A$1:$L$317,3,FALSE)</f>
        <v>148840.64230360044</v>
      </c>
      <c r="E190" s="31">
        <f>VLOOKUP(B190,'Initial adjusted formula count'!$A$1:$P$317,12,FALSE)</f>
        <v>5.16188149053146E-2</v>
      </c>
      <c r="F190">
        <f>VLOOKUP(B190,'Model allocations'!$A$1:$L$317,8,FALSE)</f>
        <v>146888.64527657157</v>
      </c>
      <c r="G190" s="30">
        <f t="shared" si="46"/>
        <v>0.85</v>
      </c>
      <c r="H190">
        <f t="shared" si="47"/>
        <v>126514.54595806038</v>
      </c>
      <c r="I190">
        <f t="shared" si="39"/>
        <v>0</v>
      </c>
      <c r="J190">
        <f t="shared" si="40"/>
        <v>146888.64527657157</v>
      </c>
      <c r="K190">
        <f t="shared" si="41"/>
        <v>146821.32538961613</v>
      </c>
      <c r="L190">
        <f t="shared" si="48"/>
        <v>146821.32538961613</v>
      </c>
      <c r="M190">
        <f t="shared" si="42"/>
        <v>0</v>
      </c>
      <c r="N190" s="29">
        <f t="shared" si="49"/>
        <v>146821.32538961613</v>
      </c>
      <c r="O190" s="29">
        <f t="shared" si="43"/>
        <v>146813.79948597067</v>
      </c>
      <c r="P190" s="29">
        <f t="shared" si="50"/>
        <v>146813.79948597067</v>
      </c>
      <c r="Q190">
        <f t="shared" si="51"/>
        <v>0</v>
      </c>
      <c r="R190" s="29">
        <f t="shared" si="52"/>
        <v>146813.79948597067</v>
      </c>
      <c r="S190" s="29">
        <f t="shared" si="44"/>
        <v>146813.79259771618</v>
      </c>
      <c r="T190" s="29">
        <f t="shared" si="53"/>
        <v>146813.79259771618</v>
      </c>
      <c r="U190">
        <f t="shared" si="54"/>
        <v>0</v>
      </c>
      <c r="V190" s="29">
        <f t="shared" si="55"/>
        <v>146813.79259771618</v>
      </c>
      <c r="W190" s="29">
        <f t="shared" si="45"/>
        <v>146813.79259771635</v>
      </c>
      <c r="X190" s="29">
        <f t="shared" si="56"/>
        <v>146813.79259771635</v>
      </c>
      <c r="Y190">
        <f t="shared" si="57"/>
        <v>0</v>
      </c>
    </row>
    <row r="191" spans="1:25" x14ac:dyDescent="0.25">
      <c r="A191" s="4" t="s">
        <v>1027</v>
      </c>
      <c r="B191" s="7" t="s">
        <v>529</v>
      </c>
      <c r="C191" s="2" t="s">
        <v>1028</v>
      </c>
      <c r="D191">
        <f>VLOOKUP(B191,'Model allocations'!$A$1:$L$317,3,FALSE)</f>
        <v>652959.38601576176</v>
      </c>
      <c r="E191" s="31">
        <f>VLOOKUP(B191,'Initial adjusted formula count'!$A$1:$P$317,12,FALSE)</f>
        <v>0.19907407407407399</v>
      </c>
      <c r="F191">
        <f>VLOOKUP(B191,'Model allocations'!$A$1:$L$317,8,FALSE)</f>
        <v>784854.71411091217</v>
      </c>
      <c r="G191" s="30">
        <f t="shared" si="46"/>
        <v>0.9</v>
      </c>
      <c r="H191">
        <f t="shared" si="47"/>
        <v>587663.44741418562</v>
      </c>
      <c r="I191">
        <f t="shared" si="39"/>
        <v>0</v>
      </c>
      <c r="J191">
        <f t="shared" si="40"/>
        <v>784854.71411091217</v>
      </c>
      <c r="K191">
        <f t="shared" si="41"/>
        <v>784495.01080960606</v>
      </c>
      <c r="L191">
        <f t="shared" si="48"/>
        <v>784495.01080960606</v>
      </c>
      <c r="M191">
        <f t="shared" si="42"/>
        <v>0</v>
      </c>
      <c r="N191" s="29">
        <f t="shared" si="49"/>
        <v>784495.01080960606</v>
      </c>
      <c r="O191" s="29">
        <f t="shared" si="43"/>
        <v>784454.79843687324</v>
      </c>
      <c r="P191" s="29">
        <f t="shared" si="50"/>
        <v>784454.79843687324</v>
      </c>
      <c r="Q191">
        <f t="shared" si="51"/>
        <v>0</v>
      </c>
      <c r="R191" s="29">
        <f t="shared" si="52"/>
        <v>784454.79843687324</v>
      </c>
      <c r="S191" s="29">
        <f t="shared" si="44"/>
        <v>784454.76163158438</v>
      </c>
      <c r="T191" s="29">
        <f t="shared" si="53"/>
        <v>784454.76163158438</v>
      </c>
      <c r="U191">
        <f t="shared" si="54"/>
        <v>0</v>
      </c>
      <c r="V191" s="29">
        <f t="shared" si="55"/>
        <v>784454.76163158438</v>
      </c>
      <c r="W191" s="29">
        <f t="shared" si="45"/>
        <v>784454.76163158531</v>
      </c>
      <c r="X191" s="29">
        <f t="shared" si="56"/>
        <v>784454.76163158531</v>
      </c>
      <c r="Y191">
        <f t="shared" si="57"/>
        <v>0</v>
      </c>
    </row>
    <row r="192" spans="1:25" x14ac:dyDescent="0.25">
      <c r="A192" s="4" t="s">
        <v>1029</v>
      </c>
      <c r="B192" s="7" t="s">
        <v>531</v>
      </c>
      <c r="C192" s="2" t="s">
        <v>1030</v>
      </c>
      <c r="D192">
        <f>VLOOKUP(B192,'Model allocations'!$A$1:$L$317,3,FALSE)</f>
        <v>9513.5939129183298</v>
      </c>
      <c r="E192" s="31">
        <f>VLOOKUP(B192,'Initial adjusted formula count'!$A$1:$P$317,12,FALSE)</f>
        <v>0.10638297872340401</v>
      </c>
      <c r="F192">
        <f>VLOOKUP(B192,'Model allocations'!$A$1:$L$317,8,FALSE)</f>
        <v>0</v>
      </c>
      <c r="G192" s="30">
        <f t="shared" si="46"/>
        <v>0.85</v>
      </c>
      <c r="H192">
        <f t="shared" si="47"/>
        <v>0</v>
      </c>
      <c r="I192">
        <f t="shared" si="39"/>
        <v>0</v>
      </c>
      <c r="J192">
        <f t="shared" si="40"/>
        <v>0</v>
      </c>
      <c r="K192">
        <f t="shared" si="41"/>
        <v>0</v>
      </c>
      <c r="L192">
        <f t="shared" si="48"/>
        <v>0</v>
      </c>
      <c r="M192">
        <f t="shared" si="42"/>
        <v>0</v>
      </c>
      <c r="N192" s="29">
        <f t="shared" si="49"/>
        <v>0</v>
      </c>
      <c r="O192" s="29">
        <f t="shared" si="43"/>
        <v>0</v>
      </c>
      <c r="P192" s="29">
        <f t="shared" si="50"/>
        <v>0</v>
      </c>
      <c r="Q192">
        <f t="shared" si="51"/>
        <v>0</v>
      </c>
      <c r="R192" s="29">
        <f t="shared" si="52"/>
        <v>0</v>
      </c>
      <c r="S192" s="29">
        <f t="shared" si="44"/>
        <v>0</v>
      </c>
      <c r="T192" s="29">
        <f t="shared" si="53"/>
        <v>0</v>
      </c>
      <c r="U192">
        <f t="shared" si="54"/>
        <v>0</v>
      </c>
      <c r="V192" s="29">
        <f t="shared" si="55"/>
        <v>0</v>
      </c>
      <c r="W192" s="29">
        <f t="shared" si="45"/>
        <v>0</v>
      </c>
      <c r="X192" s="29">
        <f t="shared" si="56"/>
        <v>0</v>
      </c>
      <c r="Y192">
        <f t="shared" si="57"/>
        <v>0</v>
      </c>
    </row>
    <row r="193" spans="1:25" x14ac:dyDescent="0.25">
      <c r="A193" s="4" t="s">
        <v>1031</v>
      </c>
      <c r="B193" s="7" t="s">
        <v>533</v>
      </c>
      <c r="C193" s="2" t="s">
        <v>1032</v>
      </c>
      <c r="D193">
        <f>VLOOKUP(B193,'Model allocations'!$A$1:$L$317,3,FALSE)</f>
        <v>15794.798313051404</v>
      </c>
      <c r="E193" s="31">
        <f>VLOOKUP(B193,'Initial adjusted formula count'!$A$1:$P$317,12,FALSE)</f>
        <v>4.8582995951416998E-2</v>
      </c>
      <c r="F193">
        <f>VLOOKUP(B193,'Model allocations'!$A$1:$L$317,8,FALSE)</f>
        <v>13425.578566093693</v>
      </c>
      <c r="G193" s="30">
        <f t="shared" si="46"/>
        <v>0.85</v>
      </c>
      <c r="H193">
        <f t="shared" si="47"/>
        <v>13425.578566093693</v>
      </c>
      <c r="I193">
        <f t="shared" si="39"/>
        <v>0</v>
      </c>
      <c r="J193">
        <f t="shared" si="40"/>
        <v>13425.578566093693</v>
      </c>
      <c r="K193">
        <f t="shared" si="41"/>
        <v>13419.425548413676</v>
      </c>
      <c r="L193">
        <f t="shared" si="48"/>
        <v>13419.425548413676</v>
      </c>
      <c r="M193">
        <f t="shared" si="42"/>
        <v>13425.578566093693</v>
      </c>
      <c r="N193" s="29">
        <f t="shared" si="49"/>
        <v>0</v>
      </c>
      <c r="O193" s="29">
        <f t="shared" si="43"/>
        <v>0</v>
      </c>
      <c r="P193" s="29">
        <f t="shared" si="50"/>
        <v>13425.578566093693</v>
      </c>
      <c r="Q193">
        <f t="shared" si="51"/>
        <v>0</v>
      </c>
      <c r="R193" s="29">
        <f t="shared" si="52"/>
        <v>0</v>
      </c>
      <c r="S193" s="29">
        <f t="shared" si="44"/>
        <v>0</v>
      </c>
      <c r="T193" s="29">
        <f t="shared" si="53"/>
        <v>13425.578566093693</v>
      </c>
      <c r="U193">
        <f t="shared" si="54"/>
        <v>0</v>
      </c>
      <c r="V193" s="29">
        <f t="shared" si="55"/>
        <v>0</v>
      </c>
      <c r="W193" s="29">
        <f t="shared" si="45"/>
        <v>0</v>
      </c>
      <c r="X193" s="29">
        <f t="shared" si="56"/>
        <v>13425.578566093693</v>
      </c>
      <c r="Y193">
        <f t="shared" si="57"/>
        <v>0</v>
      </c>
    </row>
    <row r="194" spans="1:25" x14ac:dyDescent="0.25">
      <c r="A194" s="4" t="s">
        <v>1033</v>
      </c>
      <c r="B194" s="7" t="s">
        <v>535</v>
      </c>
      <c r="C194" s="2" t="s">
        <v>1034</v>
      </c>
      <c r="D194">
        <f>VLOOKUP(B194,'Model allocations'!$A$1:$L$317,3,FALSE)</f>
        <v>2082908.6417168598</v>
      </c>
      <c r="E194" s="31">
        <f>VLOOKUP(B194,'Initial adjusted formula count'!$A$1:$P$317,12,FALSE)</f>
        <v>0.156570363466915</v>
      </c>
      <c r="F194">
        <f>VLOOKUP(B194,'Model allocations'!$A$1:$L$317,8,FALSE)</f>
        <v>2774370.1522060158</v>
      </c>
      <c r="G194" s="30">
        <f t="shared" si="46"/>
        <v>0.9</v>
      </c>
      <c r="H194">
        <f t="shared" si="47"/>
        <v>1874617.7775451739</v>
      </c>
      <c r="I194">
        <f t="shared" si="39"/>
        <v>0</v>
      </c>
      <c r="J194">
        <f t="shared" si="40"/>
        <v>2774370.1522060158</v>
      </c>
      <c r="K194">
        <f t="shared" si="41"/>
        <v>2773098.6428618636</v>
      </c>
      <c r="L194">
        <f t="shared" si="48"/>
        <v>2773098.6428618636</v>
      </c>
      <c r="M194">
        <f t="shared" si="42"/>
        <v>0</v>
      </c>
      <c r="N194" s="29">
        <f t="shared" si="49"/>
        <v>2773098.6428618636</v>
      </c>
      <c r="O194" s="29">
        <f t="shared" si="43"/>
        <v>2772956.4968001102</v>
      </c>
      <c r="P194" s="29">
        <f t="shared" si="50"/>
        <v>2772956.4968001102</v>
      </c>
      <c r="Q194">
        <f t="shared" si="51"/>
        <v>0</v>
      </c>
      <c r="R194" s="29">
        <f t="shared" si="52"/>
        <v>2772956.4968001102</v>
      </c>
      <c r="S194" s="29">
        <f t="shared" si="44"/>
        <v>2772956.3666976937</v>
      </c>
      <c r="T194" s="29">
        <f t="shared" si="53"/>
        <v>2772956.3666976937</v>
      </c>
      <c r="U194">
        <f t="shared" si="54"/>
        <v>0</v>
      </c>
      <c r="V194" s="29">
        <f t="shared" si="55"/>
        <v>2772956.3666976937</v>
      </c>
      <c r="W194" s="29">
        <f t="shared" si="45"/>
        <v>2772956.366697697</v>
      </c>
      <c r="X194" s="29">
        <f t="shared" si="56"/>
        <v>2772956.366697697</v>
      </c>
      <c r="Y194">
        <f t="shared" si="57"/>
        <v>0</v>
      </c>
    </row>
    <row r="195" spans="1:25" x14ac:dyDescent="0.25">
      <c r="A195" s="4" t="s">
        <v>1035</v>
      </c>
      <c r="B195" s="7" t="s">
        <v>537</v>
      </c>
      <c r="C195" s="2" t="s">
        <v>1036</v>
      </c>
      <c r="D195">
        <f>VLOOKUP(B195,'Model allocations'!$A$1:$L$317,3,FALSE)</f>
        <v>44387.736841564809</v>
      </c>
      <c r="E195" s="31">
        <f>VLOOKUP(B195,'Initial adjusted formula count'!$A$1:$P$317,12,FALSE)</f>
        <v>0.14285714285714299</v>
      </c>
      <c r="F195">
        <f>VLOOKUP(B195,'Model allocations'!$A$1:$L$317,8,FALSE)</f>
        <v>37729.576315330087</v>
      </c>
      <c r="G195" s="30">
        <f t="shared" si="46"/>
        <v>0.85</v>
      </c>
      <c r="H195">
        <f t="shared" si="47"/>
        <v>37729.576315330087</v>
      </c>
      <c r="I195">
        <f t="shared" si="39"/>
        <v>0</v>
      </c>
      <c r="J195">
        <f t="shared" si="40"/>
        <v>37729.576315330087</v>
      </c>
      <c r="K195">
        <f t="shared" si="41"/>
        <v>37712.284639668971</v>
      </c>
      <c r="L195">
        <f t="shared" si="48"/>
        <v>37712.284639668971</v>
      </c>
      <c r="M195">
        <f t="shared" si="42"/>
        <v>37729.576315330087</v>
      </c>
      <c r="N195" s="29">
        <f t="shared" si="49"/>
        <v>0</v>
      </c>
      <c r="O195" s="29">
        <f t="shared" si="43"/>
        <v>0</v>
      </c>
      <c r="P195" s="29">
        <f t="shared" si="50"/>
        <v>37729.576315330087</v>
      </c>
      <c r="Q195">
        <f t="shared" si="51"/>
        <v>0</v>
      </c>
      <c r="R195" s="29">
        <f t="shared" si="52"/>
        <v>0</v>
      </c>
      <c r="S195" s="29">
        <f t="shared" si="44"/>
        <v>0</v>
      </c>
      <c r="T195" s="29">
        <f t="shared" si="53"/>
        <v>37729.576315330087</v>
      </c>
      <c r="U195">
        <f t="shared" si="54"/>
        <v>0</v>
      </c>
      <c r="V195" s="29">
        <f t="shared" si="55"/>
        <v>0</v>
      </c>
      <c r="W195" s="29">
        <f t="shared" si="45"/>
        <v>0</v>
      </c>
      <c r="X195" s="29">
        <f t="shared" si="56"/>
        <v>37729.576315330087</v>
      </c>
      <c r="Y195">
        <f t="shared" si="57"/>
        <v>0</v>
      </c>
    </row>
    <row r="196" spans="1:25" x14ac:dyDescent="0.25">
      <c r="A196" s="4" t="s">
        <v>1037</v>
      </c>
      <c r="B196" s="7" t="s">
        <v>191</v>
      </c>
      <c r="C196" s="2" t="s">
        <v>1038</v>
      </c>
      <c r="D196">
        <f>VLOOKUP(B196,'Model allocations'!$A$1:$L$317,3,FALSE)</f>
        <v>0</v>
      </c>
      <c r="E196" s="31">
        <f>VLOOKUP(B196,'Initial adjusted formula count'!$A$1:$P$317,12,FALSE)</f>
        <v>4.49438202247191E-2</v>
      </c>
      <c r="F196">
        <f>VLOOKUP(B196,'Model allocations'!$A$1:$L$317,8,FALSE)</f>
        <v>0</v>
      </c>
      <c r="G196" s="30">
        <f t="shared" si="46"/>
        <v>0.85</v>
      </c>
      <c r="H196">
        <f t="shared" si="47"/>
        <v>0</v>
      </c>
      <c r="I196">
        <f t="shared" ref="I196:I258" si="58">IF(F196&lt;H196,H196,0)</f>
        <v>0</v>
      </c>
      <c r="J196">
        <f t="shared" ref="J196:J258" si="59">IF(I196=0,F196,0)</f>
        <v>0</v>
      </c>
      <c r="K196">
        <f t="shared" ref="K196:K258" si="60">(J196/$J$3)*($F$3-$I$3)</f>
        <v>0</v>
      </c>
      <c r="L196">
        <f t="shared" si="48"/>
        <v>0</v>
      </c>
      <c r="M196">
        <f t="shared" ref="M196:M258" si="61">IF(L196&lt;H196,H196,0)</f>
        <v>0</v>
      </c>
      <c r="N196" s="29">
        <f t="shared" si="49"/>
        <v>0</v>
      </c>
      <c r="O196" s="29">
        <f t="shared" ref="O196:O258" si="62">((N196/$N$3)*($F$3-$I$3-$M$3))</f>
        <v>0</v>
      </c>
      <c r="P196" s="29">
        <f t="shared" si="50"/>
        <v>0</v>
      </c>
      <c r="Q196">
        <f t="shared" si="51"/>
        <v>0</v>
      </c>
      <c r="R196" s="29">
        <f t="shared" si="52"/>
        <v>0</v>
      </c>
      <c r="S196" s="29">
        <f t="shared" ref="S196:S258" si="63">((R196/$R$3)*($F$3-$I$3-$M$3-$Q$3))</f>
        <v>0</v>
      </c>
      <c r="T196" s="29">
        <f t="shared" si="53"/>
        <v>0</v>
      </c>
      <c r="U196">
        <f t="shared" si="54"/>
        <v>0</v>
      </c>
      <c r="V196" s="29">
        <f t="shared" si="55"/>
        <v>0</v>
      </c>
      <c r="W196" s="29">
        <f t="shared" ref="W196:W258" si="64">((V196/$V$3)*($F$3-$I$3-$M$3-$Q$3-$U$3))</f>
        <v>0</v>
      </c>
      <c r="X196" s="29">
        <f t="shared" si="56"/>
        <v>0</v>
      </c>
      <c r="Y196">
        <f t="shared" si="57"/>
        <v>0</v>
      </c>
    </row>
    <row r="197" spans="1:25" x14ac:dyDescent="0.25">
      <c r="A197" s="4" t="s">
        <v>1039</v>
      </c>
      <c r="B197" s="7" t="s">
        <v>294</v>
      </c>
      <c r="C197" s="2" t="s">
        <v>1040</v>
      </c>
      <c r="D197">
        <f>VLOOKUP(B197,'Model allocations'!$A$1:$L$317,3,FALSE)</f>
        <v>28068.715943930685</v>
      </c>
      <c r="E197" s="31">
        <f>VLOOKUP(B197,'Initial adjusted formula count'!$A$1:$P$317,12,FALSE)</f>
        <v>9.5238095238095205E-2</v>
      </c>
      <c r="F197">
        <f>VLOOKUP(B197,'Model allocations'!$A$1:$L$317,8,FALSE)</f>
        <v>23858.408552341083</v>
      </c>
      <c r="G197" s="30">
        <f t="shared" ref="G197:G259" si="65">IF(E197&lt;0.15,0.85,IF(AND(E197&gt;=0.15,E197&lt;0.3),0.9,0.95))</f>
        <v>0.85</v>
      </c>
      <c r="H197">
        <f t="shared" ref="H197:H259" si="66">IF(F197 = 0, 0, D197*G197)</f>
        <v>23858.408552341083</v>
      </c>
      <c r="I197">
        <f t="shared" si="58"/>
        <v>0</v>
      </c>
      <c r="J197">
        <f t="shared" si="59"/>
        <v>23858.408552341083</v>
      </c>
      <c r="K197">
        <f t="shared" si="60"/>
        <v>23847.474110378902</v>
      </c>
      <c r="L197">
        <f t="shared" ref="L197:L259" si="67">I197+K197</f>
        <v>23847.474110378902</v>
      </c>
      <c r="M197">
        <f t="shared" si="61"/>
        <v>23858.408552341083</v>
      </c>
      <c r="N197" s="29">
        <f t="shared" ref="N197:N259" si="68">IF($I197+$M197=0,L197,0)</f>
        <v>0</v>
      </c>
      <c r="O197" s="29">
        <f t="shared" si="62"/>
        <v>0</v>
      </c>
      <c r="P197" s="29">
        <f t="shared" ref="P197:P259" si="69">$I197+$M197+O197</f>
        <v>23858.408552341083</v>
      </c>
      <c r="Q197">
        <f t="shared" ref="Q197:Q259" si="70">IF(P197&lt;H197,H197,0)</f>
        <v>0</v>
      </c>
      <c r="R197" s="29">
        <f t="shared" ref="R197:R259" si="71">IF($I197+$M197+$Q197=0,P197,0)</f>
        <v>0</v>
      </c>
      <c r="S197" s="29">
        <f t="shared" si="63"/>
        <v>0</v>
      </c>
      <c r="T197" s="29">
        <f t="shared" ref="T197:T259" si="72">$I197+$M197+$Q197+S197</f>
        <v>23858.408552341083</v>
      </c>
      <c r="U197">
        <f t="shared" ref="U197:U259" si="73">IF(T197&lt;H197,H197,0)</f>
        <v>0</v>
      </c>
      <c r="V197" s="29">
        <f t="shared" ref="V197:V259" si="74">IF($I197+$M197+$Q197+U197=0,T197,0)</f>
        <v>0</v>
      </c>
      <c r="W197" s="29">
        <f t="shared" si="64"/>
        <v>0</v>
      </c>
      <c r="X197" s="29">
        <f t="shared" ref="X197:X259" si="75">$I197+$M197+$Q197+$U197+W197</f>
        <v>23858.408552341083</v>
      </c>
      <c r="Y197">
        <f t="shared" ref="Y197:Y259" si="76">IF(X197&lt;H197,H197,0)</f>
        <v>0</v>
      </c>
    </row>
    <row r="198" spans="1:25" x14ac:dyDescent="0.25">
      <c r="A198" s="4" t="s">
        <v>1041</v>
      </c>
      <c r="B198" s="7" t="s">
        <v>193</v>
      </c>
      <c r="C198" s="2" t="s">
        <v>1042</v>
      </c>
      <c r="D198">
        <f>VLOOKUP(B198,'Model allocations'!$A$1:$L$317,3,FALSE)</f>
        <v>459427.18491400371</v>
      </c>
      <c r="E198" s="31">
        <f>VLOOKUP(B198,'Initial adjusted formula count'!$A$1:$P$317,12,FALSE)</f>
        <v>4.4412364130434798E-2</v>
      </c>
      <c r="F198">
        <f>VLOOKUP(B198,'Model allocations'!$A$1:$L$317,8,FALSE)</f>
        <v>454572.55313400575</v>
      </c>
      <c r="G198" s="30">
        <f t="shared" si="65"/>
        <v>0.85</v>
      </c>
      <c r="H198">
        <f t="shared" si="66"/>
        <v>390513.10717690317</v>
      </c>
      <c r="I198">
        <f t="shared" si="58"/>
        <v>0</v>
      </c>
      <c r="J198">
        <f t="shared" si="59"/>
        <v>454572.55313400575</v>
      </c>
      <c r="K198">
        <f t="shared" si="60"/>
        <v>454364.21999271767</v>
      </c>
      <c r="L198">
        <f t="shared" si="67"/>
        <v>454364.21999271767</v>
      </c>
      <c r="M198">
        <f t="shared" si="61"/>
        <v>0</v>
      </c>
      <c r="N198" s="29">
        <f t="shared" si="68"/>
        <v>454364.21999271767</v>
      </c>
      <c r="O198" s="29">
        <f t="shared" si="62"/>
        <v>454340.92977019353</v>
      </c>
      <c r="P198" s="29">
        <f t="shared" si="69"/>
        <v>454340.92977019353</v>
      </c>
      <c r="Q198">
        <f t="shared" si="70"/>
        <v>0</v>
      </c>
      <c r="R198" s="29">
        <f t="shared" si="71"/>
        <v>454340.92977019353</v>
      </c>
      <c r="S198" s="29">
        <f t="shared" si="63"/>
        <v>454340.90845328761</v>
      </c>
      <c r="T198" s="29">
        <f t="shared" si="72"/>
        <v>454340.90845328761</v>
      </c>
      <c r="U198">
        <f t="shared" si="73"/>
        <v>0</v>
      </c>
      <c r="V198" s="29">
        <f t="shared" si="74"/>
        <v>454340.90845328761</v>
      </c>
      <c r="W198" s="29">
        <f t="shared" si="64"/>
        <v>454340.90845328814</v>
      </c>
      <c r="X198" s="29">
        <f t="shared" si="75"/>
        <v>454340.90845328814</v>
      </c>
      <c r="Y198">
        <f t="shared" si="76"/>
        <v>0</v>
      </c>
    </row>
    <row r="199" spans="1:25" x14ac:dyDescent="0.25">
      <c r="A199" s="4" t="s">
        <v>52</v>
      </c>
      <c r="B199" s="7" t="s">
        <v>83</v>
      </c>
      <c r="C199" s="2" t="s">
        <v>1043</v>
      </c>
      <c r="D199">
        <f>VLOOKUP(B199,'Model allocations'!$A$1:$L$317,3,FALSE)</f>
        <v>16501.837971525518</v>
      </c>
      <c r="E199" s="31">
        <f>VLOOKUP(B199,'Initial adjusted formula count'!$A$1:$P$317,12,FALSE)</f>
        <v>8.8673742888640106E-2</v>
      </c>
      <c r="F199">
        <f>VLOOKUP(B199,'Model allocations'!$A$1:$L$317,8,FALSE)</f>
        <v>20470.243692138225</v>
      </c>
      <c r="G199" s="30">
        <f t="shared" si="65"/>
        <v>0.85</v>
      </c>
      <c r="H199">
        <f t="shared" si="66"/>
        <v>14026.56227579669</v>
      </c>
      <c r="I199">
        <f t="shared" si="58"/>
        <v>0</v>
      </c>
      <c r="J199">
        <f t="shared" si="59"/>
        <v>20470.243692138225</v>
      </c>
      <c r="K199">
        <f t="shared" si="60"/>
        <v>20460.862065064804</v>
      </c>
      <c r="L199">
        <f t="shared" si="67"/>
        <v>20460.862065064804</v>
      </c>
      <c r="M199">
        <f t="shared" si="61"/>
        <v>0</v>
      </c>
      <c r="N199" s="29">
        <f t="shared" si="68"/>
        <v>20460.862065064804</v>
      </c>
      <c r="O199" s="29">
        <f t="shared" si="62"/>
        <v>20459.813263223543</v>
      </c>
      <c r="P199" s="29">
        <f t="shared" si="69"/>
        <v>20459.813263223543</v>
      </c>
      <c r="Q199">
        <f t="shared" si="70"/>
        <v>0</v>
      </c>
      <c r="R199" s="29">
        <f t="shared" si="71"/>
        <v>20459.813263223543</v>
      </c>
      <c r="S199" s="29">
        <f t="shared" si="63"/>
        <v>20459.812303283801</v>
      </c>
      <c r="T199" s="29">
        <f t="shared" si="72"/>
        <v>20459.812303283801</v>
      </c>
      <c r="U199">
        <f t="shared" si="73"/>
        <v>0</v>
      </c>
      <c r="V199" s="29">
        <f t="shared" si="74"/>
        <v>20459.812303283801</v>
      </c>
      <c r="W199" s="29">
        <f t="shared" si="64"/>
        <v>20459.812303283823</v>
      </c>
      <c r="X199" s="29">
        <f t="shared" si="75"/>
        <v>20459.812303283823</v>
      </c>
      <c r="Y199">
        <f t="shared" si="76"/>
        <v>0</v>
      </c>
    </row>
    <row r="200" spans="1:25" x14ac:dyDescent="0.25">
      <c r="A200" s="4" t="s">
        <v>1044</v>
      </c>
      <c r="B200" s="7" t="s">
        <v>539</v>
      </c>
      <c r="C200" s="2" t="s">
        <v>1045</v>
      </c>
      <c r="D200">
        <f>VLOOKUP(B200,'Model allocations'!$A$1:$L$317,3,FALSE)</f>
        <v>170995.85999781726</v>
      </c>
      <c r="E200" s="31">
        <f>VLOOKUP(B200,'Initial adjusted formula count'!$A$1:$P$317,12,FALSE)</f>
        <v>0.111772486772487</v>
      </c>
      <c r="F200">
        <f>VLOOKUP(B200,'Model allocations'!$A$1:$L$317,8,FALSE)</f>
        <v>146888.64527657157</v>
      </c>
      <c r="G200" s="30">
        <f t="shared" si="65"/>
        <v>0.85</v>
      </c>
      <c r="H200">
        <f t="shared" si="66"/>
        <v>145346.48099814466</v>
      </c>
      <c r="I200">
        <f t="shared" si="58"/>
        <v>0</v>
      </c>
      <c r="J200">
        <f t="shared" si="59"/>
        <v>146888.64527657157</v>
      </c>
      <c r="K200">
        <f t="shared" si="60"/>
        <v>146821.32538961613</v>
      </c>
      <c r="L200">
        <f t="shared" si="67"/>
        <v>146821.32538961613</v>
      </c>
      <c r="M200">
        <f t="shared" si="61"/>
        <v>0</v>
      </c>
      <c r="N200" s="29">
        <f t="shared" si="68"/>
        <v>146821.32538961613</v>
      </c>
      <c r="O200" s="29">
        <f t="shared" si="62"/>
        <v>146813.79948597067</v>
      </c>
      <c r="P200" s="29">
        <f t="shared" si="69"/>
        <v>146813.79948597067</v>
      </c>
      <c r="Q200">
        <f t="shared" si="70"/>
        <v>0</v>
      </c>
      <c r="R200" s="29">
        <f t="shared" si="71"/>
        <v>146813.79948597067</v>
      </c>
      <c r="S200" s="29">
        <f t="shared" si="63"/>
        <v>146813.79259771618</v>
      </c>
      <c r="T200" s="29">
        <f t="shared" si="72"/>
        <v>146813.79259771618</v>
      </c>
      <c r="U200">
        <f t="shared" si="73"/>
        <v>0</v>
      </c>
      <c r="V200" s="29">
        <f t="shared" si="74"/>
        <v>146813.79259771618</v>
      </c>
      <c r="W200" s="29">
        <f t="shared" si="64"/>
        <v>146813.79259771635</v>
      </c>
      <c r="X200" s="29">
        <f t="shared" si="75"/>
        <v>146813.79259771635</v>
      </c>
      <c r="Y200">
        <f t="shared" si="76"/>
        <v>0</v>
      </c>
    </row>
    <row r="201" spans="1:25" x14ac:dyDescent="0.25">
      <c r="A201" s="4" t="s">
        <v>1046</v>
      </c>
      <c r="B201" s="7" t="s">
        <v>541</v>
      </c>
      <c r="C201" s="2" t="s">
        <v>1047</v>
      </c>
      <c r="D201">
        <f>VLOOKUP(B201,'Model allocations'!$A$1:$L$317,3,FALSE)</f>
        <v>55922.78468054354</v>
      </c>
      <c r="E201" s="31">
        <f>VLOOKUP(B201,'Initial adjusted formula count'!$A$1:$P$317,12,FALSE)</f>
        <v>0.16253443526170799</v>
      </c>
      <c r="F201">
        <f>VLOOKUP(B201,'Model allocations'!$A$1:$L$317,8,FALSE)</f>
        <v>51280.651309572335</v>
      </c>
      <c r="G201" s="30">
        <f t="shared" si="65"/>
        <v>0.9</v>
      </c>
      <c r="H201">
        <f t="shared" si="66"/>
        <v>50330.506212489185</v>
      </c>
      <c r="I201">
        <f t="shared" si="58"/>
        <v>0</v>
      </c>
      <c r="J201">
        <f t="shared" si="59"/>
        <v>51280.651309572335</v>
      </c>
      <c r="K201">
        <f t="shared" si="60"/>
        <v>51257.149100516894</v>
      </c>
      <c r="L201">
        <f t="shared" si="67"/>
        <v>51257.149100516894</v>
      </c>
      <c r="M201">
        <f t="shared" si="61"/>
        <v>0</v>
      </c>
      <c r="N201" s="29">
        <f t="shared" si="68"/>
        <v>51257.149100516894</v>
      </c>
      <c r="O201" s="29">
        <f t="shared" si="62"/>
        <v>51254.521714037117</v>
      </c>
      <c r="P201" s="29">
        <f t="shared" si="69"/>
        <v>51254.521714037117</v>
      </c>
      <c r="Q201">
        <f t="shared" si="70"/>
        <v>0</v>
      </c>
      <c r="R201" s="29">
        <f t="shared" si="71"/>
        <v>51254.521714037117</v>
      </c>
      <c r="S201" s="29">
        <f t="shared" si="63"/>
        <v>51254.519309261872</v>
      </c>
      <c r="T201" s="29">
        <f t="shared" si="72"/>
        <v>51254.519309261872</v>
      </c>
      <c r="U201">
        <f t="shared" si="73"/>
        <v>0</v>
      </c>
      <c r="V201" s="29">
        <f t="shared" si="74"/>
        <v>51254.519309261872</v>
      </c>
      <c r="W201" s="29">
        <f t="shared" si="64"/>
        <v>51254.51930926193</v>
      </c>
      <c r="X201" s="29">
        <f t="shared" si="75"/>
        <v>51254.51930926193</v>
      </c>
      <c r="Y201">
        <f t="shared" si="76"/>
        <v>0</v>
      </c>
    </row>
    <row r="202" spans="1:25" x14ac:dyDescent="0.25">
      <c r="A202" s="4" t="s">
        <v>1048</v>
      </c>
      <c r="B202" s="7" t="s">
        <v>543</v>
      </c>
      <c r="C202" s="2" t="s">
        <v>1049</v>
      </c>
      <c r="D202">
        <f>VLOOKUP(B202,'Model allocations'!$A$1:$L$317,3,FALSE)</f>
        <v>511908.56746036001</v>
      </c>
      <c r="E202" s="31">
        <f>VLOOKUP(B202,'Initial adjusted formula count'!$A$1:$P$317,12,FALSE)</f>
        <v>0.142722783917235</v>
      </c>
      <c r="F202">
        <f>VLOOKUP(B202,'Model allocations'!$A$1:$L$317,8,FALSE)</f>
        <v>527582.2939815321</v>
      </c>
      <c r="G202" s="30">
        <f t="shared" si="65"/>
        <v>0.85</v>
      </c>
      <c r="H202">
        <f t="shared" si="66"/>
        <v>435122.28234130598</v>
      </c>
      <c r="I202">
        <f t="shared" si="58"/>
        <v>0</v>
      </c>
      <c r="J202">
        <f t="shared" si="59"/>
        <v>527582.2939815321</v>
      </c>
      <c r="K202">
        <f t="shared" si="60"/>
        <v>527340.50006802951</v>
      </c>
      <c r="L202">
        <f t="shared" si="67"/>
        <v>527340.50006802951</v>
      </c>
      <c r="M202">
        <f t="shared" si="61"/>
        <v>0</v>
      </c>
      <c r="N202" s="29">
        <f t="shared" si="68"/>
        <v>527340.50006802951</v>
      </c>
      <c r="O202" s="29">
        <f t="shared" si="62"/>
        <v>527313.46915966982</v>
      </c>
      <c r="P202" s="29">
        <f t="shared" si="69"/>
        <v>527313.46915966982</v>
      </c>
      <c r="Q202">
        <f t="shared" si="70"/>
        <v>0</v>
      </c>
      <c r="R202" s="29">
        <f t="shared" si="71"/>
        <v>527313.46915966982</v>
      </c>
      <c r="S202" s="29">
        <f t="shared" si="63"/>
        <v>527313.44441901613</v>
      </c>
      <c r="T202" s="29">
        <f t="shared" si="72"/>
        <v>527313.44441901613</v>
      </c>
      <c r="U202">
        <f t="shared" si="73"/>
        <v>0</v>
      </c>
      <c r="V202" s="29">
        <f t="shared" si="74"/>
        <v>527313.44441901613</v>
      </c>
      <c r="W202" s="29">
        <f t="shared" si="64"/>
        <v>527313.44441901671</v>
      </c>
      <c r="X202" s="29">
        <f t="shared" si="75"/>
        <v>527313.44441901671</v>
      </c>
      <c r="Y202">
        <f t="shared" si="76"/>
        <v>0</v>
      </c>
    </row>
    <row r="203" spans="1:25" x14ac:dyDescent="0.25">
      <c r="A203" s="4" t="s">
        <v>1050</v>
      </c>
      <c r="B203" s="7" t="s">
        <v>545</v>
      </c>
      <c r="C203" s="2" t="s">
        <v>1051</v>
      </c>
      <c r="D203">
        <f>VLOOKUP(B203,'Model allocations'!$A$1:$L$317,3,FALSE)</f>
        <v>184730.46722655772</v>
      </c>
      <c r="E203" s="31">
        <f>VLOOKUP(B203,'Initial adjusted formula count'!$A$1:$P$317,12,FALSE)</f>
        <v>0.173180076628352</v>
      </c>
      <c r="F203">
        <f>VLOOKUP(B203,'Model allocations'!$A$1:$L$317,8,FALSE)</f>
        <v>196430.96942310754</v>
      </c>
      <c r="G203" s="30">
        <f t="shared" si="65"/>
        <v>0.9</v>
      </c>
      <c r="H203">
        <f t="shared" si="66"/>
        <v>166257.42050390196</v>
      </c>
      <c r="I203">
        <f t="shared" si="58"/>
        <v>0</v>
      </c>
      <c r="J203">
        <f t="shared" si="59"/>
        <v>196430.96942310754</v>
      </c>
      <c r="K203">
        <f t="shared" si="60"/>
        <v>196340.94401214941</v>
      </c>
      <c r="L203">
        <f t="shared" si="67"/>
        <v>196340.94401214941</v>
      </c>
      <c r="M203">
        <f t="shared" si="61"/>
        <v>0</v>
      </c>
      <c r="N203" s="29">
        <f t="shared" si="68"/>
        <v>196340.94401214941</v>
      </c>
      <c r="O203" s="29">
        <f t="shared" si="62"/>
        <v>196330.87978597265</v>
      </c>
      <c r="P203" s="29">
        <f t="shared" si="69"/>
        <v>196330.87978597265</v>
      </c>
      <c r="Q203">
        <f t="shared" si="70"/>
        <v>0</v>
      </c>
      <c r="R203" s="29">
        <f t="shared" si="71"/>
        <v>196330.87978597265</v>
      </c>
      <c r="S203" s="29">
        <f t="shared" si="63"/>
        <v>196330.87057446069</v>
      </c>
      <c r="T203" s="29">
        <f t="shared" si="72"/>
        <v>196330.87057446069</v>
      </c>
      <c r="U203">
        <f t="shared" si="73"/>
        <v>0</v>
      </c>
      <c r="V203" s="29">
        <f t="shared" si="74"/>
        <v>196330.87057446069</v>
      </c>
      <c r="W203" s="29">
        <f t="shared" si="64"/>
        <v>196330.87057446092</v>
      </c>
      <c r="X203" s="29">
        <f t="shared" si="75"/>
        <v>196330.87057446092</v>
      </c>
      <c r="Y203">
        <f t="shared" si="76"/>
        <v>0</v>
      </c>
    </row>
    <row r="204" spans="1:25" x14ac:dyDescent="0.25">
      <c r="A204" s="4" t="s">
        <v>1052</v>
      </c>
      <c r="B204" s="7" t="s">
        <v>547</v>
      </c>
      <c r="C204" s="2" t="s">
        <v>1053</v>
      </c>
      <c r="D204">
        <f>VLOOKUP(B204,'Model allocations'!$A$1:$L$317,3,FALSE)</f>
        <v>39576.124543153885</v>
      </c>
      <c r="E204" s="31">
        <f>VLOOKUP(B204,'Initial adjusted formula count'!$A$1:$P$317,12,FALSE)</f>
        <v>0.199421965317919</v>
      </c>
      <c r="F204">
        <f>VLOOKUP(B204,'Model allocations'!$A$1:$L$317,8,FALSE)</f>
        <v>59972.287124754082</v>
      </c>
      <c r="G204" s="30">
        <f t="shared" si="65"/>
        <v>0.9</v>
      </c>
      <c r="H204">
        <f t="shared" si="66"/>
        <v>35618.512088838499</v>
      </c>
      <c r="I204">
        <f t="shared" si="58"/>
        <v>0</v>
      </c>
      <c r="J204">
        <f t="shared" si="59"/>
        <v>59972.287124754082</v>
      </c>
      <c r="K204">
        <f t="shared" si="60"/>
        <v>59944.801490434998</v>
      </c>
      <c r="L204">
        <f t="shared" si="67"/>
        <v>59944.801490434998</v>
      </c>
      <c r="M204">
        <f t="shared" si="61"/>
        <v>0</v>
      </c>
      <c r="N204" s="29">
        <f t="shared" si="68"/>
        <v>59944.801490434998</v>
      </c>
      <c r="O204" s="29">
        <f t="shared" si="62"/>
        <v>59941.728784212879</v>
      </c>
      <c r="P204" s="29">
        <f t="shared" si="69"/>
        <v>59941.728784212879</v>
      </c>
      <c r="Q204">
        <f t="shared" si="70"/>
        <v>0</v>
      </c>
      <c r="R204" s="29">
        <f t="shared" si="71"/>
        <v>59941.728784212879</v>
      </c>
      <c r="S204" s="29">
        <f t="shared" si="63"/>
        <v>59941.725971848609</v>
      </c>
      <c r="T204" s="29">
        <f t="shared" si="72"/>
        <v>59941.725971848609</v>
      </c>
      <c r="U204">
        <f t="shared" si="73"/>
        <v>0</v>
      </c>
      <c r="V204" s="29">
        <f t="shared" si="74"/>
        <v>59941.725971848609</v>
      </c>
      <c r="W204" s="29">
        <f t="shared" si="64"/>
        <v>59941.725971848675</v>
      </c>
      <c r="X204" s="29">
        <f t="shared" si="75"/>
        <v>59941.725971848675</v>
      </c>
      <c r="Y204">
        <f t="shared" si="76"/>
        <v>0</v>
      </c>
    </row>
    <row r="205" spans="1:25" x14ac:dyDescent="0.25">
      <c r="A205" s="4" t="s">
        <v>33</v>
      </c>
      <c r="B205" s="7" t="s">
        <v>77</v>
      </c>
      <c r="C205" s="2" t="s">
        <v>1054</v>
      </c>
      <c r="D205">
        <f>VLOOKUP(B205,'Model allocations'!$A$1:$L$317,3,FALSE)</f>
        <v>55061.668497709215</v>
      </c>
      <c r="E205" s="31">
        <f>VLOOKUP(B205,'Initial adjusted formula count'!$A$1:$P$317,12,FALSE)</f>
        <v>9.0664664515611698E-2</v>
      </c>
      <c r="F205">
        <f>VLOOKUP(B205,'Model allocations'!$A$1:$L$317,8,FALSE)</f>
        <v>22630.807135887768</v>
      </c>
      <c r="G205" s="30">
        <f t="shared" si="65"/>
        <v>0.85</v>
      </c>
      <c r="H205">
        <f t="shared" si="66"/>
        <v>46802.418223052831</v>
      </c>
      <c r="I205">
        <f t="shared" si="58"/>
        <v>46802.418223052831</v>
      </c>
      <c r="J205">
        <f t="shared" si="59"/>
        <v>0</v>
      </c>
      <c r="K205">
        <f t="shared" si="60"/>
        <v>0</v>
      </c>
      <c r="L205">
        <f t="shared" si="67"/>
        <v>46802.418223052831</v>
      </c>
      <c r="M205">
        <f t="shared" si="61"/>
        <v>0</v>
      </c>
      <c r="N205" s="29">
        <f t="shared" si="68"/>
        <v>0</v>
      </c>
      <c r="O205" s="29">
        <f t="shared" si="62"/>
        <v>0</v>
      </c>
      <c r="P205" s="29">
        <f t="shared" si="69"/>
        <v>46802.418223052831</v>
      </c>
      <c r="Q205">
        <f t="shared" si="70"/>
        <v>0</v>
      </c>
      <c r="R205" s="29">
        <f t="shared" si="71"/>
        <v>0</v>
      </c>
      <c r="S205" s="29">
        <f t="shared" si="63"/>
        <v>0</v>
      </c>
      <c r="T205" s="29">
        <f t="shared" si="72"/>
        <v>46802.418223052831</v>
      </c>
      <c r="U205">
        <f t="shared" si="73"/>
        <v>0</v>
      </c>
      <c r="V205" s="29">
        <f t="shared" si="74"/>
        <v>0</v>
      </c>
      <c r="W205" s="29">
        <f t="shared" si="64"/>
        <v>0</v>
      </c>
      <c r="X205" s="29">
        <f t="shared" si="75"/>
        <v>46802.418223052831</v>
      </c>
      <c r="Y205">
        <f t="shared" si="76"/>
        <v>0</v>
      </c>
    </row>
    <row r="206" spans="1:25" x14ac:dyDescent="0.25">
      <c r="A206" s="4" t="s">
        <v>1055</v>
      </c>
      <c r="B206" s="7" t="s">
        <v>549</v>
      </c>
      <c r="C206" s="2" t="s">
        <v>1056</v>
      </c>
      <c r="D206">
        <f>VLOOKUP(B206,'Model allocations'!$A$1:$L$317,3,FALSE)</f>
        <v>308968.76715279772</v>
      </c>
      <c r="E206" s="31">
        <f>VLOOKUP(B206,'Initial adjusted formula count'!$A$1:$P$317,12,FALSE)</f>
        <v>0.121314808539478</v>
      </c>
      <c r="F206">
        <f>VLOOKUP(B206,'Model allocations'!$A$1:$L$317,8,FALSE)</f>
        <v>311160.56218350661</v>
      </c>
      <c r="G206" s="30">
        <f t="shared" si="65"/>
        <v>0.85</v>
      </c>
      <c r="H206">
        <f t="shared" si="66"/>
        <v>262623.45207987807</v>
      </c>
      <c r="I206">
        <f t="shared" si="58"/>
        <v>0</v>
      </c>
      <c r="J206">
        <f t="shared" si="59"/>
        <v>311160.56218350661</v>
      </c>
      <c r="K206">
        <f t="shared" si="60"/>
        <v>311017.95555906853</v>
      </c>
      <c r="L206">
        <f t="shared" si="67"/>
        <v>311017.95555906853</v>
      </c>
      <c r="M206">
        <f t="shared" si="61"/>
        <v>0</v>
      </c>
      <c r="N206" s="29">
        <f t="shared" si="68"/>
        <v>311017.95555906853</v>
      </c>
      <c r="O206" s="29">
        <f t="shared" si="62"/>
        <v>311002.01311229292</v>
      </c>
      <c r="P206" s="29">
        <f t="shared" si="69"/>
        <v>311002.01311229292</v>
      </c>
      <c r="Q206">
        <f t="shared" si="70"/>
        <v>0</v>
      </c>
      <c r="R206" s="29">
        <f t="shared" si="71"/>
        <v>311002.01311229292</v>
      </c>
      <c r="S206" s="29">
        <f t="shared" si="63"/>
        <v>311001.99852060585</v>
      </c>
      <c r="T206" s="29">
        <f t="shared" si="72"/>
        <v>311001.99852060585</v>
      </c>
      <c r="U206">
        <f t="shared" si="73"/>
        <v>0</v>
      </c>
      <c r="V206" s="29">
        <f t="shared" si="74"/>
        <v>311001.99852060585</v>
      </c>
      <c r="W206" s="29">
        <f t="shared" si="64"/>
        <v>311001.9985206062</v>
      </c>
      <c r="X206" s="29">
        <f t="shared" si="75"/>
        <v>311001.9985206062</v>
      </c>
      <c r="Y206">
        <f t="shared" si="76"/>
        <v>0</v>
      </c>
    </row>
    <row r="207" spans="1:25" x14ac:dyDescent="0.25">
      <c r="A207" s="4" t="s">
        <v>20</v>
      </c>
      <c r="B207" s="7" t="s">
        <v>58</v>
      </c>
      <c r="C207" s="2" t="s">
        <v>1057</v>
      </c>
      <c r="D207">
        <f>VLOOKUP(B207,'Model allocations'!$A$1:$L$317,3,FALSE)</f>
        <v>283055.32553690486</v>
      </c>
      <c r="E207" s="31">
        <f>VLOOKUP(B207,'Initial adjusted formula count'!$A$1:$P$317,12,FALSE)</f>
        <v>0.124369249035322</v>
      </c>
      <c r="F207">
        <f>VLOOKUP(B207,'Model allocations'!$A$1:$L$317,8,FALSE)</f>
        <v>364179.54065611539</v>
      </c>
      <c r="G207" s="30">
        <f t="shared" si="65"/>
        <v>0.85</v>
      </c>
      <c r="H207">
        <f t="shared" si="66"/>
        <v>240597.02670636913</v>
      </c>
      <c r="I207">
        <f t="shared" si="58"/>
        <v>0</v>
      </c>
      <c r="J207">
        <f t="shared" si="59"/>
        <v>364179.54065611539</v>
      </c>
      <c r="K207">
        <f t="shared" si="60"/>
        <v>364012.63513756916</v>
      </c>
      <c r="L207">
        <f t="shared" si="67"/>
        <v>364012.63513756916</v>
      </c>
      <c r="M207">
        <f t="shared" si="61"/>
        <v>0</v>
      </c>
      <c r="N207" s="29">
        <f t="shared" si="68"/>
        <v>364012.63513756916</v>
      </c>
      <c r="O207" s="29">
        <f t="shared" si="62"/>
        <v>363993.9762403653</v>
      </c>
      <c r="P207" s="29">
        <f t="shared" si="69"/>
        <v>363993.9762403653</v>
      </c>
      <c r="Q207">
        <f t="shared" si="70"/>
        <v>0</v>
      </c>
      <c r="R207" s="29">
        <f t="shared" si="71"/>
        <v>363993.9762403653</v>
      </c>
      <c r="S207" s="29">
        <f t="shared" si="63"/>
        <v>363993.9591623852</v>
      </c>
      <c r="T207" s="29">
        <f t="shared" si="72"/>
        <v>363993.9591623852</v>
      </c>
      <c r="U207">
        <f t="shared" si="73"/>
        <v>0</v>
      </c>
      <c r="V207" s="29">
        <f t="shared" si="74"/>
        <v>363993.9591623852</v>
      </c>
      <c r="W207" s="29">
        <f t="shared" si="64"/>
        <v>363993.95916238561</v>
      </c>
      <c r="X207" s="29">
        <f t="shared" si="75"/>
        <v>363993.95916238561</v>
      </c>
      <c r="Y207">
        <f t="shared" si="76"/>
        <v>0</v>
      </c>
    </row>
    <row r="208" spans="1:25" x14ac:dyDescent="0.25">
      <c r="A208" s="4" t="s">
        <v>1058</v>
      </c>
      <c r="B208" s="7" t="s">
        <v>195</v>
      </c>
      <c r="C208" s="2" t="s">
        <v>1059</v>
      </c>
      <c r="D208">
        <f>VLOOKUP(B208,'Model allocations'!$A$1:$L$317,3,FALSE)</f>
        <v>1587346.7343938893</v>
      </c>
      <c r="E208" s="31">
        <f>VLOOKUP(B208,'Initial adjusted formula count'!$A$1:$P$317,12,FALSE)</f>
        <v>8.1236408822615694E-2</v>
      </c>
      <c r="F208">
        <f>VLOOKUP(B208,'Model allocations'!$A$1:$L$317,8,FALSE)</f>
        <v>1818290.212536023</v>
      </c>
      <c r="G208" s="30">
        <f t="shared" si="65"/>
        <v>0.85</v>
      </c>
      <c r="H208">
        <f t="shared" si="66"/>
        <v>1349244.7242348059</v>
      </c>
      <c r="I208">
        <f t="shared" si="58"/>
        <v>0</v>
      </c>
      <c r="J208">
        <f t="shared" si="59"/>
        <v>1818290.212536023</v>
      </c>
      <c r="K208">
        <f t="shared" si="60"/>
        <v>1817456.8799708707</v>
      </c>
      <c r="L208">
        <f t="shared" si="67"/>
        <v>1817456.8799708707</v>
      </c>
      <c r="M208">
        <f t="shared" si="61"/>
        <v>0</v>
      </c>
      <c r="N208" s="29">
        <f t="shared" si="68"/>
        <v>1817456.8799708707</v>
      </c>
      <c r="O208" s="29">
        <f t="shared" si="62"/>
        <v>1817363.7190807741</v>
      </c>
      <c r="P208" s="29">
        <f t="shared" si="69"/>
        <v>1817363.7190807741</v>
      </c>
      <c r="Q208">
        <f t="shared" si="70"/>
        <v>0</v>
      </c>
      <c r="R208" s="29">
        <f t="shared" si="71"/>
        <v>1817363.7190807741</v>
      </c>
      <c r="S208" s="29">
        <f t="shared" si="63"/>
        <v>1817363.6338131505</v>
      </c>
      <c r="T208" s="29">
        <f t="shared" si="72"/>
        <v>1817363.6338131505</v>
      </c>
      <c r="U208">
        <f t="shared" si="73"/>
        <v>0</v>
      </c>
      <c r="V208" s="29">
        <f t="shared" si="74"/>
        <v>1817363.6338131505</v>
      </c>
      <c r="W208" s="29">
        <f t="shared" si="64"/>
        <v>1817363.6338131526</v>
      </c>
      <c r="X208" s="29">
        <f t="shared" si="75"/>
        <v>1817363.6338131526</v>
      </c>
      <c r="Y208">
        <f t="shared" si="76"/>
        <v>0</v>
      </c>
    </row>
    <row r="209" spans="1:25" x14ac:dyDescent="0.25">
      <c r="A209" s="4" t="s">
        <v>1060</v>
      </c>
      <c r="B209" s="7" t="s">
        <v>551</v>
      </c>
      <c r="C209" s="2" t="s">
        <v>1061</v>
      </c>
      <c r="D209">
        <f>VLOOKUP(B209,'Model allocations'!$A$1:$L$317,3,FALSE)</f>
        <v>9463.8558690150603</v>
      </c>
      <c r="E209" s="31">
        <f>VLOOKUP(B209,'Initial adjusted formula count'!$A$1:$P$317,12,FALSE)</f>
        <v>0.29032258064516098</v>
      </c>
      <c r="F209">
        <f>VLOOKUP(B209,'Model allocations'!$A$1:$L$317,8,FALSE)</f>
        <v>0</v>
      </c>
      <c r="G209" s="30">
        <f t="shared" si="65"/>
        <v>0.9</v>
      </c>
      <c r="H209">
        <f t="shared" si="66"/>
        <v>0</v>
      </c>
      <c r="I209">
        <f t="shared" si="58"/>
        <v>0</v>
      </c>
      <c r="J209">
        <f t="shared" si="59"/>
        <v>0</v>
      </c>
      <c r="K209">
        <f t="shared" si="60"/>
        <v>0</v>
      </c>
      <c r="L209">
        <f t="shared" si="67"/>
        <v>0</v>
      </c>
      <c r="M209">
        <f t="shared" si="61"/>
        <v>0</v>
      </c>
      <c r="N209" s="29">
        <f t="shared" si="68"/>
        <v>0</v>
      </c>
      <c r="O209" s="29">
        <f t="shared" si="62"/>
        <v>0</v>
      </c>
      <c r="P209" s="29">
        <f t="shared" si="69"/>
        <v>0</v>
      </c>
      <c r="Q209">
        <f t="shared" si="70"/>
        <v>0</v>
      </c>
      <c r="R209" s="29">
        <f t="shared" si="71"/>
        <v>0</v>
      </c>
      <c r="S209" s="29">
        <f t="shared" si="63"/>
        <v>0</v>
      </c>
      <c r="T209" s="29">
        <f t="shared" si="72"/>
        <v>0</v>
      </c>
      <c r="U209">
        <f t="shared" si="73"/>
        <v>0</v>
      </c>
      <c r="V209" s="29">
        <f t="shared" si="74"/>
        <v>0</v>
      </c>
      <c r="W209" s="29">
        <f t="shared" si="64"/>
        <v>0</v>
      </c>
      <c r="X209" s="29">
        <f t="shared" si="75"/>
        <v>0</v>
      </c>
      <c r="Y209">
        <f t="shared" si="76"/>
        <v>0</v>
      </c>
    </row>
    <row r="210" spans="1:25" x14ac:dyDescent="0.25">
      <c r="A210" s="4" t="s">
        <v>1062</v>
      </c>
      <c r="B210" s="7" t="s">
        <v>553</v>
      </c>
      <c r="C210" s="2" t="s">
        <v>1063</v>
      </c>
      <c r="D210">
        <f>VLOOKUP(B210,'Model allocations'!$A$1:$L$317,3,FALSE)</f>
        <v>24950.165472857887</v>
      </c>
      <c r="E210" s="31">
        <f>VLOOKUP(B210,'Initial adjusted formula count'!$A$1:$P$317,12,FALSE)</f>
        <v>0.16062176165803099</v>
      </c>
      <c r="F210">
        <f>VLOOKUP(B210,'Model allocations'!$A$1:$L$317,8,FALSE)</f>
        <v>26944.07102706343</v>
      </c>
      <c r="G210" s="30">
        <f t="shared" si="65"/>
        <v>0.9</v>
      </c>
      <c r="H210">
        <f t="shared" si="66"/>
        <v>22455.148925572099</v>
      </c>
      <c r="I210">
        <f t="shared" si="58"/>
        <v>0</v>
      </c>
      <c r="J210">
        <f t="shared" si="59"/>
        <v>26944.07102706343</v>
      </c>
      <c r="K210">
        <f t="shared" si="60"/>
        <v>26931.722408746165</v>
      </c>
      <c r="L210">
        <f t="shared" si="67"/>
        <v>26931.722408746165</v>
      </c>
      <c r="M210">
        <f t="shared" si="61"/>
        <v>0</v>
      </c>
      <c r="N210" s="29">
        <f t="shared" si="68"/>
        <v>26931.722408746165</v>
      </c>
      <c r="O210" s="29">
        <f t="shared" si="62"/>
        <v>26930.341917544923</v>
      </c>
      <c r="P210" s="29">
        <f t="shared" si="69"/>
        <v>26930.341917544923</v>
      </c>
      <c r="Q210">
        <f t="shared" si="70"/>
        <v>0</v>
      </c>
      <c r="R210" s="29">
        <f t="shared" si="71"/>
        <v>26930.341917544923</v>
      </c>
      <c r="S210" s="29">
        <f t="shared" si="63"/>
        <v>26930.34065401895</v>
      </c>
      <c r="T210" s="29">
        <f t="shared" si="72"/>
        <v>26930.34065401895</v>
      </c>
      <c r="U210">
        <f t="shared" si="73"/>
        <v>0</v>
      </c>
      <c r="V210" s="29">
        <f t="shared" si="74"/>
        <v>26930.34065401895</v>
      </c>
      <c r="W210" s="29">
        <f t="shared" si="64"/>
        <v>26930.340654018979</v>
      </c>
      <c r="X210" s="29">
        <f t="shared" si="75"/>
        <v>26930.340654018979</v>
      </c>
      <c r="Y210">
        <f t="shared" si="76"/>
        <v>0</v>
      </c>
    </row>
    <row r="211" spans="1:25" x14ac:dyDescent="0.25">
      <c r="A211" s="4" t="s">
        <v>1064</v>
      </c>
      <c r="B211" s="7" t="s">
        <v>555</v>
      </c>
      <c r="C211" s="2" t="s">
        <v>1065</v>
      </c>
      <c r="D211">
        <f>VLOOKUP(B211,'Model allocations'!$A$1:$L$317,3,FALSE)</f>
        <v>246621.62681949825</v>
      </c>
      <c r="E211" s="31">
        <f>VLOOKUP(B211,'Initial adjusted formula count'!$A$1:$P$317,12,FALSE)</f>
        <v>0.187607573149742</v>
      </c>
      <c r="F211">
        <f>VLOOKUP(B211,'Model allocations'!$A$1:$L$317,8,FALSE)</f>
        <v>221959.46413754844</v>
      </c>
      <c r="G211" s="30">
        <f t="shared" si="65"/>
        <v>0.9</v>
      </c>
      <c r="H211">
        <f t="shared" si="66"/>
        <v>221959.46413754844</v>
      </c>
      <c r="I211">
        <f t="shared" si="58"/>
        <v>0</v>
      </c>
      <c r="J211">
        <f t="shared" si="59"/>
        <v>221959.46413754844</v>
      </c>
      <c r="K211">
        <f t="shared" si="60"/>
        <v>221857.73887480746</v>
      </c>
      <c r="L211">
        <f t="shared" si="67"/>
        <v>221857.73887480746</v>
      </c>
      <c r="M211">
        <f t="shared" si="61"/>
        <v>221959.46413754844</v>
      </c>
      <c r="N211" s="29">
        <f t="shared" si="68"/>
        <v>0</v>
      </c>
      <c r="O211" s="29">
        <f t="shared" si="62"/>
        <v>0</v>
      </c>
      <c r="P211" s="29">
        <f t="shared" si="69"/>
        <v>221959.46413754844</v>
      </c>
      <c r="Q211">
        <f t="shared" si="70"/>
        <v>0</v>
      </c>
      <c r="R211" s="29">
        <f t="shared" si="71"/>
        <v>0</v>
      </c>
      <c r="S211" s="29">
        <f t="shared" si="63"/>
        <v>0</v>
      </c>
      <c r="T211" s="29">
        <f t="shared" si="72"/>
        <v>221959.46413754844</v>
      </c>
      <c r="U211">
        <f t="shared" si="73"/>
        <v>0</v>
      </c>
      <c r="V211" s="29">
        <f t="shared" si="74"/>
        <v>0</v>
      </c>
      <c r="W211" s="29">
        <f t="shared" si="64"/>
        <v>0</v>
      </c>
      <c r="X211" s="29">
        <f t="shared" si="75"/>
        <v>221959.46413754844</v>
      </c>
      <c r="Y211">
        <f t="shared" si="76"/>
        <v>0</v>
      </c>
    </row>
    <row r="212" spans="1:25" x14ac:dyDescent="0.25">
      <c r="A212" s="4" t="s">
        <v>1066</v>
      </c>
      <c r="B212" s="7" t="s">
        <v>445</v>
      </c>
      <c r="C212" s="2" t="s">
        <v>1067</v>
      </c>
      <c r="D212">
        <f>VLOOKUP(B212,'Model allocations'!$A$1:$L$317,3,FALSE)</f>
        <v>34414.021341872947</v>
      </c>
      <c r="E212" s="31">
        <f>VLOOKUP(B212,'Initial adjusted formula count'!$A$1:$P$317,12,FALSE)</f>
        <v>0.17714285714285699</v>
      </c>
      <c r="F212">
        <f>VLOOKUP(B212,'Model allocations'!$A$1:$L$317,8,FALSE)</f>
        <v>30972.619207685653</v>
      </c>
      <c r="G212" s="30">
        <f t="shared" si="65"/>
        <v>0.9</v>
      </c>
      <c r="H212">
        <f t="shared" si="66"/>
        <v>30972.619207685653</v>
      </c>
      <c r="I212">
        <f t="shared" si="58"/>
        <v>0</v>
      </c>
      <c r="J212">
        <f t="shared" si="59"/>
        <v>30972.619207685653</v>
      </c>
      <c r="K212">
        <f t="shared" si="60"/>
        <v>30958.424283225369</v>
      </c>
      <c r="L212">
        <f t="shared" si="67"/>
        <v>30958.424283225369</v>
      </c>
      <c r="M212">
        <f t="shared" si="61"/>
        <v>30972.619207685653</v>
      </c>
      <c r="N212" s="29">
        <f t="shared" si="68"/>
        <v>0</v>
      </c>
      <c r="O212" s="29">
        <f t="shared" si="62"/>
        <v>0</v>
      </c>
      <c r="P212" s="29">
        <f t="shared" si="69"/>
        <v>30972.619207685653</v>
      </c>
      <c r="Q212">
        <f t="shared" si="70"/>
        <v>0</v>
      </c>
      <c r="R212" s="29">
        <f t="shared" si="71"/>
        <v>0</v>
      </c>
      <c r="S212" s="29">
        <f t="shared" si="63"/>
        <v>0</v>
      </c>
      <c r="T212" s="29">
        <f t="shared" si="72"/>
        <v>30972.619207685653</v>
      </c>
      <c r="U212">
        <f t="shared" si="73"/>
        <v>0</v>
      </c>
      <c r="V212" s="29">
        <f t="shared" si="74"/>
        <v>0</v>
      </c>
      <c r="W212" s="29">
        <f t="shared" si="64"/>
        <v>0</v>
      </c>
      <c r="X212" s="29">
        <f t="shared" si="75"/>
        <v>30972.619207685653</v>
      </c>
      <c r="Y212">
        <f t="shared" si="76"/>
        <v>0</v>
      </c>
    </row>
    <row r="213" spans="1:25" x14ac:dyDescent="0.25">
      <c r="A213" s="4" t="s">
        <v>1068</v>
      </c>
      <c r="B213" s="7" t="s">
        <v>557</v>
      </c>
      <c r="C213" s="2" t="s">
        <v>1069</v>
      </c>
      <c r="D213">
        <f>VLOOKUP(B213,'Model allocations'!$A$1:$L$317,3,FALSE)</f>
        <v>402644.04969991342</v>
      </c>
      <c r="E213" s="31">
        <f>VLOOKUP(B213,'Initial adjusted formula count'!$A$1:$P$317,12,FALSE)</f>
        <v>0.14040114613180499</v>
      </c>
      <c r="F213">
        <f>VLOOKUP(B213,'Model allocations'!$A$1:$L$317,8,FALSE)</f>
        <v>383301.13944951503</v>
      </c>
      <c r="G213" s="30">
        <f t="shared" si="65"/>
        <v>0.85</v>
      </c>
      <c r="H213">
        <f t="shared" si="66"/>
        <v>342247.44224492641</v>
      </c>
      <c r="I213">
        <f t="shared" si="58"/>
        <v>0</v>
      </c>
      <c r="J213">
        <f t="shared" si="59"/>
        <v>383301.13944951503</v>
      </c>
      <c r="K213">
        <f t="shared" si="60"/>
        <v>383125.47039538878</v>
      </c>
      <c r="L213">
        <f t="shared" si="67"/>
        <v>383125.47039538878</v>
      </c>
      <c r="M213">
        <f t="shared" si="61"/>
        <v>0</v>
      </c>
      <c r="N213" s="29">
        <f t="shared" si="68"/>
        <v>383125.47039538878</v>
      </c>
      <c r="O213" s="29">
        <f t="shared" si="62"/>
        <v>383105.83179475181</v>
      </c>
      <c r="P213" s="29">
        <f t="shared" si="69"/>
        <v>383105.83179475181</v>
      </c>
      <c r="Q213">
        <f t="shared" si="70"/>
        <v>0</v>
      </c>
      <c r="R213" s="29">
        <f t="shared" si="71"/>
        <v>383105.83179475181</v>
      </c>
      <c r="S213" s="29">
        <f t="shared" si="63"/>
        <v>383105.81382007588</v>
      </c>
      <c r="T213" s="29">
        <f t="shared" si="72"/>
        <v>383105.81382007588</v>
      </c>
      <c r="U213">
        <f t="shared" si="73"/>
        <v>0</v>
      </c>
      <c r="V213" s="29">
        <f t="shared" si="74"/>
        <v>383105.81382007588</v>
      </c>
      <c r="W213" s="29">
        <f t="shared" si="64"/>
        <v>383105.81382007635</v>
      </c>
      <c r="X213" s="29">
        <f t="shared" si="75"/>
        <v>383105.81382007635</v>
      </c>
      <c r="Y213">
        <f t="shared" si="76"/>
        <v>0</v>
      </c>
    </row>
    <row r="214" spans="1:25" x14ac:dyDescent="0.25">
      <c r="A214" s="4" t="s">
        <v>1070</v>
      </c>
      <c r="B214" s="7" t="s">
        <v>197</v>
      </c>
      <c r="C214" s="2" t="s">
        <v>1071</v>
      </c>
      <c r="D214">
        <f>VLOOKUP(B214,'Model allocations'!$A$1:$L$317,3,FALSE)</f>
        <v>110563.58819135977</v>
      </c>
      <c r="E214" s="31">
        <f>VLOOKUP(B214,'Initial adjusted formula count'!$A$1:$P$317,12,FALSE)</f>
        <v>8.6744639376218305E-2</v>
      </c>
      <c r="F214">
        <f>VLOOKUP(B214,'Model allocations'!$A$1:$L$317,8,FALSE)</f>
        <v>93979.049962655801</v>
      </c>
      <c r="G214" s="30">
        <f t="shared" si="65"/>
        <v>0.85</v>
      </c>
      <c r="H214">
        <f t="shared" si="66"/>
        <v>93979.049962655801</v>
      </c>
      <c r="I214">
        <f t="shared" si="58"/>
        <v>0</v>
      </c>
      <c r="J214">
        <f t="shared" si="59"/>
        <v>93979.049962655801</v>
      </c>
      <c r="K214">
        <f t="shared" si="60"/>
        <v>93935.97883889568</v>
      </c>
      <c r="L214">
        <f t="shared" si="67"/>
        <v>93935.97883889568</v>
      </c>
      <c r="M214">
        <f t="shared" si="61"/>
        <v>93979.049962655801</v>
      </c>
      <c r="N214" s="29">
        <f t="shared" si="68"/>
        <v>0</v>
      </c>
      <c r="O214" s="29">
        <f t="shared" si="62"/>
        <v>0</v>
      </c>
      <c r="P214" s="29">
        <f t="shared" si="69"/>
        <v>93979.049962655801</v>
      </c>
      <c r="Q214">
        <f t="shared" si="70"/>
        <v>0</v>
      </c>
      <c r="R214" s="29">
        <f t="shared" si="71"/>
        <v>0</v>
      </c>
      <c r="S214" s="29">
        <f t="shared" si="63"/>
        <v>0</v>
      </c>
      <c r="T214" s="29">
        <f t="shared" si="72"/>
        <v>93979.049962655801</v>
      </c>
      <c r="U214">
        <f t="shared" si="73"/>
        <v>0</v>
      </c>
      <c r="V214" s="29">
        <f t="shared" si="74"/>
        <v>0</v>
      </c>
      <c r="W214" s="29">
        <f t="shared" si="64"/>
        <v>0</v>
      </c>
      <c r="X214" s="29">
        <f t="shared" si="75"/>
        <v>93979.049962655801</v>
      </c>
      <c r="Y214">
        <f t="shared" si="76"/>
        <v>0</v>
      </c>
    </row>
    <row r="215" spans="1:25" x14ac:dyDescent="0.25">
      <c r="A215" s="4" t="s">
        <v>15</v>
      </c>
      <c r="B215" s="7" t="s">
        <v>69</v>
      </c>
      <c r="C215" s="2" t="s">
        <v>1072</v>
      </c>
      <c r="D215">
        <f>VLOOKUP(B215,'Model allocations'!$A$1:$L$317,3,FALSE)</f>
        <v>49429.968712509522</v>
      </c>
      <c r="E215" s="31">
        <f>VLOOKUP(B215,'Initial adjusted formula count'!$A$1:$P$317,12,FALSE)</f>
        <v>0.172194800399085</v>
      </c>
      <c r="F215">
        <f>VLOOKUP(B215,'Model allocations'!$A$1:$L$317,8,FALSE)</f>
        <v>59730.120273985282</v>
      </c>
      <c r="G215" s="30">
        <f t="shared" si="65"/>
        <v>0.9</v>
      </c>
      <c r="H215">
        <f t="shared" si="66"/>
        <v>44486.971841258572</v>
      </c>
      <c r="I215">
        <f t="shared" si="58"/>
        <v>0</v>
      </c>
      <c r="J215">
        <f t="shared" si="59"/>
        <v>59730.120273985282</v>
      </c>
      <c r="K215">
        <f t="shared" si="60"/>
        <v>59702.745626087162</v>
      </c>
      <c r="L215">
        <f t="shared" si="67"/>
        <v>59702.745626087162</v>
      </c>
      <c r="M215">
        <f t="shared" si="61"/>
        <v>0</v>
      </c>
      <c r="N215" s="29">
        <f t="shared" si="68"/>
        <v>59702.745626087162</v>
      </c>
      <c r="O215" s="29">
        <f t="shared" si="62"/>
        <v>59699.685327389001</v>
      </c>
      <c r="P215" s="29">
        <f t="shared" si="69"/>
        <v>59699.685327389001</v>
      </c>
      <c r="Q215">
        <f t="shared" si="70"/>
        <v>0</v>
      </c>
      <c r="R215" s="29">
        <f t="shared" si="71"/>
        <v>59699.685327389001</v>
      </c>
      <c r="S215" s="29">
        <f t="shared" si="63"/>
        <v>59699.68252638101</v>
      </c>
      <c r="T215" s="29">
        <f t="shared" si="72"/>
        <v>59699.68252638101</v>
      </c>
      <c r="U215">
        <f t="shared" si="73"/>
        <v>0</v>
      </c>
      <c r="V215" s="29">
        <f t="shared" si="74"/>
        <v>59699.68252638101</v>
      </c>
      <c r="W215" s="29">
        <f t="shared" si="64"/>
        <v>59699.682526381075</v>
      </c>
      <c r="X215" s="29">
        <f t="shared" si="75"/>
        <v>59699.682526381075</v>
      </c>
      <c r="Y215">
        <f t="shared" si="76"/>
        <v>0</v>
      </c>
    </row>
    <row r="216" spans="1:25" x14ac:dyDescent="0.25">
      <c r="A216" s="4" t="s">
        <v>21</v>
      </c>
      <c r="B216" s="7" t="s">
        <v>71</v>
      </c>
      <c r="C216" s="2" t="s">
        <v>1073</v>
      </c>
      <c r="D216">
        <f>VLOOKUP(B216,'Model allocations'!$A$1:$L$317,3,FALSE)</f>
        <v>47951.391656929336</v>
      </c>
      <c r="E216" s="31">
        <f>VLOOKUP(B216,'Initial adjusted formula count'!$A$1:$P$317,12,FALSE)</f>
        <v>0.143722761819817</v>
      </c>
      <c r="F216">
        <f>VLOOKUP(B216,'Model allocations'!$A$1:$L$317,8,FALSE)</f>
        <v>21155.195516185922</v>
      </c>
      <c r="G216" s="30">
        <f t="shared" si="65"/>
        <v>0.85</v>
      </c>
      <c r="H216">
        <f t="shared" si="66"/>
        <v>40758.682908389936</v>
      </c>
      <c r="I216">
        <f t="shared" si="58"/>
        <v>40758.682908389936</v>
      </c>
      <c r="J216">
        <f t="shared" si="59"/>
        <v>0</v>
      </c>
      <c r="K216">
        <f t="shared" si="60"/>
        <v>0</v>
      </c>
      <c r="L216">
        <f t="shared" si="67"/>
        <v>40758.682908389936</v>
      </c>
      <c r="M216">
        <f t="shared" si="61"/>
        <v>0</v>
      </c>
      <c r="N216" s="29">
        <f t="shared" si="68"/>
        <v>0</v>
      </c>
      <c r="O216" s="29">
        <f t="shared" si="62"/>
        <v>0</v>
      </c>
      <c r="P216" s="29">
        <f t="shared" si="69"/>
        <v>40758.682908389936</v>
      </c>
      <c r="Q216">
        <f t="shared" si="70"/>
        <v>0</v>
      </c>
      <c r="R216" s="29">
        <f t="shared" si="71"/>
        <v>0</v>
      </c>
      <c r="S216" s="29">
        <f t="shared" si="63"/>
        <v>0</v>
      </c>
      <c r="T216" s="29">
        <f t="shared" si="72"/>
        <v>40758.682908389936</v>
      </c>
      <c r="U216">
        <f t="shared" si="73"/>
        <v>0</v>
      </c>
      <c r="V216" s="29">
        <f t="shared" si="74"/>
        <v>0</v>
      </c>
      <c r="W216" s="29">
        <f t="shared" si="64"/>
        <v>0</v>
      </c>
      <c r="X216" s="29">
        <f t="shared" si="75"/>
        <v>40758.682908389936</v>
      </c>
      <c r="Y216">
        <f t="shared" si="76"/>
        <v>0</v>
      </c>
    </row>
    <row r="217" spans="1:25" x14ac:dyDescent="0.25">
      <c r="A217" s="4" t="s">
        <v>1074</v>
      </c>
      <c r="B217" s="7" t="s">
        <v>559</v>
      </c>
      <c r="C217" s="2" t="s">
        <v>1075</v>
      </c>
      <c r="D217">
        <f>VLOOKUP(B217,'Model allocations'!$A$1:$L$317,3,FALSE)</f>
        <v>95498.909223697439</v>
      </c>
      <c r="E217" s="31">
        <f>VLOOKUP(B217,'Initial adjusted formula count'!$A$1:$P$317,12,FALSE)</f>
        <v>0.19512195121951201</v>
      </c>
      <c r="F217">
        <f>VLOOKUP(B217,'Model allocations'!$A$1:$L$317,8,FALSE)</f>
        <v>104299.62978218101</v>
      </c>
      <c r="G217" s="30">
        <f t="shared" si="65"/>
        <v>0.9</v>
      </c>
      <c r="H217">
        <f t="shared" si="66"/>
        <v>85949.018301327698</v>
      </c>
      <c r="I217">
        <f t="shared" si="58"/>
        <v>0</v>
      </c>
      <c r="J217">
        <f t="shared" si="59"/>
        <v>104299.62978218101</v>
      </c>
      <c r="K217">
        <f t="shared" si="60"/>
        <v>104251.8286790174</v>
      </c>
      <c r="L217">
        <f t="shared" si="67"/>
        <v>104251.8286790174</v>
      </c>
      <c r="M217">
        <f t="shared" si="61"/>
        <v>0</v>
      </c>
      <c r="N217" s="29">
        <f t="shared" si="68"/>
        <v>104251.8286790174</v>
      </c>
      <c r="O217" s="29">
        <f t="shared" si="62"/>
        <v>104246.48484210936</v>
      </c>
      <c r="P217" s="29">
        <f t="shared" si="69"/>
        <v>104246.48484210936</v>
      </c>
      <c r="Q217">
        <f t="shared" si="70"/>
        <v>0</v>
      </c>
      <c r="R217" s="29">
        <f t="shared" si="71"/>
        <v>104246.48484210936</v>
      </c>
      <c r="S217" s="29">
        <f t="shared" si="63"/>
        <v>104246.47995104107</v>
      </c>
      <c r="T217" s="29">
        <f t="shared" si="72"/>
        <v>104246.47995104107</v>
      </c>
      <c r="U217">
        <f t="shared" si="73"/>
        <v>0</v>
      </c>
      <c r="V217" s="29">
        <f t="shared" si="74"/>
        <v>104246.47995104107</v>
      </c>
      <c r="W217" s="29">
        <f t="shared" si="64"/>
        <v>104246.47995104118</v>
      </c>
      <c r="X217" s="29">
        <f t="shared" si="75"/>
        <v>104246.47995104118</v>
      </c>
      <c r="Y217">
        <f t="shared" si="76"/>
        <v>0</v>
      </c>
    </row>
    <row r="218" spans="1:25" x14ac:dyDescent="0.25">
      <c r="A218" s="4" t="s">
        <v>1076</v>
      </c>
      <c r="B218" s="7" t="s">
        <v>561</v>
      </c>
      <c r="C218" s="2" t="s">
        <v>1077</v>
      </c>
      <c r="D218">
        <f>VLOOKUP(B218,'Model allocations'!$A$1:$L$317,3,FALSE)</f>
        <v>110124.86829399341</v>
      </c>
      <c r="E218" s="31">
        <f>VLOOKUP(B218,'Initial adjusted formula count'!$A$1:$P$317,12,FALSE)</f>
        <v>7.9000000000000001E-2</v>
      </c>
      <c r="F218">
        <f>VLOOKUP(B218,'Model allocations'!$A$1:$L$317,8,FALSE)</f>
        <v>93606.138049894391</v>
      </c>
      <c r="G218" s="30">
        <f t="shared" si="65"/>
        <v>0.85</v>
      </c>
      <c r="H218">
        <f t="shared" si="66"/>
        <v>93606.138049894391</v>
      </c>
      <c r="I218">
        <f t="shared" si="58"/>
        <v>0</v>
      </c>
      <c r="J218">
        <f t="shared" si="59"/>
        <v>93606.138049894391</v>
      </c>
      <c r="K218">
        <f t="shared" si="60"/>
        <v>93563.237833747757</v>
      </c>
      <c r="L218">
        <f t="shared" si="67"/>
        <v>93563.237833747757</v>
      </c>
      <c r="M218">
        <f t="shared" si="61"/>
        <v>93606.138049894391</v>
      </c>
      <c r="N218" s="29">
        <f t="shared" si="68"/>
        <v>0</v>
      </c>
      <c r="O218" s="29">
        <f t="shared" si="62"/>
        <v>0</v>
      </c>
      <c r="P218" s="29">
        <f t="shared" si="69"/>
        <v>93606.138049894391</v>
      </c>
      <c r="Q218">
        <f t="shared" si="70"/>
        <v>0</v>
      </c>
      <c r="R218" s="29">
        <f t="shared" si="71"/>
        <v>0</v>
      </c>
      <c r="S218" s="29">
        <f t="shared" si="63"/>
        <v>0</v>
      </c>
      <c r="T218" s="29">
        <f t="shared" si="72"/>
        <v>93606.138049894391</v>
      </c>
      <c r="U218">
        <f t="shared" si="73"/>
        <v>0</v>
      </c>
      <c r="V218" s="29">
        <f t="shared" si="74"/>
        <v>0</v>
      </c>
      <c r="W218" s="29">
        <f t="shared" si="64"/>
        <v>0</v>
      </c>
      <c r="X218" s="29">
        <f t="shared" si="75"/>
        <v>93606.138049894391</v>
      </c>
      <c r="Y218">
        <f t="shared" si="76"/>
        <v>0</v>
      </c>
    </row>
    <row r="219" spans="1:25" x14ac:dyDescent="0.25">
      <c r="A219" s="4" t="s">
        <v>1078</v>
      </c>
      <c r="B219" s="7" t="s">
        <v>563</v>
      </c>
      <c r="C219" s="2" t="s">
        <v>1079</v>
      </c>
      <c r="D219">
        <f>VLOOKUP(B219,'Model allocations'!$A$1:$L$317,3,FALSE)</f>
        <v>1970207.8890926982</v>
      </c>
      <c r="E219" s="31">
        <f>VLOOKUP(B219,'Initial adjusted formula count'!$A$1:$P$317,12,FALSE)</f>
        <v>0.13325835521341101</v>
      </c>
      <c r="F219">
        <f>VLOOKUP(B219,'Model allocations'!$A$1:$L$317,8,FALSE)</f>
        <v>2020848.0789274818</v>
      </c>
      <c r="G219" s="30">
        <f t="shared" si="65"/>
        <v>0.85</v>
      </c>
      <c r="H219">
        <f t="shared" si="66"/>
        <v>1674676.7057287935</v>
      </c>
      <c r="I219">
        <f t="shared" si="58"/>
        <v>0</v>
      </c>
      <c r="J219">
        <f t="shared" si="59"/>
        <v>2020848.0789274818</v>
      </c>
      <c r="K219">
        <f t="shared" si="60"/>
        <v>2019921.9129602532</v>
      </c>
      <c r="L219">
        <f t="shared" si="67"/>
        <v>2019921.9129602532</v>
      </c>
      <c r="M219">
        <f t="shared" si="61"/>
        <v>0</v>
      </c>
      <c r="N219" s="29">
        <f t="shared" si="68"/>
        <v>2019921.9129602532</v>
      </c>
      <c r="O219" s="29">
        <f t="shared" si="62"/>
        <v>2019818.3739297481</v>
      </c>
      <c r="P219" s="29">
        <f t="shared" si="69"/>
        <v>2019818.3739297481</v>
      </c>
      <c r="Q219">
        <f t="shared" si="70"/>
        <v>0</v>
      </c>
      <c r="R219" s="29">
        <f t="shared" si="71"/>
        <v>2019818.3739297481</v>
      </c>
      <c r="S219" s="29">
        <f t="shared" si="63"/>
        <v>2019818.2791632952</v>
      </c>
      <c r="T219" s="29">
        <f t="shared" si="72"/>
        <v>2019818.2791632952</v>
      </c>
      <c r="U219">
        <f t="shared" si="73"/>
        <v>0</v>
      </c>
      <c r="V219" s="29">
        <f t="shared" si="74"/>
        <v>2019818.2791632952</v>
      </c>
      <c r="W219" s="29">
        <f t="shared" si="64"/>
        <v>2019818.2791632973</v>
      </c>
      <c r="X219" s="29">
        <f t="shared" si="75"/>
        <v>2019818.2791632973</v>
      </c>
      <c r="Y219">
        <f t="shared" si="76"/>
        <v>0</v>
      </c>
    </row>
    <row r="220" spans="1:25" x14ac:dyDescent="0.25">
      <c r="A220" s="4" t="s">
        <v>1080</v>
      </c>
      <c r="B220" s="7" t="s">
        <v>564</v>
      </c>
      <c r="C220" s="2" t="s">
        <v>1081</v>
      </c>
      <c r="D220">
        <f>VLOOKUP(B220,'Model allocations'!$A$1:$L$317,3,FALSE)</f>
        <v>76571.19748566729</v>
      </c>
      <c r="E220" s="31">
        <f>VLOOKUP(B220,'Initial adjusted formula count'!$A$1:$P$317,12,FALSE)</f>
        <v>0.25333333333333302</v>
      </c>
      <c r="F220">
        <f>VLOOKUP(B220,'Model allocations'!$A$1:$L$317,8,FALSE)</f>
        <v>82570.54024422665</v>
      </c>
      <c r="G220" s="30">
        <f t="shared" si="65"/>
        <v>0.9</v>
      </c>
      <c r="H220">
        <f t="shared" si="66"/>
        <v>68914.077737100568</v>
      </c>
      <c r="I220">
        <f t="shared" si="58"/>
        <v>0</v>
      </c>
      <c r="J220">
        <f t="shared" si="59"/>
        <v>82570.54024422665</v>
      </c>
      <c r="K220">
        <f t="shared" si="60"/>
        <v>82532.697704222126</v>
      </c>
      <c r="L220">
        <f t="shared" si="67"/>
        <v>82532.697704222126</v>
      </c>
      <c r="M220">
        <f t="shared" si="61"/>
        <v>0</v>
      </c>
      <c r="N220" s="29">
        <f t="shared" si="68"/>
        <v>82532.697704222126</v>
      </c>
      <c r="O220" s="29">
        <f t="shared" si="62"/>
        <v>82528.467166669943</v>
      </c>
      <c r="P220" s="29">
        <f t="shared" si="69"/>
        <v>82528.467166669943</v>
      </c>
      <c r="Q220">
        <f t="shared" si="70"/>
        <v>0</v>
      </c>
      <c r="R220" s="29">
        <f t="shared" si="71"/>
        <v>82528.467166669943</v>
      </c>
      <c r="S220" s="29">
        <f t="shared" si="63"/>
        <v>82528.46329457422</v>
      </c>
      <c r="T220" s="29">
        <f t="shared" si="72"/>
        <v>82528.46329457422</v>
      </c>
      <c r="U220">
        <f t="shared" si="73"/>
        <v>0</v>
      </c>
      <c r="V220" s="29">
        <f t="shared" si="74"/>
        <v>82528.46329457422</v>
      </c>
      <c r="W220" s="29">
        <f t="shared" si="64"/>
        <v>82528.463294574307</v>
      </c>
      <c r="X220" s="29">
        <f t="shared" si="75"/>
        <v>82528.463294574307</v>
      </c>
      <c r="Y220">
        <f t="shared" si="76"/>
        <v>0</v>
      </c>
    </row>
    <row r="221" spans="1:25" x14ac:dyDescent="0.25">
      <c r="A221" s="4" t="s">
        <v>1082</v>
      </c>
      <c r="B221" s="7" t="s">
        <v>199</v>
      </c>
      <c r="C221" s="2" t="s">
        <v>1083</v>
      </c>
      <c r="D221">
        <f>VLOOKUP(B221,'Model allocations'!$A$1:$L$317,3,FALSE)</f>
        <v>1156311.1170869307</v>
      </c>
      <c r="E221" s="31">
        <f>VLOOKUP(B221,'Initial adjusted formula count'!$A$1:$P$317,12,FALSE)</f>
        <v>9.6311345311408794E-2</v>
      </c>
      <c r="F221">
        <f>VLOOKUP(B221,'Model allocations'!$A$1:$L$317,8,FALSE)</f>
        <v>1318521.1531630708</v>
      </c>
      <c r="G221" s="30">
        <f t="shared" si="65"/>
        <v>0.85</v>
      </c>
      <c r="H221">
        <f t="shared" si="66"/>
        <v>982864.44952389109</v>
      </c>
      <c r="I221">
        <f t="shared" si="58"/>
        <v>0</v>
      </c>
      <c r="J221">
        <f t="shared" si="59"/>
        <v>1318521.1531630708</v>
      </c>
      <c r="K221">
        <f t="shared" si="60"/>
        <v>1317916.8675505775</v>
      </c>
      <c r="L221">
        <f t="shared" si="67"/>
        <v>1317916.8675505775</v>
      </c>
      <c r="M221">
        <f t="shared" si="61"/>
        <v>0</v>
      </c>
      <c r="N221" s="29">
        <f t="shared" si="68"/>
        <v>1317916.8675505775</v>
      </c>
      <c r="O221" s="29">
        <f t="shared" si="62"/>
        <v>1317849.3125456651</v>
      </c>
      <c r="P221" s="29">
        <f t="shared" si="69"/>
        <v>1317849.3125456651</v>
      </c>
      <c r="Q221">
        <f t="shared" si="70"/>
        <v>0</v>
      </c>
      <c r="R221" s="29">
        <f t="shared" si="71"/>
        <v>1317849.3125456651</v>
      </c>
      <c r="S221" s="29">
        <f t="shared" si="63"/>
        <v>1317849.2507144101</v>
      </c>
      <c r="T221" s="29">
        <f t="shared" si="72"/>
        <v>1317849.2507144101</v>
      </c>
      <c r="U221">
        <f t="shared" si="73"/>
        <v>0</v>
      </c>
      <c r="V221" s="29">
        <f t="shared" si="74"/>
        <v>1317849.2507144101</v>
      </c>
      <c r="W221" s="29">
        <f t="shared" si="64"/>
        <v>1317849.2507144115</v>
      </c>
      <c r="X221" s="29">
        <f t="shared" si="75"/>
        <v>1317849.2507144115</v>
      </c>
      <c r="Y221">
        <f t="shared" si="76"/>
        <v>0</v>
      </c>
    </row>
    <row r="222" spans="1:25" x14ac:dyDescent="0.25">
      <c r="A222" s="4" t="s">
        <v>1084</v>
      </c>
      <c r="B222" s="7" t="s">
        <v>201</v>
      </c>
      <c r="C222" s="2" t="s">
        <v>1085</v>
      </c>
      <c r="D222">
        <f>VLOOKUP(B222,'Model allocations'!$A$1:$L$317,3,FALSE)</f>
        <v>181983.54578080957</v>
      </c>
      <c r="E222" s="31">
        <f>VLOOKUP(B222,'Initial adjusted formula count'!$A$1:$P$317,12,FALSE)</f>
        <v>3.9135654261704698E-2</v>
      </c>
      <c r="F222">
        <f>VLOOKUP(B222,'Model allocations'!$A$1:$L$317,8,FALSE)</f>
        <v>154686.01391368813</v>
      </c>
      <c r="G222" s="30">
        <f t="shared" si="65"/>
        <v>0.85</v>
      </c>
      <c r="H222">
        <f t="shared" si="66"/>
        <v>154686.01391368813</v>
      </c>
      <c r="I222">
        <f t="shared" si="58"/>
        <v>0</v>
      </c>
      <c r="J222">
        <f t="shared" si="59"/>
        <v>154686.01391368813</v>
      </c>
      <c r="K222">
        <f t="shared" si="60"/>
        <v>154615.12044911401</v>
      </c>
      <c r="L222">
        <f t="shared" si="67"/>
        <v>154615.12044911401</v>
      </c>
      <c r="M222">
        <f t="shared" si="61"/>
        <v>154686.01391368813</v>
      </c>
      <c r="N222" s="29">
        <f t="shared" si="68"/>
        <v>0</v>
      </c>
      <c r="O222" s="29">
        <f t="shared" si="62"/>
        <v>0</v>
      </c>
      <c r="P222" s="29">
        <f t="shared" si="69"/>
        <v>154686.01391368813</v>
      </c>
      <c r="Q222">
        <f t="shared" si="70"/>
        <v>0</v>
      </c>
      <c r="R222" s="29">
        <f t="shared" si="71"/>
        <v>0</v>
      </c>
      <c r="S222" s="29">
        <f t="shared" si="63"/>
        <v>0</v>
      </c>
      <c r="T222" s="29">
        <f t="shared" si="72"/>
        <v>154686.01391368813</v>
      </c>
      <c r="U222">
        <f t="shared" si="73"/>
        <v>0</v>
      </c>
      <c r="V222" s="29">
        <f t="shared" si="74"/>
        <v>0</v>
      </c>
      <c r="W222" s="29">
        <f t="shared" si="64"/>
        <v>0</v>
      </c>
      <c r="X222" s="29">
        <f t="shared" si="75"/>
        <v>154686.01391368813</v>
      </c>
      <c r="Y222">
        <f t="shared" si="76"/>
        <v>0</v>
      </c>
    </row>
    <row r="223" spans="1:25" x14ac:dyDescent="0.25">
      <c r="A223" s="4" t="s">
        <v>1086</v>
      </c>
      <c r="B223" s="7" t="s">
        <v>203</v>
      </c>
      <c r="C223" s="2" t="s">
        <v>1087</v>
      </c>
      <c r="D223">
        <f>VLOOKUP(B223,'Model allocations'!$A$1:$L$317,3,FALSE)</f>
        <v>50760.681479262581</v>
      </c>
      <c r="E223" s="31">
        <f>VLOOKUP(B223,'Initial adjusted formula count'!$A$1:$P$317,12,FALSE)</f>
        <v>0.115942028985507</v>
      </c>
      <c r="F223">
        <f>VLOOKUP(B223,'Model allocations'!$A$1:$L$317,8,FALSE)</f>
        <v>43146.579257373196</v>
      </c>
      <c r="G223" s="30">
        <f t="shared" si="65"/>
        <v>0.85</v>
      </c>
      <c r="H223">
        <f t="shared" si="66"/>
        <v>43146.579257373196</v>
      </c>
      <c r="I223">
        <f t="shared" si="58"/>
        <v>0</v>
      </c>
      <c r="J223">
        <f t="shared" si="59"/>
        <v>43146.579257373196</v>
      </c>
      <c r="K223">
        <f t="shared" si="60"/>
        <v>43126.804938993104</v>
      </c>
      <c r="L223">
        <f t="shared" si="67"/>
        <v>43126.804938993104</v>
      </c>
      <c r="M223">
        <f t="shared" si="61"/>
        <v>43146.579257373196</v>
      </c>
      <c r="N223" s="29">
        <f t="shared" si="68"/>
        <v>0</v>
      </c>
      <c r="O223" s="29">
        <f t="shared" si="62"/>
        <v>0</v>
      </c>
      <c r="P223" s="29">
        <f t="shared" si="69"/>
        <v>43146.579257373196</v>
      </c>
      <c r="Q223">
        <f t="shared" si="70"/>
        <v>0</v>
      </c>
      <c r="R223" s="29">
        <f t="shared" si="71"/>
        <v>0</v>
      </c>
      <c r="S223" s="29">
        <f t="shared" si="63"/>
        <v>0</v>
      </c>
      <c r="T223" s="29">
        <f t="shared" si="72"/>
        <v>43146.579257373196</v>
      </c>
      <c r="U223">
        <f t="shared" si="73"/>
        <v>0</v>
      </c>
      <c r="V223" s="29">
        <f t="shared" si="74"/>
        <v>0</v>
      </c>
      <c r="W223" s="29">
        <f t="shared" si="64"/>
        <v>0</v>
      </c>
      <c r="X223" s="29">
        <f t="shared" si="75"/>
        <v>43146.579257373196</v>
      </c>
      <c r="Y223">
        <f t="shared" si="76"/>
        <v>0</v>
      </c>
    </row>
    <row r="224" spans="1:25" x14ac:dyDescent="0.25">
      <c r="A224" s="4" t="s">
        <v>1088</v>
      </c>
      <c r="B224" s="7" t="s">
        <v>296</v>
      </c>
      <c r="C224" s="2" t="s">
        <v>1089</v>
      </c>
      <c r="D224">
        <f>VLOOKUP(B224,'Model allocations'!$A$1:$L$317,3,FALSE)</f>
        <v>234875.69565828278</v>
      </c>
      <c r="E224" s="31">
        <f>VLOOKUP(B224,'Initial adjusted formula count'!$A$1:$P$317,12,FALSE)</f>
        <v>0.11764705882352899</v>
      </c>
      <c r="F224">
        <f>VLOOKUP(B224,'Model allocations'!$A$1:$L$317,8,FALSE)</f>
        <v>210337.58672739839</v>
      </c>
      <c r="G224" s="30">
        <f t="shared" si="65"/>
        <v>0.85</v>
      </c>
      <c r="H224">
        <f t="shared" si="66"/>
        <v>199644.34130954035</v>
      </c>
      <c r="I224">
        <f t="shared" si="58"/>
        <v>0</v>
      </c>
      <c r="J224">
        <f t="shared" si="59"/>
        <v>210337.58672739839</v>
      </c>
      <c r="K224">
        <f t="shared" si="60"/>
        <v>210241.18783601845</v>
      </c>
      <c r="L224">
        <f t="shared" si="67"/>
        <v>210241.18783601845</v>
      </c>
      <c r="M224">
        <f t="shared" si="61"/>
        <v>0</v>
      </c>
      <c r="N224" s="29">
        <f t="shared" si="68"/>
        <v>210241.18783601845</v>
      </c>
      <c r="O224" s="29">
        <f t="shared" si="62"/>
        <v>210230.41109825391</v>
      </c>
      <c r="P224" s="29">
        <f t="shared" si="69"/>
        <v>210230.41109825391</v>
      </c>
      <c r="Q224">
        <f t="shared" si="70"/>
        <v>0</v>
      </c>
      <c r="R224" s="29">
        <f t="shared" si="71"/>
        <v>210230.41109825391</v>
      </c>
      <c r="S224" s="29">
        <f t="shared" si="63"/>
        <v>210230.40123459956</v>
      </c>
      <c r="T224" s="29">
        <f t="shared" si="72"/>
        <v>210230.40123459956</v>
      </c>
      <c r="U224">
        <f t="shared" si="73"/>
        <v>0</v>
      </c>
      <c r="V224" s="29">
        <f t="shared" si="74"/>
        <v>210230.40123459956</v>
      </c>
      <c r="W224" s="29">
        <f t="shared" si="64"/>
        <v>210230.40123459979</v>
      </c>
      <c r="X224" s="29">
        <f t="shared" si="75"/>
        <v>210230.40123459979</v>
      </c>
      <c r="Y224">
        <f t="shared" si="76"/>
        <v>0</v>
      </c>
    </row>
    <row r="225" spans="1:25" x14ac:dyDescent="0.25">
      <c r="A225" s="4" t="s">
        <v>1090</v>
      </c>
      <c r="B225" s="7" t="s">
        <v>205</v>
      </c>
      <c r="C225" s="2" t="s">
        <v>1091</v>
      </c>
      <c r="D225">
        <f>VLOOKUP(B225,'Model allocations'!$A$1:$L$317,3,FALSE)</f>
        <v>143526.64554033664</v>
      </c>
      <c r="E225" s="31">
        <f>VLOOKUP(B225,'Initial adjusted formula count'!$A$1:$P$317,12,FALSE)</f>
        <v>3.3472803347280297E-2</v>
      </c>
      <c r="F225">
        <f>VLOOKUP(B225,'Model allocations'!$A$1:$L$317,8,FALSE)</f>
        <v>121997.64870928614</v>
      </c>
      <c r="G225" s="30">
        <f t="shared" si="65"/>
        <v>0.85</v>
      </c>
      <c r="H225">
        <f t="shared" si="66"/>
        <v>121997.64870928614</v>
      </c>
      <c r="I225">
        <f t="shared" si="58"/>
        <v>0</v>
      </c>
      <c r="J225">
        <f t="shared" si="59"/>
        <v>121997.64870928614</v>
      </c>
      <c r="K225">
        <f t="shared" si="60"/>
        <v>121941.73650515031</v>
      </c>
      <c r="L225">
        <f t="shared" si="67"/>
        <v>121941.73650515031</v>
      </c>
      <c r="M225">
        <f t="shared" si="61"/>
        <v>121997.64870928614</v>
      </c>
      <c r="N225" s="29">
        <f t="shared" si="68"/>
        <v>0</v>
      </c>
      <c r="O225" s="29">
        <f t="shared" si="62"/>
        <v>0</v>
      </c>
      <c r="P225" s="29">
        <f t="shared" si="69"/>
        <v>121997.64870928614</v>
      </c>
      <c r="Q225">
        <f t="shared" si="70"/>
        <v>0</v>
      </c>
      <c r="R225" s="29">
        <f t="shared" si="71"/>
        <v>0</v>
      </c>
      <c r="S225" s="29">
        <f t="shared" si="63"/>
        <v>0</v>
      </c>
      <c r="T225" s="29">
        <f t="shared" si="72"/>
        <v>121997.64870928614</v>
      </c>
      <c r="U225">
        <f t="shared" si="73"/>
        <v>0</v>
      </c>
      <c r="V225" s="29">
        <f t="shared" si="74"/>
        <v>0</v>
      </c>
      <c r="W225" s="29">
        <f t="shared" si="64"/>
        <v>0</v>
      </c>
      <c r="X225" s="29">
        <f t="shared" si="75"/>
        <v>121997.64870928614</v>
      </c>
      <c r="Y225">
        <f t="shared" si="76"/>
        <v>0</v>
      </c>
    </row>
    <row r="226" spans="1:25" x14ac:dyDescent="0.25">
      <c r="A226" s="4" t="s">
        <v>1092</v>
      </c>
      <c r="B226" s="7" t="s">
        <v>566</v>
      </c>
      <c r="C226" s="2" t="s">
        <v>1093</v>
      </c>
      <c r="D226">
        <f>VLOOKUP(B226,'Model allocations'!$A$1:$L$317,3,FALSE)</f>
        <v>249969.85156307442</v>
      </c>
      <c r="E226" s="31">
        <f>VLOOKUP(B226,'Initial adjusted formula count'!$A$1:$P$317,12,FALSE)</f>
        <v>0.103629032258065</v>
      </c>
      <c r="F226">
        <f>VLOOKUP(B226,'Model allocations'!$A$1:$L$317,8,FALSE)</f>
        <v>223375.04045017101</v>
      </c>
      <c r="G226" s="30">
        <f t="shared" si="65"/>
        <v>0.85</v>
      </c>
      <c r="H226">
        <f t="shared" si="66"/>
        <v>212474.37382861326</v>
      </c>
      <c r="I226">
        <f t="shared" si="58"/>
        <v>0</v>
      </c>
      <c r="J226">
        <f t="shared" si="59"/>
        <v>223375.04045017101</v>
      </c>
      <c r="K226">
        <f t="shared" si="60"/>
        <v>223272.66642089561</v>
      </c>
      <c r="L226">
        <f t="shared" si="67"/>
        <v>223272.66642089561</v>
      </c>
      <c r="M226">
        <f t="shared" si="61"/>
        <v>0</v>
      </c>
      <c r="N226" s="29">
        <f t="shared" si="68"/>
        <v>223272.66642089561</v>
      </c>
      <c r="O226" s="29">
        <f t="shared" si="62"/>
        <v>223261.2217035176</v>
      </c>
      <c r="P226" s="29">
        <f t="shared" si="69"/>
        <v>223261.2217035176</v>
      </c>
      <c r="Q226">
        <f t="shared" si="70"/>
        <v>0</v>
      </c>
      <c r="R226" s="29">
        <f t="shared" si="71"/>
        <v>223261.2217035176</v>
      </c>
      <c r="S226" s="29">
        <f t="shared" si="63"/>
        <v>223261.21122847966</v>
      </c>
      <c r="T226" s="29">
        <f t="shared" si="72"/>
        <v>223261.21122847966</v>
      </c>
      <c r="U226">
        <f t="shared" si="73"/>
        <v>0</v>
      </c>
      <c r="V226" s="29">
        <f t="shared" si="74"/>
        <v>223261.21122847966</v>
      </c>
      <c r="W226" s="29">
        <f t="shared" si="64"/>
        <v>223261.21122847989</v>
      </c>
      <c r="X226" s="29">
        <f t="shared" si="75"/>
        <v>223261.21122847989</v>
      </c>
      <c r="Y226">
        <f t="shared" si="76"/>
        <v>0</v>
      </c>
    </row>
    <row r="227" spans="1:25" x14ac:dyDescent="0.25">
      <c r="A227" s="4" t="s">
        <v>1094</v>
      </c>
      <c r="B227" s="7" t="s">
        <v>298</v>
      </c>
      <c r="C227" s="2" t="s">
        <v>1095</v>
      </c>
      <c r="D227">
        <f>VLOOKUP(B227,'Model allocations'!$A$1:$L$317,3,FALSE)</f>
        <v>0</v>
      </c>
      <c r="E227" s="31">
        <f>VLOOKUP(B227,'Initial adjusted formula count'!$A$1:$P$317,12,FALSE)</f>
        <v>9.3023255813953501E-2</v>
      </c>
      <c r="F227">
        <f>VLOOKUP(B227,'Model allocations'!$A$1:$L$317,8,FALSE)</f>
        <v>0</v>
      </c>
      <c r="G227" s="30">
        <f t="shared" si="65"/>
        <v>0.85</v>
      </c>
      <c r="H227">
        <f t="shared" si="66"/>
        <v>0</v>
      </c>
      <c r="I227">
        <f t="shared" si="58"/>
        <v>0</v>
      </c>
      <c r="J227">
        <f t="shared" si="59"/>
        <v>0</v>
      </c>
      <c r="K227">
        <f t="shared" si="60"/>
        <v>0</v>
      </c>
      <c r="L227">
        <f t="shared" si="67"/>
        <v>0</v>
      </c>
      <c r="M227">
        <f t="shared" si="61"/>
        <v>0</v>
      </c>
      <c r="N227" s="29">
        <f t="shared" si="68"/>
        <v>0</v>
      </c>
      <c r="O227" s="29">
        <f t="shared" si="62"/>
        <v>0</v>
      </c>
      <c r="P227" s="29">
        <f t="shared" si="69"/>
        <v>0</v>
      </c>
      <c r="Q227">
        <f t="shared" si="70"/>
        <v>0</v>
      </c>
      <c r="R227" s="29">
        <f t="shared" si="71"/>
        <v>0</v>
      </c>
      <c r="S227" s="29">
        <f t="shared" si="63"/>
        <v>0</v>
      </c>
      <c r="T227" s="29">
        <f t="shared" si="72"/>
        <v>0</v>
      </c>
      <c r="U227">
        <f t="shared" si="73"/>
        <v>0</v>
      </c>
      <c r="V227" s="29">
        <f t="shared" si="74"/>
        <v>0</v>
      </c>
      <c r="W227" s="29">
        <f t="shared" si="64"/>
        <v>0</v>
      </c>
      <c r="X227" s="29">
        <f t="shared" si="75"/>
        <v>0</v>
      </c>
      <c r="Y227">
        <f t="shared" si="76"/>
        <v>0</v>
      </c>
    </row>
    <row r="228" spans="1:25" x14ac:dyDescent="0.25">
      <c r="A228" s="4" t="s">
        <v>1096</v>
      </c>
      <c r="B228" s="7" t="s">
        <v>568</v>
      </c>
      <c r="C228" s="2" t="s">
        <v>1097</v>
      </c>
      <c r="D228">
        <f>VLOOKUP(B228,'Model allocations'!$A$1:$L$317,3,FALSE)</f>
        <v>28391.56760704517</v>
      </c>
      <c r="E228" s="31">
        <f>VLOOKUP(B228,'Initial adjusted formula count'!$A$1:$P$317,12,FALSE)</f>
        <v>0.19028340080971701</v>
      </c>
      <c r="F228">
        <f>VLOOKUP(B228,'Model allocations'!$A$1:$L$317,8,FALSE)</f>
        <v>40850.688331354235</v>
      </c>
      <c r="G228" s="30">
        <f t="shared" si="65"/>
        <v>0.9</v>
      </c>
      <c r="H228">
        <f t="shared" si="66"/>
        <v>25552.410846340652</v>
      </c>
      <c r="I228">
        <f t="shared" si="58"/>
        <v>0</v>
      </c>
      <c r="J228">
        <f t="shared" si="59"/>
        <v>40850.688331354235</v>
      </c>
      <c r="K228">
        <f t="shared" si="60"/>
        <v>40831.966232615152</v>
      </c>
      <c r="L228">
        <f t="shared" si="67"/>
        <v>40831.966232615152</v>
      </c>
      <c r="M228">
        <f t="shared" si="61"/>
        <v>0</v>
      </c>
      <c r="N228" s="29">
        <f t="shared" si="68"/>
        <v>40831.966232615152</v>
      </c>
      <c r="O228" s="29">
        <f t="shared" si="62"/>
        <v>40829.873229826175</v>
      </c>
      <c r="P228" s="29">
        <f t="shared" si="69"/>
        <v>40829.873229826175</v>
      </c>
      <c r="Q228">
        <f t="shared" si="70"/>
        <v>0</v>
      </c>
      <c r="R228" s="29">
        <f t="shared" si="71"/>
        <v>40829.873229826175</v>
      </c>
      <c r="S228" s="29">
        <f t="shared" si="63"/>
        <v>40829.871314157761</v>
      </c>
      <c r="T228" s="29">
        <f t="shared" si="72"/>
        <v>40829.871314157761</v>
      </c>
      <c r="U228">
        <f t="shared" si="73"/>
        <v>0</v>
      </c>
      <c r="V228" s="29">
        <f t="shared" si="74"/>
        <v>40829.871314157761</v>
      </c>
      <c r="W228" s="29">
        <f t="shared" si="64"/>
        <v>40829.871314157805</v>
      </c>
      <c r="X228" s="29">
        <f t="shared" si="75"/>
        <v>40829.871314157805</v>
      </c>
      <c r="Y228">
        <f t="shared" si="76"/>
        <v>0</v>
      </c>
    </row>
    <row r="229" spans="1:25" x14ac:dyDescent="0.25">
      <c r="A229" s="4" t="s">
        <v>1098</v>
      </c>
      <c r="B229" s="7" t="s">
        <v>570</v>
      </c>
      <c r="C229" s="2" t="s">
        <v>1099</v>
      </c>
      <c r="D229">
        <f>VLOOKUP(B229,'Model allocations'!$A$1:$L$317,3,FALSE)</f>
        <v>242587.61963302392</v>
      </c>
      <c r="E229" s="31">
        <f>VLOOKUP(B229,'Initial adjusted formula count'!$A$1:$P$317,12,FALSE)</f>
        <v>0.14450516089860399</v>
      </c>
      <c r="F229">
        <f>VLOOKUP(B229,'Model allocations'!$A$1:$L$317,8,FALSE)</f>
        <v>206860.93240132564</v>
      </c>
      <c r="G229" s="30">
        <f t="shared" si="65"/>
        <v>0.85</v>
      </c>
      <c r="H229">
        <f t="shared" si="66"/>
        <v>206199.47668807034</v>
      </c>
      <c r="I229">
        <f t="shared" si="58"/>
        <v>0</v>
      </c>
      <c r="J229">
        <f t="shared" si="59"/>
        <v>206860.93240132564</v>
      </c>
      <c r="K229">
        <f t="shared" si="60"/>
        <v>206766.12688005113</v>
      </c>
      <c r="L229">
        <f t="shared" si="67"/>
        <v>206766.12688005113</v>
      </c>
      <c r="M229">
        <f t="shared" si="61"/>
        <v>0</v>
      </c>
      <c r="N229" s="29">
        <f t="shared" si="68"/>
        <v>206766.12688005113</v>
      </c>
      <c r="O229" s="29">
        <f t="shared" si="62"/>
        <v>206755.52827018354</v>
      </c>
      <c r="P229" s="29">
        <f t="shared" si="69"/>
        <v>206755.52827018354</v>
      </c>
      <c r="Q229">
        <f t="shared" si="70"/>
        <v>0</v>
      </c>
      <c r="R229" s="29">
        <f t="shared" si="71"/>
        <v>206755.52827018354</v>
      </c>
      <c r="S229" s="29">
        <f t="shared" si="63"/>
        <v>206755.51856956477</v>
      </c>
      <c r="T229" s="29">
        <f t="shared" si="72"/>
        <v>206755.51856956477</v>
      </c>
      <c r="U229">
        <f t="shared" si="73"/>
        <v>0</v>
      </c>
      <c r="V229" s="29">
        <f t="shared" si="74"/>
        <v>206755.51856956477</v>
      </c>
      <c r="W229" s="29">
        <f t="shared" si="64"/>
        <v>206755.518569565</v>
      </c>
      <c r="X229" s="29">
        <f t="shared" si="75"/>
        <v>206755.518569565</v>
      </c>
      <c r="Y229">
        <f t="shared" si="76"/>
        <v>0</v>
      </c>
    </row>
    <row r="230" spans="1:25" x14ac:dyDescent="0.25">
      <c r="A230" s="4" t="s">
        <v>1100</v>
      </c>
      <c r="B230" s="7" t="s">
        <v>207</v>
      </c>
      <c r="C230" s="2" t="s">
        <v>1101</v>
      </c>
      <c r="D230">
        <f>VLOOKUP(B230,'Model allocations'!$A$1:$L$317,3,FALSE)</f>
        <v>82407.643372442079</v>
      </c>
      <c r="E230" s="31">
        <f>VLOOKUP(B230,'Initial adjusted formula count'!$A$1:$P$317,12,FALSE)</f>
        <v>9.8850574712643705E-2</v>
      </c>
      <c r="F230">
        <f>VLOOKUP(B230,'Model allocations'!$A$1:$L$317,8,FALSE)</f>
        <v>74748.068010563045</v>
      </c>
      <c r="G230" s="30">
        <f t="shared" si="65"/>
        <v>0.85</v>
      </c>
      <c r="H230">
        <f t="shared" si="66"/>
        <v>70046.496866575762</v>
      </c>
      <c r="I230">
        <f t="shared" si="58"/>
        <v>0</v>
      </c>
      <c r="J230">
        <f t="shared" si="59"/>
        <v>74748.068010563045</v>
      </c>
      <c r="K230">
        <f t="shared" si="60"/>
        <v>74713.810553295785</v>
      </c>
      <c r="L230">
        <f t="shared" si="67"/>
        <v>74713.810553295785</v>
      </c>
      <c r="M230">
        <f t="shared" si="61"/>
        <v>0</v>
      </c>
      <c r="N230" s="29">
        <f t="shared" si="68"/>
        <v>74713.810553295785</v>
      </c>
      <c r="O230" s="29">
        <f t="shared" si="62"/>
        <v>74709.980803511702</v>
      </c>
      <c r="P230" s="29">
        <f t="shared" si="69"/>
        <v>74709.980803511702</v>
      </c>
      <c r="Q230">
        <f t="shared" si="70"/>
        <v>0</v>
      </c>
      <c r="R230" s="29">
        <f t="shared" si="71"/>
        <v>74709.980803511702</v>
      </c>
      <c r="S230" s="29">
        <f t="shared" si="63"/>
        <v>74709.9772982461</v>
      </c>
      <c r="T230" s="29">
        <f t="shared" si="72"/>
        <v>74709.9772982461</v>
      </c>
      <c r="U230">
        <f t="shared" si="73"/>
        <v>0</v>
      </c>
      <c r="V230" s="29">
        <f t="shared" si="74"/>
        <v>74709.9772982461</v>
      </c>
      <c r="W230" s="29">
        <f t="shared" si="64"/>
        <v>74709.977298246187</v>
      </c>
      <c r="X230" s="29">
        <f t="shared" si="75"/>
        <v>74709.977298246187</v>
      </c>
      <c r="Y230">
        <f t="shared" si="76"/>
        <v>0</v>
      </c>
    </row>
    <row r="231" spans="1:25" x14ac:dyDescent="0.25">
      <c r="A231" s="4" t="s">
        <v>1102</v>
      </c>
      <c r="B231" s="7" t="s">
        <v>572</v>
      </c>
      <c r="C231" s="2" t="s">
        <v>1103</v>
      </c>
      <c r="D231">
        <f>VLOOKUP(B231,'Model allocations'!$A$1:$L$317,3,FALSE)</f>
        <v>15996.777831121119</v>
      </c>
      <c r="E231" s="31">
        <f>VLOOKUP(B231,'Initial adjusted formula count'!$A$1:$P$317,12,FALSE)</f>
        <v>0.13636363636363599</v>
      </c>
      <c r="F231">
        <f>VLOOKUP(B231,'Model allocations'!$A$1:$L$317,8,FALSE)</f>
        <v>13597.261156452951</v>
      </c>
      <c r="G231" s="30">
        <f t="shared" si="65"/>
        <v>0.85</v>
      </c>
      <c r="H231">
        <f t="shared" si="66"/>
        <v>13597.261156452951</v>
      </c>
      <c r="I231">
        <f t="shared" si="58"/>
        <v>0</v>
      </c>
      <c r="J231">
        <f t="shared" si="59"/>
        <v>13597.261156452951</v>
      </c>
      <c r="K231">
        <f t="shared" si="60"/>
        <v>13591.029455682396</v>
      </c>
      <c r="L231">
        <f t="shared" si="67"/>
        <v>13591.029455682396</v>
      </c>
      <c r="M231">
        <f t="shared" si="61"/>
        <v>13597.261156452951</v>
      </c>
      <c r="N231" s="29">
        <f t="shared" si="68"/>
        <v>0</v>
      </c>
      <c r="O231" s="29">
        <f t="shared" si="62"/>
        <v>0</v>
      </c>
      <c r="P231" s="29">
        <f t="shared" si="69"/>
        <v>13597.261156452951</v>
      </c>
      <c r="Q231">
        <f t="shared" si="70"/>
        <v>0</v>
      </c>
      <c r="R231" s="29">
        <f t="shared" si="71"/>
        <v>0</v>
      </c>
      <c r="S231" s="29">
        <f t="shared" si="63"/>
        <v>0</v>
      </c>
      <c r="T231" s="29">
        <f t="shared" si="72"/>
        <v>13597.261156452951</v>
      </c>
      <c r="U231">
        <f t="shared" si="73"/>
        <v>0</v>
      </c>
      <c r="V231" s="29">
        <f t="shared" si="74"/>
        <v>0</v>
      </c>
      <c r="W231" s="29">
        <f t="shared" si="64"/>
        <v>0</v>
      </c>
      <c r="X231" s="29">
        <f t="shared" si="75"/>
        <v>13597.261156452951</v>
      </c>
      <c r="Y231">
        <f t="shared" si="76"/>
        <v>0</v>
      </c>
    </row>
    <row r="232" spans="1:25" x14ac:dyDescent="0.25">
      <c r="A232" s="8" t="s">
        <v>50</v>
      </c>
      <c r="B232" s="7" t="s">
        <v>82</v>
      </c>
      <c r="C232" s="2" t="s">
        <v>1104</v>
      </c>
      <c r="D232">
        <f>VLOOKUP(B232,'Model allocations'!$A$1:$L$317,3,FALSE)</f>
        <v>18831.618498071577</v>
      </c>
      <c r="E232" s="31">
        <f>VLOOKUP(B232,'Initial adjusted formula count'!$A$1:$P$317,12,FALSE)</f>
        <v>0.13887299293747199</v>
      </c>
      <c r="F232">
        <f>VLOOKUP(B232,'Model allocations'!$A$1:$L$317,8,FALSE)</f>
        <v>17392.437355404956</v>
      </c>
      <c r="G232" s="30">
        <f t="shared" si="65"/>
        <v>0.85</v>
      </c>
      <c r="H232">
        <f t="shared" si="66"/>
        <v>16006.875723360839</v>
      </c>
      <c r="I232">
        <f t="shared" si="58"/>
        <v>0</v>
      </c>
      <c r="J232">
        <f t="shared" si="59"/>
        <v>17392.437355404956</v>
      </c>
      <c r="K232">
        <f t="shared" si="60"/>
        <v>17384.466304174683</v>
      </c>
      <c r="L232">
        <f t="shared" si="67"/>
        <v>17384.466304174683</v>
      </c>
      <c r="M232">
        <f t="shared" si="61"/>
        <v>0</v>
      </c>
      <c r="N232" s="29">
        <f t="shared" si="68"/>
        <v>17384.466304174683</v>
      </c>
      <c r="O232" s="29">
        <f t="shared" si="62"/>
        <v>17383.575195080102</v>
      </c>
      <c r="P232" s="29">
        <f t="shared" si="69"/>
        <v>17383.575195080102</v>
      </c>
      <c r="Q232">
        <f t="shared" si="70"/>
        <v>0</v>
      </c>
      <c r="R232" s="29">
        <f t="shared" si="71"/>
        <v>17383.575195080102</v>
      </c>
      <c r="S232" s="29">
        <f t="shared" si="63"/>
        <v>17383.574379472233</v>
      </c>
      <c r="T232" s="29">
        <f t="shared" si="72"/>
        <v>17383.574379472233</v>
      </c>
      <c r="U232">
        <f t="shared" si="73"/>
        <v>0</v>
      </c>
      <c r="V232" s="29">
        <f t="shared" si="74"/>
        <v>17383.574379472233</v>
      </c>
      <c r="W232" s="29">
        <f t="shared" si="64"/>
        <v>17383.574379472255</v>
      </c>
      <c r="X232" s="29">
        <f t="shared" si="75"/>
        <v>17383.574379472255</v>
      </c>
      <c r="Y232">
        <f t="shared" si="76"/>
        <v>0</v>
      </c>
    </row>
    <row r="233" spans="1:25" x14ac:dyDescent="0.25">
      <c r="A233" s="4" t="s">
        <v>46</v>
      </c>
      <c r="B233" s="7" t="s">
        <v>81</v>
      </c>
      <c r="C233" s="2" t="s">
        <v>1105</v>
      </c>
      <c r="D233">
        <f>VLOOKUP(B233,'Model allocations'!$A$1:$L$317,3,FALSE)</f>
        <v>0</v>
      </c>
      <c r="E233" s="31">
        <f>VLOOKUP(B233,'Initial adjusted formula count'!$A$1:$P$317,12,FALSE)</f>
        <v>6.8532985430347401E-2</v>
      </c>
      <c r="F233">
        <f>VLOOKUP(B233,'Model allocations'!$A$1:$L$317,8,FALSE)</f>
        <v>0</v>
      </c>
      <c r="G233" s="30">
        <f t="shared" si="65"/>
        <v>0.85</v>
      </c>
      <c r="H233">
        <f t="shared" si="66"/>
        <v>0</v>
      </c>
      <c r="I233">
        <f t="shared" si="58"/>
        <v>0</v>
      </c>
      <c r="J233">
        <f t="shared" si="59"/>
        <v>0</v>
      </c>
      <c r="K233">
        <f t="shared" si="60"/>
        <v>0</v>
      </c>
      <c r="L233">
        <f t="shared" si="67"/>
        <v>0</v>
      </c>
      <c r="M233">
        <f t="shared" si="61"/>
        <v>0</v>
      </c>
      <c r="N233" s="29">
        <f t="shared" si="68"/>
        <v>0</v>
      </c>
      <c r="O233" s="29">
        <f t="shared" si="62"/>
        <v>0</v>
      </c>
      <c r="P233" s="29">
        <f t="shared" si="69"/>
        <v>0</v>
      </c>
      <c r="Q233">
        <f t="shared" si="70"/>
        <v>0</v>
      </c>
      <c r="R233" s="29">
        <f t="shared" si="71"/>
        <v>0</v>
      </c>
      <c r="S233" s="29">
        <f t="shared" si="63"/>
        <v>0</v>
      </c>
      <c r="T233" s="29">
        <f t="shared" si="72"/>
        <v>0</v>
      </c>
      <c r="U233">
        <f t="shared" si="73"/>
        <v>0</v>
      </c>
      <c r="V233" s="29">
        <f t="shared" si="74"/>
        <v>0</v>
      </c>
      <c r="W233" s="29">
        <f t="shared" si="64"/>
        <v>0</v>
      </c>
      <c r="X233" s="29">
        <f t="shared" si="75"/>
        <v>0</v>
      </c>
      <c r="Y233">
        <f t="shared" si="76"/>
        <v>0</v>
      </c>
    </row>
    <row r="234" spans="1:25" x14ac:dyDescent="0.25">
      <c r="A234" s="4" t="s">
        <v>24</v>
      </c>
      <c r="B234" s="7" t="s">
        <v>59</v>
      </c>
      <c r="C234" s="2" t="s">
        <v>1106</v>
      </c>
      <c r="D234">
        <f>VLOOKUP(B234,'Model allocations'!$A$1:$L$317,3,FALSE)</f>
        <v>5126158.996638692</v>
      </c>
      <c r="E234" s="31">
        <f>VLOOKUP(B234,'Initial adjusted formula count'!$A$1:$P$317,12,FALSE)</f>
        <v>9.5002912490484606E-2</v>
      </c>
      <c r="F234">
        <f>VLOOKUP(B234,'Model allocations'!$A$1:$L$317,8,FALSE)</f>
        <v>5651174.959548437</v>
      </c>
      <c r="G234" s="30">
        <f t="shared" si="65"/>
        <v>0.85</v>
      </c>
      <c r="H234">
        <f t="shared" si="66"/>
        <v>4357235.147142888</v>
      </c>
      <c r="I234">
        <f t="shared" si="58"/>
        <v>0</v>
      </c>
      <c r="J234">
        <f t="shared" si="59"/>
        <v>5651174.959548437</v>
      </c>
      <c r="K234">
        <f t="shared" si="60"/>
        <v>5648584.9944852712</v>
      </c>
      <c r="L234">
        <f t="shared" si="67"/>
        <v>5648584.9944852712</v>
      </c>
      <c r="M234">
        <f t="shared" si="61"/>
        <v>0</v>
      </c>
      <c r="N234" s="29">
        <f t="shared" si="68"/>
        <v>5648584.9944852712</v>
      </c>
      <c r="O234" s="29">
        <f t="shared" si="62"/>
        <v>5648295.4540776433</v>
      </c>
      <c r="P234" s="29">
        <f t="shared" si="69"/>
        <v>5648295.4540776433</v>
      </c>
      <c r="Q234">
        <f t="shared" si="70"/>
        <v>0</v>
      </c>
      <c r="R234" s="29">
        <f t="shared" si="71"/>
        <v>5648295.4540776433</v>
      </c>
      <c r="S234" s="29">
        <f t="shared" si="63"/>
        <v>5648295.1890691994</v>
      </c>
      <c r="T234" s="29">
        <f t="shared" si="72"/>
        <v>5648295.1890691994</v>
      </c>
      <c r="U234">
        <f t="shared" si="73"/>
        <v>0</v>
      </c>
      <c r="V234" s="29">
        <f t="shared" si="74"/>
        <v>5648295.1890691994</v>
      </c>
      <c r="W234" s="29">
        <f t="shared" si="64"/>
        <v>5648295.1890692059</v>
      </c>
      <c r="X234" s="29">
        <f t="shared" si="75"/>
        <v>5648295.1890692059</v>
      </c>
      <c r="Y234">
        <f t="shared" si="76"/>
        <v>0</v>
      </c>
    </row>
    <row r="235" spans="1:25" x14ac:dyDescent="0.25">
      <c r="A235" s="4" t="s">
        <v>1107</v>
      </c>
      <c r="B235" s="7" t="s">
        <v>300</v>
      </c>
      <c r="C235" s="2" t="s">
        <v>1108</v>
      </c>
      <c r="D235">
        <f>VLOOKUP(B235,'Model allocations'!$A$1:$L$317,3,FALSE)</f>
        <v>529115.57813129621</v>
      </c>
      <c r="E235" s="31">
        <f>VLOOKUP(B235,'Initial adjusted formula count'!$A$1:$P$317,12,FALSE)</f>
        <v>0.112776025236593</v>
      </c>
      <c r="F235">
        <f>VLOOKUP(B235,'Model allocations'!$A$1:$L$317,8,FALSE)</f>
        <v>497161.5686283962</v>
      </c>
      <c r="G235" s="30">
        <f t="shared" si="65"/>
        <v>0.85</v>
      </c>
      <c r="H235">
        <f t="shared" si="66"/>
        <v>449748.24141160178</v>
      </c>
      <c r="I235">
        <f t="shared" si="58"/>
        <v>0</v>
      </c>
      <c r="J235">
        <f t="shared" si="59"/>
        <v>497161.5686283962</v>
      </c>
      <c r="K235">
        <f t="shared" si="60"/>
        <v>496933.71670331631</v>
      </c>
      <c r="L235">
        <f t="shared" si="67"/>
        <v>496933.71670331631</v>
      </c>
      <c r="M235">
        <f t="shared" si="61"/>
        <v>0</v>
      </c>
      <c r="N235" s="29">
        <f t="shared" si="68"/>
        <v>496933.71670331631</v>
      </c>
      <c r="O235" s="29">
        <f t="shared" si="62"/>
        <v>496908.24441405479</v>
      </c>
      <c r="P235" s="29">
        <f t="shared" si="69"/>
        <v>496908.24441405479</v>
      </c>
      <c r="Q235">
        <f t="shared" si="70"/>
        <v>0</v>
      </c>
      <c r="R235" s="29">
        <f t="shared" si="71"/>
        <v>496908.24441405479</v>
      </c>
      <c r="S235" s="29">
        <f t="shared" si="63"/>
        <v>496908.2210999626</v>
      </c>
      <c r="T235" s="29">
        <f t="shared" si="72"/>
        <v>496908.2210999626</v>
      </c>
      <c r="U235">
        <f t="shared" si="73"/>
        <v>0</v>
      </c>
      <c r="V235" s="29">
        <f t="shared" si="74"/>
        <v>496908.2210999626</v>
      </c>
      <c r="W235" s="29">
        <f t="shared" si="64"/>
        <v>496908.22109996318</v>
      </c>
      <c r="X235" s="29">
        <f t="shared" si="75"/>
        <v>496908.22109996318</v>
      </c>
      <c r="Y235">
        <f t="shared" si="76"/>
        <v>0</v>
      </c>
    </row>
    <row r="236" spans="1:25" x14ac:dyDescent="0.25">
      <c r="A236" s="4" t="s">
        <v>1109</v>
      </c>
      <c r="B236" s="7" t="s">
        <v>574</v>
      </c>
      <c r="C236" s="2" t="s">
        <v>1110</v>
      </c>
      <c r="D236">
        <f>VLOOKUP(B236,'Model allocations'!$A$1:$L$317,3,FALSE)</f>
        <v>402644.04969991342</v>
      </c>
      <c r="E236" s="31">
        <f>VLOOKUP(B236,'Initial adjusted formula count'!$A$1:$P$317,12,FALSE)</f>
        <v>0.121110579224509</v>
      </c>
      <c r="F236">
        <f>VLOOKUP(B236,'Model allocations'!$A$1:$L$317,8,FALSE)</f>
        <v>439796.77224819659</v>
      </c>
      <c r="G236" s="30">
        <f t="shared" si="65"/>
        <v>0.85</v>
      </c>
      <c r="H236">
        <f t="shared" si="66"/>
        <v>342247.44224492641</v>
      </c>
      <c r="I236">
        <f t="shared" si="58"/>
        <v>0</v>
      </c>
      <c r="J236">
        <f t="shared" si="59"/>
        <v>439796.77224819659</v>
      </c>
      <c r="K236">
        <f t="shared" si="60"/>
        <v>439595.21092985669</v>
      </c>
      <c r="L236">
        <f t="shared" si="67"/>
        <v>439595.21092985669</v>
      </c>
      <c r="M236">
        <f t="shared" si="61"/>
        <v>0</v>
      </c>
      <c r="N236" s="29">
        <f t="shared" si="68"/>
        <v>439595.21092985669</v>
      </c>
      <c r="O236" s="29">
        <f t="shared" si="62"/>
        <v>439572.67775089457</v>
      </c>
      <c r="P236" s="29">
        <f t="shared" si="69"/>
        <v>439572.67775089457</v>
      </c>
      <c r="Q236">
        <f t="shared" si="70"/>
        <v>0</v>
      </c>
      <c r="R236" s="29">
        <f t="shared" si="71"/>
        <v>439572.67775089457</v>
      </c>
      <c r="S236" s="29">
        <f t="shared" si="63"/>
        <v>439572.65712688997</v>
      </c>
      <c r="T236" s="29">
        <f t="shared" si="72"/>
        <v>439572.65712688997</v>
      </c>
      <c r="U236">
        <f t="shared" si="73"/>
        <v>0</v>
      </c>
      <c r="V236" s="29">
        <f t="shared" si="74"/>
        <v>439572.65712688997</v>
      </c>
      <c r="W236" s="29">
        <f t="shared" si="64"/>
        <v>439572.65712689044</v>
      </c>
      <c r="X236" s="29">
        <f t="shared" si="75"/>
        <v>439572.65712689044</v>
      </c>
      <c r="Y236">
        <f t="shared" si="76"/>
        <v>0</v>
      </c>
    </row>
    <row r="237" spans="1:25" x14ac:dyDescent="0.25">
      <c r="A237" s="4" t="s">
        <v>1111</v>
      </c>
      <c r="B237" s="7" t="s">
        <v>576</v>
      </c>
      <c r="C237" s="2" t="s">
        <v>1112</v>
      </c>
      <c r="D237">
        <f>VLOOKUP(B237,'Model allocations'!$A$1:$L$317,3,FALSE)</f>
        <v>73990.145885026795</v>
      </c>
      <c r="E237" s="31">
        <f>VLOOKUP(B237,'Initial adjusted formula count'!$A$1:$P$317,12,FALSE)</f>
        <v>0.25937500000000002</v>
      </c>
      <c r="F237">
        <f>VLOOKUP(B237,'Model allocations'!$A$1:$L$317,8,FALSE)</f>
        <v>72140.577266008477</v>
      </c>
      <c r="G237" s="30">
        <f t="shared" si="65"/>
        <v>0.9</v>
      </c>
      <c r="H237">
        <f t="shared" si="66"/>
        <v>66591.131296524123</v>
      </c>
      <c r="I237">
        <f t="shared" si="58"/>
        <v>0</v>
      </c>
      <c r="J237">
        <f t="shared" si="59"/>
        <v>72140.577266008477</v>
      </c>
      <c r="K237">
        <f t="shared" si="60"/>
        <v>72107.514836320319</v>
      </c>
      <c r="L237">
        <f t="shared" si="67"/>
        <v>72107.514836320319</v>
      </c>
      <c r="M237">
        <f t="shared" si="61"/>
        <v>0</v>
      </c>
      <c r="N237" s="29">
        <f t="shared" si="68"/>
        <v>72107.514836320319</v>
      </c>
      <c r="O237" s="29">
        <f t="shared" si="62"/>
        <v>72103.818682458936</v>
      </c>
      <c r="P237" s="29">
        <f t="shared" si="69"/>
        <v>72103.818682458936</v>
      </c>
      <c r="Q237">
        <f t="shared" si="70"/>
        <v>0</v>
      </c>
      <c r="R237" s="29">
        <f t="shared" si="71"/>
        <v>72103.818682458936</v>
      </c>
      <c r="S237" s="29">
        <f t="shared" si="63"/>
        <v>72103.815299470036</v>
      </c>
      <c r="T237" s="29">
        <f t="shared" si="72"/>
        <v>72103.815299470036</v>
      </c>
      <c r="U237">
        <f t="shared" si="73"/>
        <v>0</v>
      </c>
      <c r="V237" s="29">
        <f t="shared" si="74"/>
        <v>72103.815299470036</v>
      </c>
      <c r="W237" s="29">
        <f t="shared" si="64"/>
        <v>72103.815299470123</v>
      </c>
      <c r="X237" s="29">
        <f t="shared" si="75"/>
        <v>72103.815299470123</v>
      </c>
      <c r="Y237">
        <f t="shared" si="76"/>
        <v>0</v>
      </c>
    </row>
    <row r="238" spans="1:25" x14ac:dyDescent="0.25">
      <c r="A238" s="4" t="s">
        <v>1113</v>
      </c>
      <c r="B238" s="7" t="s">
        <v>578</v>
      </c>
      <c r="C238" s="2" t="s">
        <v>1114</v>
      </c>
      <c r="D238">
        <f>VLOOKUP(B238,'Model allocations'!$A$1:$L$317,3,FALSE)</f>
        <v>364788.62622385321</v>
      </c>
      <c r="E238" s="31">
        <f>VLOOKUP(B238,'Initial adjusted formula count'!$A$1:$P$317,12,FALSE)</f>
        <v>0.14715291106845799</v>
      </c>
      <c r="F238">
        <f>VLOOKUP(B238,'Model allocations'!$A$1:$L$317,8,FALSE)</f>
        <v>399815.24749836046</v>
      </c>
      <c r="G238" s="30">
        <f t="shared" si="65"/>
        <v>0.85</v>
      </c>
      <c r="H238">
        <f t="shared" si="66"/>
        <v>310070.3322902752</v>
      </c>
      <c r="I238">
        <f t="shared" si="58"/>
        <v>0</v>
      </c>
      <c r="J238">
        <f t="shared" si="59"/>
        <v>399815.24749836046</v>
      </c>
      <c r="K238">
        <f t="shared" si="60"/>
        <v>399632.00993623328</v>
      </c>
      <c r="L238">
        <f t="shared" si="67"/>
        <v>399632.00993623328</v>
      </c>
      <c r="M238">
        <f t="shared" si="61"/>
        <v>0</v>
      </c>
      <c r="N238" s="29">
        <f t="shared" si="68"/>
        <v>399632.00993623328</v>
      </c>
      <c r="O238" s="29">
        <f t="shared" si="62"/>
        <v>399611.52522808587</v>
      </c>
      <c r="P238" s="29">
        <f t="shared" si="69"/>
        <v>399611.52522808587</v>
      </c>
      <c r="Q238">
        <f t="shared" si="70"/>
        <v>0</v>
      </c>
      <c r="R238" s="29">
        <f t="shared" si="71"/>
        <v>399611.52522808587</v>
      </c>
      <c r="S238" s="29">
        <f t="shared" si="63"/>
        <v>399611.50647899078</v>
      </c>
      <c r="T238" s="29">
        <f t="shared" si="72"/>
        <v>399611.50647899078</v>
      </c>
      <c r="U238">
        <f t="shared" si="73"/>
        <v>0</v>
      </c>
      <c r="V238" s="29">
        <f t="shared" si="74"/>
        <v>399611.50647899078</v>
      </c>
      <c r="W238" s="29">
        <f t="shared" si="64"/>
        <v>399611.50647899124</v>
      </c>
      <c r="X238" s="29">
        <f t="shared" si="75"/>
        <v>399611.50647899124</v>
      </c>
      <c r="Y238">
        <f t="shared" si="76"/>
        <v>0</v>
      </c>
    </row>
    <row r="239" spans="1:25" x14ac:dyDescent="0.25">
      <c r="A239" s="4" t="s">
        <v>1115</v>
      </c>
      <c r="B239" s="7" t="s">
        <v>209</v>
      </c>
      <c r="C239" s="2" t="s">
        <v>1116</v>
      </c>
      <c r="D239">
        <f>VLOOKUP(B239,'Model allocations'!$A$1:$L$317,3,FALSE)</f>
        <v>0</v>
      </c>
      <c r="E239" s="31">
        <f>VLOOKUP(B239,'Initial adjusted formula count'!$A$1:$P$317,12,FALSE)</f>
        <v>0.18181818181818199</v>
      </c>
      <c r="F239">
        <f>VLOOKUP(B239,'Model allocations'!$A$1:$L$317,8,FALSE)</f>
        <v>0</v>
      </c>
      <c r="G239" s="30">
        <f t="shared" si="65"/>
        <v>0.9</v>
      </c>
      <c r="H239">
        <f t="shared" si="66"/>
        <v>0</v>
      </c>
      <c r="I239">
        <f t="shared" si="58"/>
        <v>0</v>
      </c>
      <c r="J239">
        <f t="shared" si="59"/>
        <v>0</v>
      </c>
      <c r="K239">
        <f t="shared" si="60"/>
        <v>0</v>
      </c>
      <c r="L239">
        <f t="shared" si="67"/>
        <v>0</v>
      </c>
      <c r="M239">
        <f t="shared" si="61"/>
        <v>0</v>
      </c>
      <c r="N239" s="29">
        <f t="shared" si="68"/>
        <v>0</v>
      </c>
      <c r="O239" s="29">
        <f t="shared" si="62"/>
        <v>0</v>
      </c>
      <c r="P239" s="29">
        <f t="shared" si="69"/>
        <v>0</v>
      </c>
      <c r="Q239">
        <f t="shared" si="70"/>
        <v>0</v>
      </c>
      <c r="R239" s="29">
        <f t="shared" si="71"/>
        <v>0</v>
      </c>
      <c r="S239" s="29">
        <f t="shared" si="63"/>
        <v>0</v>
      </c>
      <c r="T239" s="29">
        <f t="shared" si="72"/>
        <v>0</v>
      </c>
      <c r="U239">
        <f t="shared" si="73"/>
        <v>0</v>
      </c>
      <c r="V239" s="29">
        <f t="shared" si="74"/>
        <v>0</v>
      </c>
      <c r="W239" s="29">
        <f t="shared" si="64"/>
        <v>0</v>
      </c>
      <c r="X239" s="29">
        <f t="shared" si="75"/>
        <v>0</v>
      </c>
      <c r="Y239">
        <f t="shared" si="76"/>
        <v>0</v>
      </c>
    </row>
    <row r="240" spans="1:25" x14ac:dyDescent="0.25">
      <c r="A240" s="4" t="s">
        <v>1117</v>
      </c>
      <c r="B240" s="7" t="s">
        <v>580</v>
      </c>
      <c r="C240" s="2" t="s">
        <v>1118</v>
      </c>
      <c r="D240">
        <f>VLOOKUP(B240,'Model allocations'!$A$1:$L$317,3,FALSE)</f>
        <v>634116.90279073548</v>
      </c>
      <c r="E240" s="31">
        <f>VLOOKUP(B240,'Initial adjusted formula count'!$A$1:$P$317,12,FALSE)</f>
        <v>0.18101386896221899</v>
      </c>
      <c r="F240">
        <f>VLOOKUP(B240,'Model allocations'!$A$1:$L$317,8,FALSE)</f>
        <v>657956.83120925841</v>
      </c>
      <c r="G240" s="30">
        <f t="shared" si="65"/>
        <v>0.9</v>
      </c>
      <c r="H240">
        <f t="shared" si="66"/>
        <v>570705.21251166193</v>
      </c>
      <c r="I240">
        <f t="shared" si="58"/>
        <v>0</v>
      </c>
      <c r="J240">
        <f t="shared" si="59"/>
        <v>657956.83120925841</v>
      </c>
      <c r="K240">
        <f t="shared" si="60"/>
        <v>657655.28591680131</v>
      </c>
      <c r="L240">
        <f t="shared" si="67"/>
        <v>657655.28591680131</v>
      </c>
      <c r="M240">
        <f t="shared" si="61"/>
        <v>0</v>
      </c>
      <c r="N240" s="29">
        <f t="shared" si="68"/>
        <v>657655.28591680131</v>
      </c>
      <c r="O240" s="29">
        <f t="shared" si="62"/>
        <v>657621.57521230658</v>
      </c>
      <c r="P240" s="29">
        <f t="shared" si="69"/>
        <v>657621.57521230658</v>
      </c>
      <c r="Q240">
        <f t="shared" si="70"/>
        <v>0</v>
      </c>
      <c r="R240" s="29">
        <f t="shared" si="71"/>
        <v>657621.57521230658</v>
      </c>
      <c r="S240" s="29">
        <f t="shared" si="63"/>
        <v>657621.54435781739</v>
      </c>
      <c r="T240" s="29">
        <f t="shared" si="72"/>
        <v>657621.54435781739</v>
      </c>
      <c r="U240">
        <f t="shared" si="73"/>
        <v>0</v>
      </c>
      <c r="V240" s="29">
        <f t="shared" si="74"/>
        <v>657621.54435781739</v>
      </c>
      <c r="W240" s="29">
        <f t="shared" si="64"/>
        <v>657621.5443578182</v>
      </c>
      <c r="X240" s="29">
        <f t="shared" si="75"/>
        <v>657621.5443578182</v>
      </c>
      <c r="Y240">
        <f t="shared" si="76"/>
        <v>0</v>
      </c>
    </row>
    <row r="241" spans="1:25" x14ac:dyDescent="0.25">
      <c r="A241" s="4" t="s">
        <v>1119</v>
      </c>
      <c r="B241" s="7" t="s">
        <v>211</v>
      </c>
      <c r="C241" s="2" t="s">
        <v>1120</v>
      </c>
      <c r="D241">
        <f>VLOOKUP(B241,'Model allocations'!$A$1:$L$317,3,FALSE)</f>
        <v>556251.59276398411</v>
      </c>
      <c r="E241" s="31">
        <f>VLOOKUP(B241,'Initial adjusted formula count'!$A$1:$P$317,12,FALSE)</f>
        <v>6.5039081347100305E-2</v>
      </c>
      <c r="F241">
        <f>VLOOKUP(B241,'Model allocations'!$A$1:$L$317,8,FALSE)</f>
        <v>585816.25394324993</v>
      </c>
      <c r="G241" s="30">
        <f t="shared" si="65"/>
        <v>0.85</v>
      </c>
      <c r="H241">
        <f t="shared" si="66"/>
        <v>472813.85384938651</v>
      </c>
      <c r="I241">
        <f t="shared" si="58"/>
        <v>0</v>
      </c>
      <c r="J241">
        <f t="shared" si="59"/>
        <v>585816.25394324993</v>
      </c>
      <c r="K241">
        <f t="shared" si="60"/>
        <v>585547.771080481</v>
      </c>
      <c r="L241">
        <f t="shared" si="67"/>
        <v>585547.771080481</v>
      </c>
      <c r="M241">
        <f t="shared" si="61"/>
        <v>0</v>
      </c>
      <c r="N241" s="29">
        <f t="shared" si="68"/>
        <v>585547.771080481</v>
      </c>
      <c r="O241" s="29">
        <f t="shared" si="62"/>
        <v>585517.75652984763</v>
      </c>
      <c r="P241" s="29">
        <f t="shared" si="69"/>
        <v>585517.75652984763</v>
      </c>
      <c r="Q241">
        <f t="shared" si="70"/>
        <v>0</v>
      </c>
      <c r="R241" s="29">
        <f t="shared" si="71"/>
        <v>585517.75652984763</v>
      </c>
      <c r="S241" s="29">
        <f t="shared" si="63"/>
        <v>585517.72905834741</v>
      </c>
      <c r="T241" s="29">
        <f t="shared" si="72"/>
        <v>585517.72905834741</v>
      </c>
      <c r="U241">
        <f t="shared" si="73"/>
        <v>0</v>
      </c>
      <c r="V241" s="29">
        <f t="shared" si="74"/>
        <v>585517.72905834741</v>
      </c>
      <c r="W241" s="29">
        <f t="shared" si="64"/>
        <v>585517.72905834811</v>
      </c>
      <c r="X241" s="29">
        <f t="shared" si="75"/>
        <v>585517.72905834811</v>
      </c>
      <c r="Y241">
        <f t="shared" si="76"/>
        <v>0</v>
      </c>
    </row>
    <row r="242" spans="1:25" x14ac:dyDescent="0.25">
      <c r="A242" s="4" t="s">
        <v>1121</v>
      </c>
      <c r="B242" s="7" t="s">
        <v>302</v>
      </c>
      <c r="C242" s="2" t="s">
        <v>1122</v>
      </c>
      <c r="D242">
        <f>VLOOKUP(B242,'Model allocations'!$A$1:$L$317,3,FALSE)</f>
        <v>11184.556936108704</v>
      </c>
      <c r="E242" s="31">
        <f>VLOOKUP(B242,'Initial adjusted formula count'!$A$1:$P$317,12,FALSE)</f>
        <v>0.126984126984127</v>
      </c>
      <c r="F242">
        <f>VLOOKUP(B242,'Model allocations'!$A$1:$L$317,8,FALSE)</f>
        <v>13906.617304290807</v>
      </c>
      <c r="G242" s="30">
        <f t="shared" si="65"/>
        <v>0.85</v>
      </c>
      <c r="H242">
        <f t="shared" si="66"/>
        <v>9506.873395692397</v>
      </c>
      <c r="I242">
        <f t="shared" si="58"/>
        <v>0</v>
      </c>
      <c r="J242">
        <f t="shared" si="59"/>
        <v>13906.617304290807</v>
      </c>
      <c r="K242">
        <f t="shared" si="60"/>
        <v>13900.243823868992</v>
      </c>
      <c r="L242">
        <f t="shared" si="67"/>
        <v>13900.243823868992</v>
      </c>
      <c r="M242">
        <f t="shared" si="61"/>
        <v>0</v>
      </c>
      <c r="N242" s="29">
        <f t="shared" si="68"/>
        <v>13900.243823868992</v>
      </c>
      <c r="O242" s="29">
        <f t="shared" si="62"/>
        <v>13899.531312281257</v>
      </c>
      <c r="P242" s="29">
        <f t="shared" si="69"/>
        <v>13899.531312281257</v>
      </c>
      <c r="Q242">
        <f t="shared" si="70"/>
        <v>0</v>
      </c>
      <c r="R242" s="29">
        <f t="shared" si="71"/>
        <v>13899.531312281257</v>
      </c>
      <c r="S242" s="29">
        <f t="shared" si="63"/>
        <v>13899.530660138818</v>
      </c>
      <c r="T242" s="29">
        <f t="shared" si="72"/>
        <v>13899.530660138818</v>
      </c>
      <c r="U242">
        <f t="shared" si="73"/>
        <v>0</v>
      </c>
      <c r="V242" s="29">
        <f t="shared" si="74"/>
        <v>13899.530660138818</v>
      </c>
      <c r="W242" s="29">
        <f t="shared" si="64"/>
        <v>13899.530660138833</v>
      </c>
      <c r="X242" s="29">
        <f t="shared" si="75"/>
        <v>13899.530660138833</v>
      </c>
      <c r="Y242">
        <f t="shared" si="76"/>
        <v>0</v>
      </c>
    </row>
    <row r="243" spans="1:25" x14ac:dyDescent="0.25">
      <c r="A243" s="4" t="s">
        <v>1123</v>
      </c>
      <c r="B243" s="7" t="s">
        <v>213</v>
      </c>
      <c r="C243" s="2" t="s">
        <v>1124</v>
      </c>
      <c r="D243">
        <f>VLOOKUP(B243,'Model allocations'!$A$1:$L$317,3,FALSE)</f>
        <v>0</v>
      </c>
      <c r="E243" s="31">
        <f>VLOOKUP(B243,'Initial adjusted formula count'!$A$1:$P$317,12,FALSE)</f>
        <v>7.3529411764705899E-2</v>
      </c>
      <c r="F243">
        <f>VLOOKUP(B243,'Model allocations'!$A$1:$L$317,8,FALSE)</f>
        <v>0</v>
      </c>
      <c r="G243" s="30">
        <f t="shared" si="65"/>
        <v>0.85</v>
      </c>
      <c r="H243">
        <f t="shared" si="66"/>
        <v>0</v>
      </c>
      <c r="I243">
        <f t="shared" si="58"/>
        <v>0</v>
      </c>
      <c r="J243">
        <f t="shared" si="59"/>
        <v>0</v>
      </c>
      <c r="K243">
        <f t="shared" si="60"/>
        <v>0</v>
      </c>
      <c r="L243">
        <f t="shared" si="67"/>
        <v>0</v>
      </c>
      <c r="M243">
        <f t="shared" si="61"/>
        <v>0</v>
      </c>
      <c r="N243" s="29">
        <f t="shared" si="68"/>
        <v>0</v>
      </c>
      <c r="O243" s="29">
        <f t="shared" si="62"/>
        <v>0</v>
      </c>
      <c r="P243" s="29">
        <f t="shared" si="69"/>
        <v>0</v>
      </c>
      <c r="Q243">
        <f t="shared" si="70"/>
        <v>0</v>
      </c>
      <c r="R243" s="29">
        <f t="shared" si="71"/>
        <v>0</v>
      </c>
      <c r="S243" s="29">
        <f t="shared" si="63"/>
        <v>0</v>
      </c>
      <c r="T243" s="29">
        <f t="shared" si="72"/>
        <v>0</v>
      </c>
      <c r="U243">
        <f t="shared" si="73"/>
        <v>0</v>
      </c>
      <c r="V243" s="29">
        <f t="shared" si="74"/>
        <v>0</v>
      </c>
      <c r="W243" s="29">
        <f t="shared" si="64"/>
        <v>0</v>
      </c>
      <c r="X243" s="29">
        <f t="shared" si="75"/>
        <v>0</v>
      </c>
      <c r="Y243">
        <f t="shared" si="76"/>
        <v>0</v>
      </c>
    </row>
    <row r="244" spans="1:25" x14ac:dyDescent="0.25">
      <c r="A244" s="4" t="s">
        <v>1125</v>
      </c>
      <c r="B244" s="7" t="s">
        <v>215</v>
      </c>
      <c r="C244" s="2" t="s">
        <v>1126</v>
      </c>
      <c r="D244">
        <f>VLOOKUP(B244,'Model allocations'!$A$1:$L$317,3,FALSE)</f>
        <v>477494.54611848691</v>
      </c>
      <c r="E244" s="31">
        <f>VLOOKUP(B244,'Initial adjusted formula count'!$A$1:$P$317,12,FALSE)</f>
        <v>5.33778148457048E-2</v>
      </c>
      <c r="F244">
        <f>VLOOKUP(B244,'Model allocations'!$A$1:$L$317,8,FALSE)</f>
        <v>500638.22295446886</v>
      </c>
      <c r="G244" s="30">
        <f t="shared" si="65"/>
        <v>0.85</v>
      </c>
      <c r="H244">
        <f t="shared" si="66"/>
        <v>405870.36420071387</v>
      </c>
      <c r="I244">
        <f t="shared" si="58"/>
        <v>0</v>
      </c>
      <c r="J244">
        <f t="shared" si="59"/>
        <v>500638.22295446886</v>
      </c>
      <c r="K244">
        <f t="shared" si="60"/>
        <v>500408.77765928349</v>
      </c>
      <c r="L244">
        <f t="shared" si="67"/>
        <v>500408.77765928349</v>
      </c>
      <c r="M244">
        <f t="shared" si="61"/>
        <v>0</v>
      </c>
      <c r="N244" s="29">
        <f t="shared" si="68"/>
        <v>500408.77765928349</v>
      </c>
      <c r="O244" s="29">
        <f t="shared" si="62"/>
        <v>500383.12724212493</v>
      </c>
      <c r="P244" s="29">
        <f t="shared" si="69"/>
        <v>500383.12724212493</v>
      </c>
      <c r="Q244">
        <f t="shared" si="70"/>
        <v>0</v>
      </c>
      <c r="R244" s="29">
        <f t="shared" si="71"/>
        <v>500383.12724212493</v>
      </c>
      <c r="S244" s="29">
        <f t="shared" si="63"/>
        <v>500383.10376499715</v>
      </c>
      <c r="T244" s="29">
        <f t="shared" si="72"/>
        <v>500383.10376499715</v>
      </c>
      <c r="U244">
        <f t="shared" si="73"/>
        <v>0</v>
      </c>
      <c r="V244" s="29">
        <f t="shared" si="74"/>
        <v>500383.10376499715</v>
      </c>
      <c r="W244" s="29">
        <f t="shared" si="64"/>
        <v>500383.10376499768</v>
      </c>
      <c r="X244" s="29">
        <f t="shared" si="75"/>
        <v>500383.10376499768</v>
      </c>
      <c r="Y244">
        <f t="shared" si="76"/>
        <v>0</v>
      </c>
    </row>
    <row r="245" spans="1:25" x14ac:dyDescent="0.25">
      <c r="A245" s="8" t="s">
        <v>1127</v>
      </c>
      <c r="B245" s="7" t="s">
        <v>217</v>
      </c>
      <c r="C245" s="2" t="s">
        <v>1128</v>
      </c>
      <c r="D245">
        <f>VLOOKUP(B245,'Model allocations'!$A$1:$L$317,3,FALSE)</f>
        <v>271945.22312905901</v>
      </c>
      <c r="E245" s="31">
        <f>VLOOKUP(B245,'Initial adjusted formula count'!$A$1:$P$317,12,FALSE)</f>
        <v>3.1929960087549898E-2</v>
      </c>
      <c r="F245">
        <f>VLOOKUP(B245,'Model allocations'!$A$1:$L$317,8,FALSE)</f>
        <v>231121.09241093724</v>
      </c>
      <c r="G245" s="30">
        <f t="shared" si="65"/>
        <v>0.85</v>
      </c>
      <c r="H245">
        <f t="shared" si="66"/>
        <v>231153.43965970015</v>
      </c>
      <c r="I245">
        <f t="shared" si="58"/>
        <v>231153.43965970015</v>
      </c>
      <c r="J245">
        <f t="shared" si="59"/>
        <v>0</v>
      </c>
      <c r="K245">
        <f t="shared" si="60"/>
        <v>0</v>
      </c>
      <c r="L245">
        <f t="shared" si="67"/>
        <v>231153.43965970015</v>
      </c>
      <c r="M245">
        <f t="shared" si="61"/>
        <v>0</v>
      </c>
      <c r="N245" s="29">
        <f t="shared" si="68"/>
        <v>0</v>
      </c>
      <c r="O245" s="29">
        <f t="shared" si="62"/>
        <v>0</v>
      </c>
      <c r="P245" s="29">
        <f t="shared" si="69"/>
        <v>231153.43965970015</v>
      </c>
      <c r="Q245">
        <f t="shared" si="70"/>
        <v>0</v>
      </c>
      <c r="R245" s="29">
        <f t="shared" si="71"/>
        <v>0</v>
      </c>
      <c r="S245" s="29">
        <f t="shared" si="63"/>
        <v>0</v>
      </c>
      <c r="T245" s="29">
        <f t="shared" si="72"/>
        <v>231153.43965970015</v>
      </c>
      <c r="U245">
        <f t="shared" si="73"/>
        <v>0</v>
      </c>
      <c r="V245" s="29">
        <f t="shared" si="74"/>
        <v>0</v>
      </c>
      <c r="W245" s="29">
        <f t="shared" si="64"/>
        <v>0</v>
      </c>
      <c r="X245" s="29">
        <f t="shared" si="75"/>
        <v>231153.43965970015</v>
      </c>
      <c r="Y245">
        <f t="shared" si="76"/>
        <v>0</v>
      </c>
    </row>
    <row r="246" spans="1:25" x14ac:dyDescent="0.25">
      <c r="A246" s="4" t="s">
        <v>1129</v>
      </c>
      <c r="B246" s="7" t="s">
        <v>582</v>
      </c>
      <c r="C246" s="2" t="s">
        <v>1130</v>
      </c>
      <c r="D246">
        <f>VLOOKUP(B246,'Model allocations'!$A$1:$L$317,3,FALSE)</f>
        <v>134214.68323330447</v>
      </c>
      <c r="E246" s="31">
        <f>VLOOKUP(B246,'Initial adjusted formula count'!$A$1:$P$317,12,FALSE)</f>
        <v>0.33606557377049201</v>
      </c>
      <c r="F246">
        <f>VLOOKUP(B246,'Model allocations'!$A$1:$L$317,8,FALSE)</f>
        <v>178178.53421122589</v>
      </c>
      <c r="G246" s="30">
        <f t="shared" si="65"/>
        <v>0.95</v>
      </c>
      <c r="H246">
        <f t="shared" si="66"/>
        <v>127503.94907163925</v>
      </c>
      <c r="I246">
        <f t="shared" si="58"/>
        <v>0</v>
      </c>
      <c r="J246">
        <f t="shared" si="59"/>
        <v>178178.53421122589</v>
      </c>
      <c r="K246">
        <f t="shared" si="60"/>
        <v>178096.87399332138</v>
      </c>
      <c r="L246">
        <f t="shared" si="67"/>
        <v>178096.87399332138</v>
      </c>
      <c r="M246">
        <f t="shared" si="61"/>
        <v>0</v>
      </c>
      <c r="N246" s="29">
        <f t="shared" si="68"/>
        <v>178096.87399332138</v>
      </c>
      <c r="O246" s="29">
        <f t="shared" si="62"/>
        <v>178087.74493860352</v>
      </c>
      <c r="P246" s="29">
        <f t="shared" si="69"/>
        <v>178087.74493860352</v>
      </c>
      <c r="Q246">
        <f t="shared" si="70"/>
        <v>0</v>
      </c>
      <c r="R246" s="29">
        <f t="shared" si="71"/>
        <v>178087.74493860352</v>
      </c>
      <c r="S246" s="29">
        <f t="shared" si="63"/>
        <v>178087.73658302854</v>
      </c>
      <c r="T246" s="29">
        <f t="shared" si="72"/>
        <v>178087.73658302854</v>
      </c>
      <c r="U246">
        <f t="shared" si="73"/>
        <v>0</v>
      </c>
      <c r="V246" s="29">
        <f t="shared" si="74"/>
        <v>178087.73658302854</v>
      </c>
      <c r="W246" s="29">
        <f t="shared" si="64"/>
        <v>178087.73658302875</v>
      </c>
      <c r="X246" s="29">
        <f t="shared" si="75"/>
        <v>178087.73658302875</v>
      </c>
      <c r="Y246">
        <f t="shared" si="76"/>
        <v>0</v>
      </c>
    </row>
    <row r="247" spans="1:25" x14ac:dyDescent="0.25">
      <c r="A247" s="4" t="s">
        <v>1131</v>
      </c>
      <c r="B247" s="7" t="s">
        <v>584</v>
      </c>
      <c r="C247" s="2" t="s">
        <v>1132</v>
      </c>
      <c r="D247">
        <f>VLOOKUP(B247,'Model allocations'!$A$1:$L$317,3,FALSE)</f>
        <v>79152.249086307769</v>
      </c>
      <c r="E247" s="31">
        <f>VLOOKUP(B247,'Initial adjusted formula count'!$A$1:$P$317,12,FALSE)</f>
        <v>0.18133333333333301</v>
      </c>
      <c r="F247">
        <f>VLOOKUP(B247,'Model allocations'!$A$1:$L$317,8,FALSE)</f>
        <v>71237.024177676998</v>
      </c>
      <c r="G247" s="30">
        <f t="shared" si="65"/>
        <v>0.9</v>
      </c>
      <c r="H247">
        <f t="shared" si="66"/>
        <v>71237.024177676998</v>
      </c>
      <c r="I247">
        <f t="shared" si="58"/>
        <v>0</v>
      </c>
      <c r="J247">
        <f t="shared" si="59"/>
        <v>71237.024177676998</v>
      </c>
      <c r="K247">
        <f t="shared" si="60"/>
        <v>71204.375851418343</v>
      </c>
      <c r="L247">
        <f t="shared" si="67"/>
        <v>71204.375851418343</v>
      </c>
      <c r="M247">
        <f t="shared" si="61"/>
        <v>71237.024177676998</v>
      </c>
      <c r="N247" s="29">
        <f t="shared" si="68"/>
        <v>0</v>
      </c>
      <c r="O247" s="29">
        <f t="shared" si="62"/>
        <v>0</v>
      </c>
      <c r="P247" s="29">
        <f t="shared" si="69"/>
        <v>71237.024177676998</v>
      </c>
      <c r="Q247">
        <f t="shared" si="70"/>
        <v>0</v>
      </c>
      <c r="R247" s="29">
        <f t="shared" si="71"/>
        <v>0</v>
      </c>
      <c r="S247" s="29">
        <f t="shared" si="63"/>
        <v>0</v>
      </c>
      <c r="T247" s="29">
        <f t="shared" si="72"/>
        <v>71237.024177676998</v>
      </c>
      <c r="U247">
        <f t="shared" si="73"/>
        <v>0</v>
      </c>
      <c r="V247" s="29">
        <f t="shared" si="74"/>
        <v>0</v>
      </c>
      <c r="W247" s="29">
        <f t="shared" si="64"/>
        <v>0</v>
      </c>
      <c r="X247" s="29">
        <f t="shared" si="75"/>
        <v>71237.024177676998</v>
      </c>
      <c r="Y247">
        <f t="shared" si="76"/>
        <v>0</v>
      </c>
    </row>
    <row r="248" spans="1:25" x14ac:dyDescent="0.25">
      <c r="A248" s="4" t="s">
        <v>1133</v>
      </c>
      <c r="B248" s="7" t="s">
        <v>219</v>
      </c>
      <c r="C248" s="2" t="s">
        <v>1134</v>
      </c>
      <c r="D248">
        <f>VLOOKUP(B248,'Model allocations'!$A$1:$L$317,3,FALSE)</f>
        <v>990263.46411239367</v>
      </c>
      <c r="E248" s="31">
        <f>VLOOKUP(B248,'Initial adjusted formula count'!$A$1:$P$317,12,FALSE)</f>
        <v>8.4976847882010001E-2</v>
      </c>
      <c r="F248">
        <f>VLOOKUP(B248,'Model allocations'!$A$1:$L$317,8,FALSE)</f>
        <v>861341.10928451188</v>
      </c>
      <c r="G248" s="30">
        <f t="shared" si="65"/>
        <v>0.85</v>
      </c>
      <c r="H248">
        <f t="shared" si="66"/>
        <v>841723.94449553464</v>
      </c>
      <c r="I248">
        <f t="shared" si="58"/>
        <v>0</v>
      </c>
      <c r="J248">
        <f t="shared" si="59"/>
        <v>861341.10928451188</v>
      </c>
      <c r="K248">
        <f t="shared" si="60"/>
        <v>860946.35184088571</v>
      </c>
      <c r="L248">
        <f t="shared" si="67"/>
        <v>860946.35184088571</v>
      </c>
      <c r="M248">
        <f t="shared" si="61"/>
        <v>0</v>
      </c>
      <c r="N248" s="29">
        <f t="shared" si="68"/>
        <v>860946.35184088571</v>
      </c>
      <c r="O248" s="29">
        <f t="shared" si="62"/>
        <v>860902.22065442021</v>
      </c>
      <c r="P248" s="29">
        <f t="shared" si="69"/>
        <v>860902.22065442021</v>
      </c>
      <c r="Q248">
        <f t="shared" si="70"/>
        <v>0</v>
      </c>
      <c r="R248" s="29">
        <f t="shared" si="71"/>
        <v>860902.22065442021</v>
      </c>
      <c r="S248" s="29">
        <f t="shared" si="63"/>
        <v>860902.18026234792</v>
      </c>
      <c r="T248" s="29">
        <f t="shared" si="72"/>
        <v>860902.18026234792</v>
      </c>
      <c r="U248">
        <f t="shared" si="73"/>
        <v>0</v>
      </c>
      <c r="V248" s="29">
        <f t="shared" si="74"/>
        <v>860902.18026234792</v>
      </c>
      <c r="W248" s="29">
        <f t="shared" si="64"/>
        <v>860902.18026234885</v>
      </c>
      <c r="X248" s="29">
        <f t="shared" si="75"/>
        <v>860902.18026234885</v>
      </c>
      <c r="Y248">
        <f t="shared" si="76"/>
        <v>0</v>
      </c>
    </row>
    <row r="249" spans="1:25" x14ac:dyDescent="0.25">
      <c r="A249" s="4" t="s">
        <v>1135</v>
      </c>
      <c r="B249" s="7" t="s">
        <v>221</v>
      </c>
      <c r="C249" s="2" t="s">
        <v>1136</v>
      </c>
      <c r="D249">
        <f>VLOOKUP(B249,'Model allocations'!$A$1:$L$317,3,FALSE)</f>
        <v>122924.73469722614</v>
      </c>
      <c r="E249" s="31">
        <f>VLOOKUP(B249,'Initial adjusted formula count'!$A$1:$P$317,12,FALSE)</f>
        <v>8.6107921928817402E-2</v>
      </c>
      <c r="F249">
        <f>VLOOKUP(B249,'Model allocations'!$A$1:$L$317,8,FALSE)</f>
        <v>130374.53722772626</v>
      </c>
      <c r="G249" s="30">
        <f t="shared" si="65"/>
        <v>0.85</v>
      </c>
      <c r="H249">
        <f t="shared" si="66"/>
        <v>104486.02449264222</v>
      </c>
      <c r="I249">
        <f t="shared" si="58"/>
        <v>0</v>
      </c>
      <c r="J249">
        <f t="shared" si="59"/>
        <v>130374.53722772626</v>
      </c>
      <c r="K249">
        <f t="shared" si="60"/>
        <v>130314.78584877175</v>
      </c>
      <c r="L249">
        <f t="shared" si="67"/>
        <v>130314.78584877175</v>
      </c>
      <c r="M249">
        <f t="shared" si="61"/>
        <v>0</v>
      </c>
      <c r="N249" s="29">
        <f t="shared" si="68"/>
        <v>130314.78584877175</v>
      </c>
      <c r="O249" s="29">
        <f t="shared" si="62"/>
        <v>130308.10605263671</v>
      </c>
      <c r="P249" s="29">
        <f t="shared" si="69"/>
        <v>130308.10605263671</v>
      </c>
      <c r="Q249">
        <f t="shared" si="70"/>
        <v>0</v>
      </c>
      <c r="R249" s="29">
        <f t="shared" si="71"/>
        <v>130308.10605263671</v>
      </c>
      <c r="S249" s="29">
        <f t="shared" si="63"/>
        <v>130308.09993880133</v>
      </c>
      <c r="T249" s="29">
        <f t="shared" si="72"/>
        <v>130308.09993880133</v>
      </c>
      <c r="U249">
        <f t="shared" si="73"/>
        <v>0</v>
      </c>
      <c r="V249" s="29">
        <f t="shared" si="74"/>
        <v>130308.09993880133</v>
      </c>
      <c r="W249" s="29">
        <f t="shared" si="64"/>
        <v>130308.09993880148</v>
      </c>
      <c r="X249" s="29">
        <f t="shared" si="75"/>
        <v>130308.09993880148</v>
      </c>
      <c r="Y249">
        <f t="shared" si="76"/>
        <v>0</v>
      </c>
    </row>
    <row r="250" spans="1:25" x14ac:dyDescent="0.25">
      <c r="A250" s="4" t="s">
        <v>1137</v>
      </c>
      <c r="B250" s="7" t="s">
        <v>586</v>
      </c>
      <c r="C250" s="2" t="s">
        <v>1138</v>
      </c>
      <c r="D250">
        <f>VLOOKUP(B250,'Model allocations'!$A$1:$L$317,3,FALSE)</f>
        <v>51621.03201280941</v>
      </c>
      <c r="E250" s="31">
        <f>VLOOKUP(B250,'Initial adjusted formula count'!$A$1:$P$317,12,FALSE)</f>
        <v>0.19327731092437</v>
      </c>
      <c r="F250">
        <f>VLOOKUP(B250,'Model allocations'!$A$1:$L$317,8,FALSE)</f>
        <v>59972.287124754082</v>
      </c>
      <c r="G250" s="30">
        <f t="shared" si="65"/>
        <v>0.9</v>
      </c>
      <c r="H250">
        <f t="shared" si="66"/>
        <v>46458.928811528473</v>
      </c>
      <c r="I250">
        <f t="shared" si="58"/>
        <v>0</v>
      </c>
      <c r="J250">
        <f t="shared" si="59"/>
        <v>59972.287124754082</v>
      </c>
      <c r="K250">
        <f t="shared" si="60"/>
        <v>59944.801490434998</v>
      </c>
      <c r="L250">
        <f t="shared" si="67"/>
        <v>59944.801490434998</v>
      </c>
      <c r="M250">
        <f t="shared" si="61"/>
        <v>0</v>
      </c>
      <c r="N250" s="29">
        <f t="shared" si="68"/>
        <v>59944.801490434998</v>
      </c>
      <c r="O250" s="29">
        <f t="shared" si="62"/>
        <v>59941.728784212879</v>
      </c>
      <c r="P250" s="29">
        <f t="shared" si="69"/>
        <v>59941.728784212879</v>
      </c>
      <c r="Q250">
        <f t="shared" si="70"/>
        <v>0</v>
      </c>
      <c r="R250" s="29">
        <f t="shared" si="71"/>
        <v>59941.728784212879</v>
      </c>
      <c r="S250" s="29">
        <f t="shared" si="63"/>
        <v>59941.725971848609</v>
      </c>
      <c r="T250" s="29">
        <f t="shared" si="72"/>
        <v>59941.725971848609</v>
      </c>
      <c r="U250">
        <f t="shared" si="73"/>
        <v>0</v>
      </c>
      <c r="V250" s="29">
        <f t="shared" si="74"/>
        <v>59941.725971848609</v>
      </c>
      <c r="W250" s="29">
        <f t="shared" si="64"/>
        <v>59941.725971848675</v>
      </c>
      <c r="X250" s="29">
        <f t="shared" si="75"/>
        <v>59941.725971848675</v>
      </c>
      <c r="Y250">
        <f t="shared" si="76"/>
        <v>0</v>
      </c>
    </row>
    <row r="251" spans="1:25" x14ac:dyDescent="0.25">
      <c r="A251" s="4" t="s">
        <v>32</v>
      </c>
      <c r="B251" s="7" t="s">
        <v>61</v>
      </c>
      <c r="C251" s="2" t="s">
        <v>1139</v>
      </c>
      <c r="D251">
        <f>VLOOKUP(B251,'Model allocations'!$A$1:$L$317,3,FALSE)</f>
        <v>5171315.7327713957</v>
      </c>
      <c r="E251" s="31">
        <f>VLOOKUP(B251,'Initial adjusted formula count'!$A$1:$P$317,12,FALSE)</f>
        <v>0.14178376698008699</v>
      </c>
      <c r="F251">
        <f>VLOOKUP(B251,'Model allocations'!$A$1:$L$317,8,FALSE)</f>
        <v>4416602.0759127112</v>
      </c>
      <c r="G251" s="30">
        <f t="shared" si="65"/>
        <v>0.85</v>
      </c>
      <c r="H251">
        <f t="shared" si="66"/>
        <v>4395618.3728556866</v>
      </c>
      <c r="I251">
        <f t="shared" si="58"/>
        <v>0</v>
      </c>
      <c r="J251">
        <f t="shared" si="59"/>
        <v>4416602.0759127112</v>
      </c>
      <c r="K251">
        <f t="shared" si="60"/>
        <v>4414577.9225010052</v>
      </c>
      <c r="L251">
        <f t="shared" si="67"/>
        <v>4414577.9225010052</v>
      </c>
      <c r="M251">
        <f t="shared" si="61"/>
        <v>0</v>
      </c>
      <c r="N251" s="29">
        <f t="shared" si="68"/>
        <v>4414577.9225010052</v>
      </c>
      <c r="O251" s="29">
        <f t="shared" si="62"/>
        <v>4414351.6359721785</v>
      </c>
      <c r="P251" s="29">
        <f t="shared" si="69"/>
        <v>4414351.6359721785</v>
      </c>
      <c r="Q251">
        <f t="shared" si="70"/>
        <v>0</v>
      </c>
      <c r="R251" s="29">
        <f t="shared" si="71"/>
        <v>4414351.6359721785</v>
      </c>
      <c r="S251" s="29">
        <f t="shared" si="63"/>
        <v>4414351.4288582858</v>
      </c>
      <c r="T251" s="29">
        <f t="shared" si="72"/>
        <v>4414351.4288582858</v>
      </c>
      <c r="U251">
        <f t="shared" si="73"/>
        <v>0</v>
      </c>
      <c r="V251" s="29">
        <f t="shared" si="74"/>
        <v>4414351.4288582858</v>
      </c>
      <c r="W251" s="29">
        <f t="shared" si="64"/>
        <v>4414351.4288582904</v>
      </c>
      <c r="X251" s="29">
        <f t="shared" si="75"/>
        <v>4414351.4288582904</v>
      </c>
      <c r="Y251">
        <f t="shared" si="76"/>
        <v>0</v>
      </c>
    </row>
    <row r="252" spans="1:25" x14ac:dyDescent="0.25">
      <c r="A252" s="4" t="s">
        <v>35</v>
      </c>
      <c r="B252" s="7" t="s">
        <v>78</v>
      </c>
      <c r="C252" s="2" t="s">
        <v>1140</v>
      </c>
      <c r="D252">
        <f>VLOOKUP(B252,'Model allocations'!$A$1:$L$317,3,FALSE)</f>
        <v>99400.801551128025</v>
      </c>
      <c r="E252" s="31">
        <f>VLOOKUP(B252,'Initial adjusted formula count'!$A$1:$P$317,12,FALSE)</f>
        <v>9.8287212688936795E-2</v>
      </c>
      <c r="F252">
        <f>VLOOKUP(B252,'Model allocations'!$A$1:$L$317,8,FALSE)</f>
        <v>86963.32629745618</v>
      </c>
      <c r="G252" s="30">
        <f t="shared" si="65"/>
        <v>0.85</v>
      </c>
      <c r="H252">
        <f t="shared" si="66"/>
        <v>84490.681318458825</v>
      </c>
      <c r="I252">
        <f t="shared" si="58"/>
        <v>0</v>
      </c>
      <c r="J252">
        <f t="shared" si="59"/>
        <v>86963.32629745618</v>
      </c>
      <c r="K252">
        <f t="shared" si="60"/>
        <v>86923.470519056238</v>
      </c>
      <c r="L252">
        <f t="shared" si="67"/>
        <v>86923.470519056238</v>
      </c>
      <c r="M252">
        <f t="shared" si="61"/>
        <v>0</v>
      </c>
      <c r="N252" s="29">
        <f t="shared" si="68"/>
        <v>86923.470519056238</v>
      </c>
      <c r="O252" s="29">
        <f t="shared" si="62"/>
        <v>86919.014915199514</v>
      </c>
      <c r="P252" s="29">
        <f t="shared" si="69"/>
        <v>86919.014915199514</v>
      </c>
      <c r="Q252">
        <f t="shared" si="70"/>
        <v>0</v>
      </c>
      <c r="R252" s="29">
        <f t="shared" si="71"/>
        <v>86919.014915199514</v>
      </c>
      <c r="S252" s="29">
        <f t="shared" si="63"/>
        <v>86919.010837106733</v>
      </c>
      <c r="T252" s="29">
        <f t="shared" si="72"/>
        <v>86919.010837106733</v>
      </c>
      <c r="U252">
        <f t="shared" si="73"/>
        <v>0</v>
      </c>
      <c r="V252" s="29">
        <f t="shared" si="74"/>
        <v>86919.010837106733</v>
      </c>
      <c r="W252" s="29">
        <f t="shared" si="64"/>
        <v>86919.010837106835</v>
      </c>
      <c r="X252" s="29">
        <f t="shared" si="75"/>
        <v>86919.010837106835</v>
      </c>
      <c r="Y252">
        <f t="shared" si="76"/>
        <v>0</v>
      </c>
    </row>
    <row r="253" spans="1:25" x14ac:dyDescent="0.25">
      <c r="A253" s="4" t="s">
        <v>1141</v>
      </c>
      <c r="B253" s="7" t="s">
        <v>588</v>
      </c>
      <c r="C253" s="2" t="s">
        <v>1142</v>
      </c>
      <c r="D253">
        <f>VLOOKUP(B253,'Model allocations'!$A$1:$L$317,3,FALSE)</f>
        <v>18927.711738030121</v>
      </c>
      <c r="E253" s="31">
        <f>VLOOKUP(B253,'Initial adjusted formula count'!$A$1:$P$317,12,FALSE)</f>
        <v>0.15503875968992201</v>
      </c>
      <c r="F253">
        <f>VLOOKUP(B253,'Model allocations'!$A$1:$L$317,8,FALSE)</f>
        <v>17383.271630363495</v>
      </c>
      <c r="G253" s="30">
        <f t="shared" si="65"/>
        <v>0.9</v>
      </c>
      <c r="H253">
        <f t="shared" si="66"/>
        <v>17034.940564227109</v>
      </c>
      <c r="I253">
        <f t="shared" si="58"/>
        <v>0</v>
      </c>
      <c r="J253">
        <f t="shared" si="59"/>
        <v>17383.271630363495</v>
      </c>
      <c r="K253">
        <f t="shared" si="60"/>
        <v>17375.304779836228</v>
      </c>
      <c r="L253">
        <f t="shared" si="67"/>
        <v>17375.304779836228</v>
      </c>
      <c r="M253">
        <f t="shared" si="61"/>
        <v>0</v>
      </c>
      <c r="N253" s="29">
        <f t="shared" si="68"/>
        <v>17375.304779836228</v>
      </c>
      <c r="O253" s="29">
        <f t="shared" si="62"/>
        <v>17374.414140351557</v>
      </c>
      <c r="P253" s="29">
        <f t="shared" si="69"/>
        <v>17374.414140351557</v>
      </c>
      <c r="Q253">
        <f t="shared" si="70"/>
        <v>0</v>
      </c>
      <c r="R253" s="29">
        <f t="shared" si="71"/>
        <v>17374.414140351557</v>
      </c>
      <c r="S253" s="29">
        <f t="shared" si="63"/>
        <v>17374.413325173507</v>
      </c>
      <c r="T253" s="29">
        <f t="shared" si="72"/>
        <v>17374.413325173507</v>
      </c>
      <c r="U253">
        <f t="shared" si="73"/>
        <v>0</v>
      </c>
      <c r="V253" s="29">
        <f t="shared" si="74"/>
        <v>17374.413325173507</v>
      </c>
      <c r="W253" s="29">
        <f t="shared" si="64"/>
        <v>17374.413325173526</v>
      </c>
      <c r="X253" s="29">
        <f t="shared" si="75"/>
        <v>17374.413325173526</v>
      </c>
      <c r="Y253">
        <f t="shared" si="76"/>
        <v>0</v>
      </c>
    </row>
    <row r="254" spans="1:25" x14ac:dyDescent="0.25">
      <c r="A254" s="4" t="s">
        <v>1143</v>
      </c>
      <c r="B254" s="7" t="s">
        <v>590</v>
      </c>
      <c r="C254" s="2" t="s">
        <v>1144</v>
      </c>
      <c r="D254">
        <f>VLOOKUP(B254,'Model allocations'!$A$1:$L$317,3,FALSE)</f>
        <v>15486.309603842823</v>
      </c>
      <c r="E254" s="31">
        <f>VLOOKUP(B254,'Initial adjusted formula count'!$A$1:$P$317,12,FALSE)</f>
        <v>0.148148148148148</v>
      </c>
      <c r="F254">
        <f>VLOOKUP(B254,'Model allocations'!$A$1:$L$317,8,FALSE)</f>
        <v>20859.925956436204</v>
      </c>
      <c r="G254" s="30">
        <f t="shared" si="65"/>
        <v>0.85</v>
      </c>
      <c r="H254">
        <f t="shared" si="66"/>
        <v>13163.3631632664</v>
      </c>
      <c r="I254">
        <f t="shared" si="58"/>
        <v>0</v>
      </c>
      <c r="J254">
        <f t="shared" si="59"/>
        <v>20859.925956436204</v>
      </c>
      <c r="K254">
        <f t="shared" si="60"/>
        <v>20850.365735803483</v>
      </c>
      <c r="L254">
        <f t="shared" si="67"/>
        <v>20850.365735803483</v>
      </c>
      <c r="M254">
        <f t="shared" si="61"/>
        <v>0</v>
      </c>
      <c r="N254" s="29">
        <f t="shared" si="68"/>
        <v>20850.365735803483</v>
      </c>
      <c r="O254" s="29">
        <f t="shared" si="62"/>
        <v>20849.296968421881</v>
      </c>
      <c r="P254" s="29">
        <f t="shared" si="69"/>
        <v>20849.296968421881</v>
      </c>
      <c r="Q254">
        <f t="shared" si="70"/>
        <v>0</v>
      </c>
      <c r="R254" s="29">
        <f t="shared" si="71"/>
        <v>20849.296968421881</v>
      </c>
      <c r="S254" s="29">
        <f t="shared" si="63"/>
        <v>20849.295990208226</v>
      </c>
      <c r="T254" s="29">
        <f t="shared" si="72"/>
        <v>20849.295990208226</v>
      </c>
      <c r="U254">
        <f t="shared" si="73"/>
        <v>0</v>
      </c>
      <c r="V254" s="29">
        <f t="shared" si="74"/>
        <v>20849.295990208226</v>
      </c>
      <c r="W254" s="29">
        <f t="shared" si="64"/>
        <v>20849.295990208251</v>
      </c>
      <c r="X254" s="29">
        <f t="shared" si="75"/>
        <v>20849.295990208251</v>
      </c>
      <c r="Y254">
        <f t="shared" si="76"/>
        <v>0</v>
      </c>
    </row>
    <row r="255" spans="1:25" x14ac:dyDescent="0.25">
      <c r="A255" s="4" t="s">
        <v>1145</v>
      </c>
      <c r="B255" s="7" t="s">
        <v>223</v>
      </c>
      <c r="C255" s="2" t="s">
        <v>1146</v>
      </c>
      <c r="D255">
        <f>VLOOKUP(B255,'Model allocations'!$A$1:$L$317,3,FALSE)</f>
        <v>351883.36822065077</v>
      </c>
      <c r="E255" s="31">
        <f>VLOOKUP(B255,'Initial adjusted formula count'!$A$1:$P$317,12,FALSE)</f>
        <v>7.8952222837114894E-2</v>
      </c>
      <c r="F255">
        <f>VLOOKUP(B255,'Model allocations'!$A$1:$L$317,8,FALSE)</f>
        <v>372002.01288977894</v>
      </c>
      <c r="G255" s="30">
        <f t="shared" si="65"/>
        <v>0.85</v>
      </c>
      <c r="H255">
        <f t="shared" si="66"/>
        <v>299100.86298755312</v>
      </c>
      <c r="I255">
        <f t="shared" si="58"/>
        <v>0</v>
      </c>
      <c r="J255">
        <f t="shared" si="59"/>
        <v>372002.01288977894</v>
      </c>
      <c r="K255">
        <f t="shared" si="60"/>
        <v>371831.52228849538</v>
      </c>
      <c r="L255">
        <f t="shared" si="67"/>
        <v>371831.52228849538</v>
      </c>
      <c r="M255">
        <f t="shared" si="61"/>
        <v>0</v>
      </c>
      <c r="N255" s="29">
        <f t="shared" si="68"/>
        <v>371831.52228849538</v>
      </c>
      <c r="O255" s="29">
        <f t="shared" si="62"/>
        <v>371812.46260352345</v>
      </c>
      <c r="P255" s="29">
        <f t="shared" si="69"/>
        <v>371812.46260352345</v>
      </c>
      <c r="Q255">
        <f t="shared" si="70"/>
        <v>0</v>
      </c>
      <c r="R255" s="29">
        <f t="shared" si="71"/>
        <v>371812.46260352345</v>
      </c>
      <c r="S255" s="29">
        <f t="shared" si="63"/>
        <v>371812.44515871321</v>
      </c>
      <c r="T255" s="29">
        <f t="shared" si="72"/>
        <v>371812.44515871321</v>
      </c>
      <c r="U255">
        <f t="shared" si="73"/>
        <v>0</v>
      </c>
      <c r="V255" s="29">
        <f t="shared" si="74"/>
        <v>371812.44515871321</v>
      </c>
      <c r="W255" s="29">
        <f t="shared" si="64"/>
        <v>371812.44515871361</v>
      </c>
      <c r="X255" s="29">
        <f t="shared" si="75"/>
        <v>371812.44515871361</v>
      </c>
      <c r="Y255">
        <f t="shared" si="76"/>
        <v>0</v>
      </c>
    </row>
    <row r="256" spans="1:25" x14ac:dyDescent="0.25">
      <c r="A256" s="4" t="s">
        <v>1147</v>
      </c>
      <c r="B256" s="7" t="s">
        <v>225</v>
      </c>
      <c r="C256" s="2" t="s">
        <v>1148</v>
      </c>
      <c r="D256">
        <f>VLOOKUP(B256,'Model allocations'!$A$1:$L$317,3,FALSE)</f>
        <v>0</v>
      </c>
      <c r="E256" s="31">
        <f>VLOOKUP(B256,'Initial adjusted formula count'!$A$1:$P$317,12,FALSE)</f>
        <v>0.04</v>
      </c>
      <c r="F256">
        <f>VLOOKUP(B256,'Model allocations'!$A$1:$L$317,8,FALSE)</f>
        <v>0</v>
      </c>
      <c r="G256" s="30">
        <f t="shared" si="65"/>
        <v>0.85</v>
      </c>
      <c r="H256">
        <f t="shared" si="66"/>
        <v>0</v>
      </c>
      <c r="I256">
        <f t="shared" si="58"/>
        <v>0</v>
      </c>
      <c r="J256">
        <f t="shared" si="59"/>
        <v>0</v>
      </c>
      <c r="K256">
        <f t="shared" si="60"/>
        <v>0</v>
      </c>
      <c r="L256">
        <f t="shared" si="67"/>
        <v>0</v>
      </c>
      <c r="M256">
        <f t="shared" si="61"/>
        <v>0</v>
      </c>
      <c r="N256" s="29">
        <f t="shared" si="68"/>
        <v>0</v>
      </c>
      <c r="O256" s="29">
        <f t="shared" si="62"/>
        <v>0</v>
      </c>
      <c r="P256" s="29">
        <f t="shared" si="69"/>
        <v>0</v>
      </c>
      <c r="Q256">
        <f t="shared" si="70"/>
        <v>0</v>
      </c>
      <c r="R256" s="29">
        <f t="shared" si="71"/>
        <v>0</v>
      </c>
      <c r="S256" s="29">
        <f t="shared" si="63"/>
        <v>0</v>
      </c>
      <c r="T256" s="29">
        <f t="shared" si="72"/>
        <v>0</v>
      </c>
      <c r="U256">
        <f t="shared" si="73"/>
        <v>0</v>
      </c>
      <c r="V256" s="29">
        <f t="shared" si="74"/>
        <v>0</v>
      </c>
      <c r="W256" s="29">
        <f t="shared" si="64"/>
        <v>0</v>
      </c>
      <c r="X256" s="29">
        <f t="shared" si="75"/>
        <v>0</v>
      </c>
      <c r="Y256">
        <f t="shared" si="76"/>
        <v>0</v>
      </c>
    </row>
    <row r="257" spans="1:25" x14ac:dyDescent="0.25">
      <c r="A257" s="4" t="s">
        <v>1149</v>
      </c>
      <c r="B257" s="7" t="s">
        <v>592</v>
      </c>
      <c r="C257" s="2" t="s">
        <v>1150</v>
      </c>
      <c r="D257">
        <f>VLOOKUP(B257,'Model allocations'!$A$1:$L$317,3,FALSE)</f>
        <v>12905.258003202352</v>
      </c>
      <c r="E257" s="31">
        <f>VLOOKUP(B257,'Initial adjusted formula count'!$A$1:$P$317,12,FALSE)</f>
        <v>0.3125</v>
      </c>
      <c r="F257">
        <f>VLOOKUP(B257,'Model allocations'!$A$1:$L$317,8,FALSE)</f>
        <v>0</v>
      </c>
      <c r="G257" s="30">
        <f t="shared" si="65"/>
        <v>0.95</v>
      </c>
      <c r="H257">
        <f t="shared" si="66"/>
        <v>0</v>
      </c>
      <c r="I257">
        <f t="shared" si="58"/>
        <v>0</v>
      </c>
      <c r="J257">
        <f t="shared" si="59"/>
        <v>0</v>
      </c>
      <c r="K257">
        <f t="shared" si="60"/>
        <v>0</v>
      </c>
      <c r="L257">
        <f t="shared" si="67"/>
        <v>0</v>
      </c>
      <c r="M257">
        <f t="shared" si="61"/>
        <v>0</v>
      </c>
      <c r="N257" s="29">
        <f t="shared" si="68"/>
        <v>0</v>
      </c>
      <c r="O257" s="29">
        <f t="shared" si="62"/>
        <v>0</v>
      </c>
      <c r="P257" s="29">
        <f t="shared" si="69"/>
        <v>0</v>
      </c>
      <c r="Q257">
        <f t="shared" si="70"/>
        <v>0</v>
      </c>
      <c r="R257" s="29">
        <f t="shared" si="71"/>
        <v>0</v>
      </c>
      <c r="S257" s="29">
        <f t="shared" si="63"/>
        <v>0</v>
      </c>
      <c r="T257" s="29">
        <f t="shared" si="72"/>
        <v>0</v>
      </c>
      <c r="U257">
        <f t="shared" si="73"/>
        <v>0</v>
      </c>
      <c r="V257" s="29">
        <f t="shared" si="74"/>
        <v>0</v>
      </c>
      <c r="W257" s="29">
        <f t="shared" si="64"/>
        <v>0</v>
      </c>
      <c r="X257" s="29">
        <f t="shared" si="75"/>
        <v>0</v>
      </c>
      <c r="Y257">
        <f t="shared" si="76"/>
        <v>0</v>
      </c>
    </row>
    <row r="258" spans="1:25" x14ac:dyDescent="0.25">
      <c r="A258" s="4" t="s">
        <v>1151</v>
      </c>
      <c r="B258" s="7" t="s">
        <v>227</v>
      </c>
      <c r="C258" s="2" t="s">
        <v>1152</v>
      </c>
      <c r="D258">
        <f>VLOOKUP(B258,'Model allocations'!$A$1:$L$317,3,FALSE)</f>
        <v>0</v>
      </c>
      <c r="E258" s="31">
        <f>VLOOKUP(B258,'Initial adjusted formula count'!$A$1:$P$317,12,FALSE)</f>
        <v>0.133333333333333</v>
      </c>
      <c r="F258">
        <f>VLOOKUP(B258,'Model allocations'!$A$1:$L$317,8,FALSE)</f>
        <v>0</v>
      </c>
      <c r="G258" s="30">
        <f t="shared" si="65"/>
        <v>0.85</v>
      </c>
      <c r="H258">
        <f t="shared" si="66"/>
        <v>0</v>
      </c>
      <c r="I258">
        <f t="shared" si="58"/>
        <v>0</v>
      </c>
      <c r="J258">
        <f t="shared" si="59"/>
        <v>0</v>
      </c>
      <c r="K258">
        <f t="shared" si="60"/>
        <v>0</v>
      </c>
      <c r="L258">
        <f t="shared" si="67"/>
        <v>0</v>
      </c>
      <c r="M258">
        <f t="shared" si="61"/>
        <v>0</v>
      </c>
      <c r="N258" s="29">
        <f t="shared" si="68"/>
        <v>0</v>
      </c>
      <c r="O258" s="29">
        <f t="shared" si="62"/>
        <v>0</v>
      </c>
      <c r="P258" s="29">
        <f t="shared" si="69"/>
        <v>0</v>
      </c>
      <c r="Q258">
        <f t="shared" si="70"/>
        <v>0</v>
      </c>
      <c r="R258" s="29">
        <f t="shared" si="71"/>
        <v>0</v>
      </c>
      <c r="S258" s="29">
        <f t="shared" si="63"/>
        <v>0</v>
      </c>
      <c r="T258" s="29">
        <f t="shared" si="72"/>
        <v>0</v>
      </c>
      <c r="U258">
        <f t="shared" si="73"/>
        <v>0</v>
      </c>
      <c r="V258" s="29">
        <f t="shared" si="74"/>
        <v>0</v>
      </c>
      <c r="W258" s="29">
        <f t="shared" si="64"/>
        <v>0</v>
      </c>
      <c r="X258" s="29">
        <f t="shared" si="75"/>
        <v>0</v>
      </c>
      <c r="Y258">
        <f t="shared" si="76"/>
        <v>0</v>
      </c>
    </row>
    <row r="259" spans="1:25" x14ac:dyDescent="0.25">
      <c r="A259" s="4" t="s">
        <v>1153</v>
      </c>
      <c r="B259" s="7" t="s">
        <v>229</v>
      </c>
      <c r="C259" s="2" t="s">
        <v>1154</v>
      </c>
      <c r="D259">
        <f>VLOOKUP(B259,'Model allocations'!$A$1:$L$317,3,FALSE)</f>
        <v>231434.29352409556</v>
      </c>
      <c r="E259" s="31">
        <f>VLOOKUP(B259,'Initial adjusted formula count'!$A$1:$P$317,12,FALSE)</f>
        <v>6.2751004016064302E-2</v>
      </c>
      <c r="F259">
        <f>VLOOKUP(B259,'Model allocations'!$A$1:$L$317,8,FALSE)</f>
        <v>217290.8953795438</v>
      </c>
      <c r="G259" s="30">
        <f t="shared" si="65"/>
        <v>0.85</v>
      </c>
      <c r="H259">
        <f t="shared" si="66"/>
        <v>196719.14949548122</v>
      </c>
      <c r="I259">
        <f t="shared" ref="I259:I316" si="77">IF(F259&lt;H259,H259,0)</f>
        <v>0</v>
      </c>
      <c r="J259">
        <f t="shared" ref="J259:J316" si="78">IF(I259=0,F259,0)</f>
        <v>217290.8953795438</v>
      </c>
      <c r="K259">
        <f t="shared" ref="K259:K316" si="79">(J259/$J$3)*($F$3-$I$3)</f>
        <v>217191.30974795294</v>
      </c>
      <c r="L259">
        <f t="shared" si="67"/>
        <v>217191.30974795294</v>
      </c>
      <c r="M259">
        <f t="shared" ref="M259:M316" si="80">IF(L259&lt;H259,H259,0)</f>
        <v>0</v>
      </c>
      <c r="N259" s="29">
        <f t="shared" si="68"/>
        <v>217191.30974795294</v>
      </c>
      <c r="O259" s="29">
        <f t="shared" ref="O259:O316" si="81">((N259/$N$3)*($F$3-$I$3-$M$3))</f>
        <v>217180.17675439455</v>
      </c>
      <c r="P259" s="29">
        <f t="shared" si="69"/>
        <v>217180.17675439455</v>
      </c>
      <c r="Q259">
        <f t="shared" si="70"/>
        <v>0</v>
      </c>
      <c r="R259" s="29">
        <f t="shared" si="71"/>
        <v>217180.17675439455</v>
      </c>
      <c r="S259" s="29">
        <f t="shared" ref="S259:S316" si="82">((R259/$R$3)*($F$3-$I$3-$M$3-$Q$3))</f>
        <v>217180.16656466897</v>
      </c>
      <c r="T259" s="29">
        <f t="shared" si="72"/>
        <v>217180.16656466897</v>
      </c>
      <c r="U259">
        <f t="shared" si="73"/>
        <v>0</v>
      </c>
      <c r="V259" s="29">
        <f t="shared" si="74"/>
        <v>217180.16656466897</v>
      </c>
      <c r="W259" s="29">
        <f t="shared" ref="W259:W316" si="83">((V259/$V$3)*($F$3-$I$3-$M$3-$Q$3-$U$3))</f>
        <v>217180.1665646692</v>
      </c>
      <c r="X259" s="29">
        <f t="shared" si="75"/>
        <v>217180.1665646692</v>
      </c>
      <c r="Y259">
        <f t="shared" si="76"/>
        <v>0</v>
      </c>
    </row>
    <row r="260" spans="1:25" x14ac:dyDescent="0.25">
      <c r="A260" s="4" t="s">
        <v>1155</v>
      </c>
      <c r="B260" s="7" t="s">
        <v>594</v>
      </c>
      <c r="C260" s="2" t="s">
        <v>1156</v>
      </c>
      <c r="D260">
        <f>VLOOKUP(B260,'Model allocations'!$A$1:$L$317,3,FALSE)</f>
        <v>0</v>
      </c>
      <c r="E260" s="31">
        <f>VLOOKUP(B260,'Initial adjusted formula count'!$A$1:$P$317,12,FALSE)</f>
        <v>0.15094339622641501</v>
      </c>
      <c r="F260">
        <f>VLOOKUP(B260,'Model allocations'!$A$1:$L$317,8,FALSE)</f>
        <v>0</v>
      </c>
      <c r="G260" s="30">
        <f t="shared" ref="G260:G316" si="84">IF(E260&lt;0.15,0.85,IF(AND(E260&gt;=0.15,E260&lt;0.3),0.9,0.95))</f>
        <v>0.9</v>
      </c>
      <c r="H260">
        <f t="shared" ref="H260:H316" si="85">IF(F260 = 0, 0, D260*G260)</f>
        <v>0</v>
      </c>
      <c r="I260">
        <f t="shared" si="77"/>
        <v>0</v>
      </c>
      <c r="J260">
        <f t="shared" si="78"/>
        <v>0</v>
      </c>
      <c r="K260">
        <f t="shared" si="79"/>
        <v>0</v>
      </c>
      <c r="L260">
        <f t="shared" ref="L260:L316" si="86">I260+K260</f>
        <v>0</v>
      </c>
      <c r="M260">
        <f t="shared" si="80"/>
        <v>0</v>
      </c>
      <c r="N260" s="29">
        <f t="shared" ref="N260:N316" si="87">IF($I260+$M260=0,L260,0)</f>
        <v>0</v>
      </c>
      <c r="O260" s="29">
        <f t="shared" si="81"/>
        <v>0</v>
      </c>
      <c r="P260" s="29">
        <f t="shared" ref="P260:P316" si="88">$I260+$M260+O260</f>
        <v>0</v>
      </c>
      <c r="Q260">
        <f t="shared" ref="Q260:Q316" si="89">IF(P260&lt;H260,H260,0)</f>
        <v>0</v>
      </c>
      <c r="R260" s="29">
        <f t="shared" ref="R260:R316" si="90">IF($I260+$M260+$Q260=0,P260,0)</f>
        <v>0</v>
      </c>
      <c r="S260" s="29">
        <f t="shared" si="82"/>
        <v>0</v>
      </c>
      <c r="T260" s="29">
        <f t="shared" ref="T260:T316" si="91">$I260+$M260+$Q260+S260</f>
        <v>0</v>
      </c>
      <c r="U260">
        <f t="shared" ref="U260:U316" si="92">IF(T260&lt;H260,H260,0)</f>
        <v>0</v>
      </c>
      <c r="V260" s="29">
        <f t="shared" ref="V260:V316" si="93">IF($I260+$M260+$Q260+U260=0,T260,0)</f>
        <v>0</v>
      </c>
      <c r="W260" s="29">
        <f t="shared" si="83"/>
        <v>0</v>
      </c>
      <c r="X260" s="29">
        <f t="shared" ref="X260:X316" si="94">$I260+$M260+$Q260+$U260+W260</f>
        <v>0</v>
      </c>
      <c r="Y260">
        <f t="shared" ref="Y260:Y316" si="95">IF(X260&lt;H260,H260,0)</f>
        <v>0</v>
      </c>
    </row>
    <row r="261" spans="1:25" x14ac:dyDescent="0.25">
      <c r="A261" s="4" t="s">
        <v>1157</v>
      </c>
      <c r="B261" s="7" t="s">
        <v>596</v>
      </c>
      <c r="C261" s="2" t="s">
        <v>1158</v>
      </c>
      <c r="D261">
        <f>VLOOKUP(B261,'Model allocations'!$A$1:$L$317,3,FALSE)</f>
        <v>109264.51776044659</v>
      </c>
      <c r="E261" s="31">
        <f>VLOOKUP(B261,'Initial adjusted formula count'!$A$1:$P$317,12,FALSE)</f>
        <v>0.15604395604395599</v>
      </c>
      <c r="F261">
        <f>VLOOKUP(B261,'Model allocations'!$A$1:$L$317,8,FALSE)</f>
        <v>123421.22857558087</v>
      </c>
      <c r="G261" s="30">
        <f t="shared" si="84"/>
        <v>0.9</v>
      </c>
      <c r="H261">
        <f t="shared" si="85"/>
        <v>98338.065984401925</v>
      </c>
      <c r="I261">
        <f t="shared" si="77"/>
        <v>0</v>
      </c>
      <c r="J261">
        <f t="shared" si="78"/>
        <v>123421.22857558087</v>
      </c>
      <c r="K261">
        <f t="shared" si="79"/>
        <v>123364.66393683726</v>
      </c>
      <c r="L261">
        <f t="shared" si="86"/>
        <v>123364.66393683726</v>
      </c>
      <c r="M261">
        <f t="shared" si="80"/>
        <v>0</v>
      </c>
      <c r="N261" s="29">
        <f t="shared" si="87"/>
        <v>123364.66393683726</v>
      </c>
      <c r="O261" s="29">
        <f t="shared" si="81"/>
        <v>123358.3403964961</v>
      </c>
      <c r="P261" s="29">
        <f t="shared" si="88"/>
        <v>123358.3403964961</v>
      </c>
      <c r="Q261">
        <f t="shared" si="89"/>
        <v>0</v>
      </c>
      <c r="R261" s="29">
        <f t="shared" si="90"/>
        <v>123358.3403964961</v>
      </c>
      <c r="S261" s="29">
        <f t="shared" si="82"/>
        <v>123358.33460873197</v>
      </c>
      <c r="T261" s="29">
        <f t="shared" si="91"/>
        <v>123358.33460873197</v>
      </c>
      <c r="U261">
        <f t="shared" si="92"/>
        <v>0</v>
      </c>
      <c r="V261" s="29">
        <f t="shared" si="93"/>
        <v>123358.33460873197</v>
      </c>
      <c r="W261" s="29">
        <f t="shared" si="83"/>
        <v>123358.33460873211</v>
      </c>
      <c r="X261" s="29">
        <f t="shared" si="94"/>
        <v>123358.33460873211</v>
      </c>
      <c r="Y261">
        <f t="shared" si="95"/>
        <v>0</v>
      </c>
    </row>
    <row r="262" spans="1:25" x14ac:dyDescent="0.25">
      <c r="A262" s="4" t="s">
        <v>1159</v>
      </c>
      <c r="B262" s="7" t="s">
        <v>231</v>
      </c>
      <c r="C262" s="2" t="s">
        <v>1160</v>
      </c>
      <c r="D262">
        <f>VLOOKUP(B262,'Model allocations'!$A$1:$L$317,3,FALSE)</f>
        <v>187556.41631320748</v>
      </c>
      <c r="E262" s="31">
        <f>VLOOKUP(B262,'Initial adjusted formula count'!$A$1:$P$317,12,FALSE)</f>
        <v>8.5884691848906597E-2</v>
      </c>
      <c r="F262">
        <f>VLOOKUP(B262,'Model allocations'!$A$1:$L$317,8,FALSE)</f>
        <v>187739.33360792574</v>
      </c>
      <c r="G262" s="30">
        <f t="shared" si="84"/>
        <v>0.85</v>
      </c>
      <c r="H262">
        <f t="shared" si="85"/>
        <v>159422.95386622634</v>
      </c>
      <c r="I262">
        <f t="shared" si="77"/>
        <v>0</v>
      </c>
      <c r="J262">
        <f t="shared" si="78"/>
        <v>187739.33360792574</v>
      </c>
      <c r="K262">
        <f t="shared" si="79"/>
        <v>187653.29162223125</v>
      </c>
      <c r="L262">
        <f t="shared" si="86"/>
        <v>187653.29162223125</v>
      </c>
      <c r="M262">
        <f t="shared" si="80"/>
        <v>0</v>
      </c>
      <c r="N262" s="29">
        <f t="shared" si="87"/>
        <v>187653.29162223125</v>
      </c>
      <c r="O262" s="29">
        <f t="shared" si="81"/>
        <v>187643.6727157968</v>
      </c>
      <c r="P262" s="29">
        <f t="shared" si="88"/>
        <v>187643.6727157968</v>
      </c>
      <c r="Q262">
        <f t="shared" si="89"/>
        <v>0</v>
      </c>
      <c r="R262" s="29">
        <f t="shared" si="90"/>
        <v>187643.6727157968</v>
      </c>
      <c r="S262" s="29">
        <f t="shared" si="82"/>
        <v>187643.66391187388</v>
      </c>
      <c r="T262" s="29">
        <f t="shared" si="91"/>
        <v>187643.66391187388</v>
      </c>
      <c r="U262">
        <f t="shared" si="92"/>
        <v>0</v>
      </c>
      <c r="V262" s="29">
        <f t="shared" si="93"/>
        <v>187643.66391187388</v>
      </c>
      <c r="W262" s="29">
        <f t="shared" si="83"/>
        <v>187643.66391187409</v>
      </c>
      <c r="X262" s="29">
        <f t="shared" si="94"/>
        <v>187643.66391187409</v>
      </c>
      <c r="Y262">
        <f t="shared" si="95"/>
        <v>0</v>
      </c>
    </row>
    <row r="263" spans="1:25" x14ac:dyDescent="0.25">
      <c r="A263" s="4" t="s">
        <v>25</v>
      </c>
      <c r="B263" s="7" t="s">
        <v>72</v>
      </c>
      <c r="C263" s="2" t="s">
        <v>1161</v>
      </c>
      <c r="D263">
        <f>VLOOKUP(B263,'Model allocations'!$A$1:$L$317,3,FALSE)</f>
        <v>96338.705056194289</v>
      </c>
      <c r="E263" s="31">
        <f>VLOOKUP(B263,'Initial adjusted formula count'!$A$1:$P$317,12,FALSE)</f>
        <v>0.131424483967399</v>
      </c>
      <c r="F263">
        <f>VLOOKUP(B263,'Model allocations'!$A$1:$L$317,8,FALSE)</f>
        <v>87903.48481725539</v>
      </c>
      <c r="G263" s="30">
        <f t="shared" si="84"/>
        <v>0.85</v>
      </c>
      <c r="H263">
        <f t="shared" si="85"/>
        <v>81887.899297765151</v>
      </c>
      <c r="I263">
        <f t="shared" si="77"/>
        <v>0</v>
      </c>
      <c r="J263">
        <f t="shared" si="78"/>
        <v>87903.48481725539</v>
      </c>
      <c r="K263">
        <f t="shared" si="79"/>
        <v>87863.198158952146</v>
      </c>
      <c r="L263">
        <f t="shared" si="86"/>
        <v>87863.198158952146</v>
      </c>
      <c r="M263">
        <f t="shared" si="80"/>
        <v>0</v>
      </c>
      <c r="N263" s="29">
        <f t="shared" si="87"/>
        <v>87863.198158952146</v>
      </c>
      <c r="O263" s="29">
        <f t="shared" si="81"/>
        <v>87858.694385664625</v>
      </c>
      <c r="P263" s="29">
        <f t="shared" si="88"/>
        <v>87858.694385664625</v>
      </c>
      <c r="Q263">
        <f t="shared" si="89"/>
        <v>0</v>
      </c>
      <c r="R263" s="29">
        <f t="shared" si="90"/>
        <v>87858.694385664625</v>
      </c>
      <c r="S263" s="29">
        <f t="shared" si="82"/>
        <v>87858.690263483673</v>
      </c>
      <c r="T263" s="29">
        <f t="shared" si="91"/>
        <v>87858.690263483673</v>
      </c>
      <c r="U263">
        <f t="shared" si="92"/>
        <v>0</v>
      </c>
      <c r="V263" s="29">
        <f t="shared" si="93"/>
        <v>87858.690263483673</v>
      </c>
      <c r="W263" s="29">
        <f t="shared" si="83"/>
        <v>87858.690263483775</v>
      </c>
      <c r="X263" s="29">
        <f t="shared" si="94"/>
        <v>87858.690263483775</v>
      </c>
      <c r="Y263">
        <f t="shared" si="95"/>
        <v>0</v>
      </c>
    </row>
    <row r="264" spans="1:25" x14ac:dyDescent="0.25">
      <c r="A264" s="4" t="s">
        <v>27</v>
      </c>
      <c r="B264" s="7" t="s">
        <v>73</v>
      </c>
      <c r="C264" s="2" t="s">
        <v>1163</v>
      </c>
      <c r="D264">
        <f>VLOOKUP(B264,'Model allocations'!$A$1:$L$317,3,FALSE)</f>
        <v>37053.348098536313</v>
      </c>
      <c r="E264" s="31">
        <f>VLOOKUP(B264,'Initial adjusted formula count'!$A$1:$P$317,12,FALSE)</f>
        <v>0.121891311010182</v>
      </c>
      <c r="F264">
        <f>VLOOKUP(B264,'Model allocations'!$A$1:$L$317,8,FALSE)</f>
        <v>31003.303773720745</v>
      </c>
      <c r="G264" s="30">
        <f t="shared" si="84"/>
        <v>0.85</v>
      </c>
      <c r="H264">
        <f t="shared" si="85"/>
        <v>31495.345883755865</v>
      </c>
      <c r="I264">
        <f t="shared" si="77"/>
        <v>31495.345883755865</v>
      </c>
      <c r="J264">
        <f t="shared" si="78"/>
        <v>0</v>
      </c>
      <c r="K264">
        <f t="shared" si="79"/>
        <v>0</v>
      </c>
      <c r="L264">
        <f t="shared" si="86"/>
        <v>31495.345883755865</v>
      </c>
      <c r="M264">
        <f t="shared" si="80"/>
        <v>0</v>
      </c>
      <c r="N264" s="29">
        <f t="shared" si="87"/>
        <v>0</v>
      </c>
      <c r="O264" s="29">
        <f t="shared" si="81"/>
        <v>0</v>
      </c>
      <c r="P264" s="29">
        <f t="shared" si="88"/>
        <v>31495.345883755865</v>
      </c>
      <c r="Q264">
        <f t="shared" si="89"/>
        <v>0</v>
      </c>
      <c r="R264" s="29">
        <f t="shared" si="90"/>
        <v>0</v>
      </c>
      <c r="S264" s="29">
        <f t="shared" si="82"/>
        <v>0</v>
      </c>
      <c r="T264" s="29">
        <f t="shared" si="91"/>
        <v>31495.345883755865</v>
      </c>
      <c r="U264">
        <f t="shared" si="92"/>
        <v>0</v>
      </c>
      <c r="V264" s="29">
        <f t="shared" si="93"/>
        <v>0</v>
      </c>
      <c r="W264" s="29">
        <f t="shared" si="83"/>
        <v>0</v>
      </c>
      <c r="X264" s="29">
        <f t="shared" si="94"/>
        <v>31495.345883755865</v>
      </c>
      <c r="Y264">
        <f t="shared" si="95"/>
        <v>0</v>
      </c>
    </row>
    <row r="265" spans="1:25" x14ac:dyDescent="0.25">
      <c r="A265" s="4" t="s">
        <v>1164</v>
      </c>
      <c r="B265" s="7" t="s">
        <v>598</v>
      </c>
      <c r="C265" s="2" t="s">
        <v>1165</v>
      </c>
      <c r="D265">
        <f>VLOOKUP(B265,'Model allocations'!$A$1:$L$317,3,FALSE)</f>
        <v>19632.409156375907</v>
      </c>
      <c r="E265" s="31">
        <f>VLOOKUP(B265,'Initial adjusted formula count'!$A$1:$P$317,12,FALSE)</f>
        <v>0.22807017543859601</v>
      </c>
      <c r="F265">
        <f>VLOOKUP(B265,'Model allocations'!$A$1:$L$317,8,FALSE)</f>
        <v>22598.253119472552</v>
      </c>
      <c r="G265" s="30">
        <f t="shared" si="84"/>
        <v>0.9</v>
      </c>
      <c r="H265">
        <f t="shared" si="85"/>
        <v>17669.168240738316</v>
      </c>
      <c r="I265">
        <f t="shared" si="77"/>
        <v>0</v>
      </c>
      <c r="J265">
        <f t="shared" si="78"/>
        <v>22598.253119472552</v>
      </c>
      <c r="K265">
        <f t="shared" si="79"/>
        <v>22587.896213787102</v>
      </c>
      <c r="L265">
        <f t="shared" si="86"/>
        <v>22587.896213787102</v>
      </c>
      <c r="M265">
        <f t="shared" si="80"/>
        <v>0</v>
      </c>
      <c r="N265" s="29">
        <f t="shared" si="87"/>
        <v>22587.896213787102</v>
      </c>
      <c r="O265" s="29">
        <f t="shared" si="81"/>
        <v>22586.738382457032</v>
      </c>
      <c r="P265" s="29">
        <f t="shared" si="88"/>
        <v>22586.738382457032</v>
      </c>
      <c r="Q265">
        <f t="shared" si="89"/>
        <v>0</v>
      </c>
      <c r="R265" s="29">
        <f t="shared" si="90"/>
        <v>22586.738382457032</v>
      </c>
      <c r="S265" s="29">
        <f t="shared" si="82"/>
        <v>22586.73732272557</v>
      </c>
      <c r="T265" s="29">
        <f t="shared" si="91"/>
        <v>22586.73732272557</v>
      </c>
      <c r="U265">
        <f t="shared" si="92"/>
        <v>0</v>
      </c>
      <c r="V265" s="29">
        <f t="shared" si="93"/>
        <v>22586.73732272557</v>
      </c>
      <c r="W265" s="29">
        <f t="shared" si="83"/>
        <v>22586.737322725596</v>
      </c>
      <c r="X265" s="29">
        <f t="shared" si="94"/>
        <v>22586.737322725596</v>
      </c>
      <c r="Y265">
        <f t="shared" si="95"/>
        <v>0</v>
      </c>
    </row>
    <row r="266" spans="1:25" x14ac:dyDescent="0.25">
      <c r="A266" s="4" t="s">
        <v>1166</v>
      </c>
      <c r="B266" s="7" t="s">
        <v>233</v>
      </c>
      <c r="C266" s="2" t="s">
        <v>1167</v>
      </c>
      <c r="D266">
        <f>VLOOKUP(B266,'Model allocations'!$A$1:$L$317,3,FALSE)</f>
        <v>468891.04078301886</v>
      </c>
      <c r="E266" s="31">
        <f>VLOOKUP(B266,'Initial adjusted formula count'!$A$1:$P$317,12,FALSE)</f>
        <v>5.2346232940736599E-2</v>
      </c>
      <c r="F266">
        <f>VLOOKUP(B266,'Model allocations'!$A$1:$L$317,8,FALSE)</f>
        <v>486731.60565017792</v>
      </c>
      <c r="G266" s="30">
        <f t="shared" si="84"/>
        <v>0.85</v>
      </c>
      <c r="H266">
        <f t="shared" si="85"/>
        <v>398557.38466556603</v>
      </c>
      <c r="I266">
        <f t="shared" si="77"/>
        <v>0</v>
      </c>
      <c r="J266">
        <f t="shared" si="78"/>
        <v>486731.60565017792</v>
      </c>
      <c r="K266">
        <f t="shared" si="79"/>
        <v>486508.53383541439</v>
      </c>
      <c r="L266">
        <f t="shared" si="86"/>
        <v>486508.53383541439</v>
      </c>
      <c r="M266">
        <f t="shared" si="80"/>
        <v>0</v>
      </c>
      <c r="N266" s="29">
        <f t="shared" si="87"/>
        <v>486508.53383541439</v>
      </c>
      <c r="O266" s="29">
        <f t="shared" si="81"/>
        <v>486483.59592984361</v>
      </c>
      <c r="P266" s="29">
        <f t="shared" si="88"/>
        <v>486483.59592984361</v>
      </c>
      <c r="Q266">
        <f t="shared" si="89"/>
        <v>0</v>
      </c>
      <c r="R266" s="29">
        <f t="shared" si="90"/>
        <v>486483.59592984361</v>
      </c>
      <c r="S266" s="29">
        <f t="shared" si="82"/>
        <v>486483.57310485822</v>
      </c>
      <c r="T266" s="29">
        <f t="shared" si="91"/>
        <v>486483.57310485822</v>
      </c>
      <c r="U266">
        <f t="shared" si="92"/>
        <v>0</v>
      </c>
      <c r="V266" s="29">
        <f t="shared" si="93"/>
        <v>486483.57310485822</v>
      </c>
      <c r="W266" s="29">
        <f t="shared" si="83"/>
        <v>486483.57310485881</v>
      </c>
      <c r="X266" s="29">
        <f t="shared" si="94"/>
        <v>486483.57310485881</v>
      </c>
      <c r="Y266">
        <f t="shared" si="95"/>
        <v>0</v>
      </c>
    </row>
    <row r="267" spans="1:25" x14ac:dyDescent="0.25">
      <c r="A267" s="4" t="s">
        <v>1168</v>
      </c>
      <c r="B267" s="7" t="s">
        <v>600</v>
      </c>
      <c r="C267" s="2" t="s">
        <v>1169</v>
      </c>
      <c r="D267">
        <f>VLOOKUP(B267,'Model allocations'!$A$1:$L$317,3,FALSE)</f>
        <v>1025537.8359878135</v>
      </c>
      <c r="E267" s="31">
        <f>VLOOKUP(B267,'Initial adjusted formula count'!$A$1:$P$317,12,FALSE)</f>
        <v>0.21151055940673899</v>
      </c>
      <c r="F267">
        <f>VLOOKUP(B267,'Model allocations'!$A$1:$L$317,8,FALSE)</f>
        <v>1140342.6189518454</v>
      </c>
      <c r="G267" s="30">
        <f t="shared" si="84"/>
        <v>0.9</v>
      </c>
      <c r="H267">
        <f t="shared" si="85"/>
        <v>922984.05238903221</v>
      </c>
      <c r="I267">
        <f t="shared" si="77"/>
        <v>0</v>
      </c>
      <c r="J267">
        <f t="shared" si="78"/>
        <v>1140342.6189518454</v>
      </c>
      <c r="K267">
        <f t="shared" si="79"/>
        <v>1139819.9935572566</v>
      </c>
      <c r="L267">
        <f t="shared" si="86"/>
        <v>1139819.9935572566</v>
      </c>
      <c r="M267">
        <f t="shared" si="80"/>
        <v>0</v>
      </c>
      <c r="N267" s="29">
        <f t="shared" si="87"/>
        <v>1139819.9935572566</v>
      </c>
      <c r="O267" s="29">
        <f t="shared" si="81"/>
        <v>1139761.5676070622</v>
      </c>
      <c r="P267" s="29">
        <f t="shared" si="88"/>
        <v>1139761.5676070622</v>
      </c>
      <c r="Q267">
        <f t="shared" si="89"/>
        <v>0</v>
      </c>
      <c r="R267" s="29">
        <f t="shared" si="90"/>
        <v>1139761.5676070622</v>
      </c>
      <c r="S267" s="29">
        <f t="shared" si="82"/>
        <v>1139761.5141313821</v>
      </c>
      <c r="T267" s="29">
        <f t="shared" si="91"/>
        <v>1139761.5141313821</v>
      </c>
      <c r="U267">
        <f t="shared" si="92"/>
        <v>0</v>
      </c>
      <c r="V267" s="29">
        <f t="shared" si="93"/>
        <v>1139761.5141313821</v>
      </c>
      <c r="W267" s="29">
        <f t="shared" si="83"/>
        <v>1139761.5141313833</v>
      </c>
      <c r="X267" s="29">
        <f t="shared" si="94"/>
        <v>1139761.5141313833</v>
      </c>
      <c r="Y267">
        <f t="shared" si="95"/>
        <v>0</v>
      </c>
    </row>
    <row r="268" spans="1:25" x14ac:dyDescent="0.25">
      <c r="A268" s="4" t="s">
        <v>11</v>
      </c>
      <c r="B268" s="7" t="s">
        <v>67</v>
      </c>
      <c r="C268" s="2" t="s">
        <v>1170</v>
      </c>
      <c r="D268">
        <f>VLOOKUP(B268,'Model allocations'!$A$1:$L$317,3,FALSE)</f>
        <v>15682.877607164477</v>
      </c>
      <c r="E268" s="31">
        <f>VLOOKUP(B268,'Initial adjusted formula count'!$A$1:$P$317,12,FALSE)</f>
        <v>0.194148516573487</v>
      </c>
      <c r="F268">
        <f>VLOOKUP(B268,'Model allocations'!$A$1:$L$317,8,FALSE)</f>
        <v>14821.233268816171</v>
      </c>
      <c r="G268" s="30">
        <f t="shared" si="84"/>
        <v>0.9</v>
      </c>
      <c r="H268">
        <f t="shared" si="85"/>
        <v>14114.589846448029</v>
      </c>
      <c r="I268">
        <f t="shared" si="77"/>
        <v>0</v>
      </c>
      <c r="J268">
        <f t="shared" si="78"/>
        <v>14821.233268816171</v>
      </c>
      <c r="K268">
        <f t="shared" si="79"/>
        <v>14814.44061478687</v>
      </c>
      <c r="L268">
        <f t="shared" si="86"/>
        <v>14814.44061478687</v>
      </c>
      <c r="M268">
        <f t="shared" si="80"/>
        <v>0</v>
      </c>
      <c r="N268" s="29">
        <f t="shared" si="87"/>
        <v>14814.44061478687</v>
      </c>
      <c r="O268" s="29">
        <f t="shared" si="81"/>
        <v>14813.681242452281</v>
      </c>
      <c r="P268" s="29">
        <f t="shared" si="88"/>
        <v>14813.681242452281</v>
      </c>
      <c r="Q268">
        <f t="shared" si="89"/>
        <v>0</v>
      </c>
      <c r="R268" s="29">
        <f t="shared" si="90"/>
        <v>14813.681242452281</v>
      </c>
      <c r="S268" s="29">
        <f t="shared" si="82"/>
        <v>14813.680547419479</v>
      </c>
      <c r="T268" s="29">
        <f t="shared" si="91"/>
        <v>14813.680547419479</v>
      </c>
      <c r="U268">
        <f t="shared" si="92"/>
        <v>0</v>
      </c>
      <c r="V268" s="29">
        <f t="shared" si="93"/>
        <v>14813.680547419479</v>
      </c>
      <c r="W268" s="29">
        <f t="shared" si="83"/>
        <v>14813.680547419497</v>
      </c>
      <c r="X268" s="29">
        <f t="shared" si="94"/>
        <v>14813.680547419497</v>
      </c>
      <c r="Y268">
        <f t="shared" si="95"/>
        <v>0</v>
      </c>
    </row>
    <row r="269" spans="1:25" x14ac:dyDescent="0.25">
      <c r="A269" s="4" t="s">
        <v>39</v>
      </c>
      <c r="B269" s="7" t="s">
        <v>62</v>
      </c>
      <c r="C269" s="2" t="s">
        <v>1171</v>
      </c>
      <c r="D269">
        <f>VLOOKUP(B269,'Model allocations'!$A$1:$L$317,3,FALSE)</f>
        <v>3739361.4569145353</v>
      </c>
      <c r="E269" s="31">
        <f>VLOOKUP(B269,'Initial adjusted formula count'!$A$1:$P$317,12,FALSE)</f>
        <v>0.13322423799507099</v>
      </c>
      <c r="F269">
        <f>VLOOKUP(B269,'Model allocations'!$A$1:$L$317,8,FALSE)</f>
        <v>3829657.9490367626</v>
      </c>
      <c r="G269" s="30">
        <f t="shared" si="84"/>
        <v>0.85</v>
      </c>
      <c r="H269">
        <f t="shared" si="85"/>
        <v>3178457.238377355</v>
      </c>
      <c r="I269">
        <f t="shared" si="77"/>
        <v>0</v>
      </c>
      <c r="J269">
        <f t="shared" si="78"/>
        <v>3829657.9490367626</v>
      </c>
      <c r="K269">
        <f t="shared" si="79"/>
        <v>3827902.7953982926</v>
      </c>
      <c r="L269">
        <f t="shared" si="86"/>
        <v>3827902.7953982926</v>
      </c>
      <c r="M269">
        <f t="shared" si="80"/>
        <v>0</v>
      </c>
      <c r="N269" s="29">
        <f t="shared" si="87"/>
        <v>3827902.7953982926</v>
      </c>
      <c r="O269" s="29">
        <f t="shared" si="81"/>
        <v>3827706.5812071599</v>
      </c>
      <c r="P269" s="29">
        <f t="shared" si="88"/>
        <v>3827706.5812071599</v>
      </c>
      <c r="Q269">
        <f t="shared" si="89"/>
        <v>0</v>
      </c>
      <c r="R269" s="29">
        <f t="shared" si="90"/>
        <v>3827706.5812071599</v>
      </c>
      <c r="S269" s="29">
        <f t="shared" si="82"/>
        <v>3827706.4016176579</v>
      </c>
      <c r="T269" s="29">
        <f t="shared" si="91"/>
        <v>3827706.4016176579</v>
      </c>
      <c r="U269">
        <f t="shared" si="92"/>
        <v>0</v>
      </c>
      <c r="V269" s="29">
        <f t="shared" si="93"/>
        <v>3827706.4016176579</v>
      </c>
      <c r="W269" s="29">
        <f t="shared" si="83"/>
        <v>3827706.401617662</v>
      </c>
      <c r="X269" s="29">
        <f t="shared" si="94"/>
        <v>3827706.401617662</v>
      </c>
      <c r="Y269">
        <f t="shared" si="95"/>
        <v>0</v>
      </c>
    </row>
    <row r="270" spans="1:25" x14ac:dyDescent="0.25">
      <c r="A270" s="4" t="s">
        <v>1172</v>
      </c>
      <c r="B270" s="7" t="s">
        <v>602</v>
      </c>
      <c r="C270" s="2" t="s">
        <v>1173</v>
      </c>
      <c r="D270">
        <f>VLOOKUP(B270,'Model allocations'!$A$1:$L$317,3,FALSE)</f>
        <v>74850.496418573661</v>
      </c>
      <c r="E270" s="31">
        <f>VLOOKUP(B270,'Initial adjusted formula count'!$A$1:$P$317,12,FALSE)</f>
        <v>0.155619596541787</v>
      </c>
      <c r="F270">
        <f>VLOOKUP(B270,'Model allocations'!$A$1:$L$317,8,FALSE)</f>
        <v>67365.446776716301</v>
      </c>
      <c r="G270" s="30">
        <f t="shared" si="84"/>
        <v>0.9</v>
      </c>
      <c r="H270">
        <f t="shared" si="85"/>
        <v>67365.446776716301</v>
      </c>
      <c r="I270">
        <f t="shared" si="77"/>
        <v>0</v>
      </c>
      <c r="J270">
        <f t="shared" si="78"/>
        <v>67365.446776716301</v>
      </c>
      <c r="K270">
        <f t="shared" si="79"/>
        <v>67334.572816015178</v>
      </c>
      <c r="L270">
        <f t="shared" si="86"/>
        <v>67334.572816015178</v>
      </c>
      <c r="M270">
        <f t="shared" si="80"/>
        <v>67365.446776716301</v>
      </c>
      <c r="N270" s="29">
        <f t="shared" si="87"/>
        <v>0</v>
      </c>
      <c r="O270" s="29">
        <f t="shared" si="81"/>
        <v>0</v>
      </c>
      <c r="P270" s="29">
        <f t="shared" si="88"/>
        <v>67365.446776716301</v>
      </c>
      <c r="Q270">
        <f t="shared" si="89"/>
        <v>0</v>
      </c>
      <c r="R270" s="29">
        <f t="shared" si="90"/>
        <v>0</v>
      </c>
      <c r="S270" s="29">
        <f t="shared" si="82"/>
        <v>0</v>
      </c>
      <c r="T270" s="29">
        <f t="shared" si="91"/>
        <v>67365.446776716301</v>
      </c>
      <c r="U270">
        <f t="shared" si="92"/>
        <v>0</v>
      </c>
      <c r="V270" s="29">
        <f t="shared" si="93"/>
        <v>0</v>
      </c>
      <c r="W270" s="29">
        <f t="shared" si="83"/>
        <v>0</v>
      </c>
      <c r="X270" s="29">
        <f t="shared" si="94"/>
        <v>67365.446776716301</v>
      </c>
      <c r="Y270">
        <f t="shared" si="95"/>
        <v>0</v>
      </c>
    </row>
    <row r="271" spans="1:25" x14ac:dyDescent="0.25">
      <c r="A271" s="4" t="s">
        <v>1174</v>
      </c>
      <c r="B271" s="7" t="s">
        <v>235</v>
      </c>
      <c r="C271" s="2" t="s">
        <v>1175</v>
      </c>
      <c r="D271">
        <f>VLOOKUP(B271,'Model allocations'!$A$1:$L$317,3,FALSE)</f>
        <v>332095.30594907381</v>
      </c>
      <c r="E271" s="31">
        <f>VLOOKUP(B271,'Initial adjusted formula count'!$A$1:$P$317,12,FALSE)</f>
        <v>4.5739417262231997E-2</v>
      </c>
      <c r="F271">
        <f>VLOOKUP(B271,'Model allocations'!$A$1:$L$317,8,FALSE)</f>
        <v>361572.04991156084</v>
      </c>
      <c r="G271" s="30">
        <f t="shared" si="84"/>
        <v>0.85</v>
      </c>
      <c r="H271">
        <f t="shared" si="85"/>
        <v>282281.01005671272</v>
      </c>
      <c r="I271">
        <f t="shared" si="77"/>
        <v>0</v>
      </c>
      <c r="J271">
        <f t="shared" si="78"/>
        <v>361572.04991156084</v>
      </c>
      <c r="K271">
        <f t="shared" si="79"/>
        <v>361406.33942059363</v>
      </c>
      <c r="L271">
        <f t="shared" si="86"/>
        <v>361406.33942059363</v>
      </c>
      <c r="M271">
        <f t="shared" si="80"/>
        <v>0</v>
      </c>
      <c r="N271" s="29">
        <f t="shared" si="87"/>
        <v>361406.33942059363</v>
      </c>
      <c r="O271" s="29">
        <f t="shared" si="81"/>
        <v>361387.8141193125</v>
      </c>
      <c r="P271" s="29">
        <f t="shared" si="88"/>
        <v>361387.8141193125</v>
      </c>
      <c r="Q271">
        <f t="shared" si="89"/>
        <v>0</v>
      </c>
      <c r="R271" s="29">
        <f t="shared" si="90"/>
        <v>361387.8141193125</v>
      </c>
      <c r="S271" s="29">
        <f t="shared" si="82"/>
        <v>361387.79716360912</v>
      </c>
      <c r="T271" s="29">
        <f t="shared" si="91"/>
        <v>361387.79716360912</v>
      </c>
      <c r="U271">
        <f t="shared" si="92"/>
        <v>0</v>
      </c>
      <c r="V271" s="29">
        <f t="shared" si="93"/>
        <v>361387.79716360912</v>
      </c>
      <c r="W271" s="29">
        <f t="shared" si="83"/>
        <v>361387.79716360953</v>
      </c>
      <c r="X271" s="29">
        <f t="shared" si="94"/>
        <v>361387.79716360953</v>
      </c>
      <c r="Y271">
        <f t="shared" si="95"/>
        <v>0</v>
      </c>
    </row>
    <row r="272" spans="1:25" x14ac:dyDescent="0.25">
      <c r="A272" s="4" t="s">
        <v>1176</v>
      </c>
      <c r="B272" s="7" t="s">
        <v>237</v>
      </c>
      <c r="C272" s="2" t="s">
        <v>1177</v>
      </c>
      <c r="D272">
        <f>VLOOKUP(B272,'Model allocations'!$A$1:$L$317,3,FALSE)</f>
        <v>24089.814939311054</v>
      </c>
      <c r="E272" s="31">
        <f>VLOOKUP(B272,'Initial adjusted formula count'!$A$1:$P$317,12,FALSE)</f>
        <v>0.124260355029586</v>
      </c>
      <c r="F272">
        <f>VLOOKUP(B272,'Model allocations'!$A$1:$L$317,8,FALSE)</f>
        <v>20476.342698414395</v>
      </c>
      <c r="G272" s="30">
        <f t="shared" si="84"/>
        <v>0.85</v>
      </c>
      <c r="H272">
        <f t="shared" si="85"/>
        <v>20476.342698414395</v>
      </c>
      <c r="I272">
        <f t="shared" si="77"/>
        <v>0</v>
      </c>
      <c r="J272">
        <f t="shared" si="78"/>
        <v>20476.342698414395</v>
      </c>
      <c r="K272">
        <f t="shared" si="79"/>
        <v>20466.958276132318</v>
      </c>
      <c r="L272">
        <f t="shared" si="86"/>
        <v>20466.958276132318</v>
      </c>
      <c r="M272">
        <f t="shared" si="80"/>
        <v>20476.342698414395</v>
      </c>
      <c r="N272" s="29">
        <f t="shared" si="87"/>
        <v>0</v>
      </c>
      <c r="O272" s="29">
        <f t="shared" si="81"/>
        <v>0</v>
      </c>
      <c r="P272" s="29">
        <f t="shared" si="88"/>
        <v>20476.342698414395</v>
      </c>
      <c r="Q272">
        <f t="shared" si="89"/>
        <v>0</v>
      </c>
      <c r="R272" s="29">
        <f t="shared" si="90"/>
        <v>0</v>
      </c>
      <c r="S272" s="29">
        <f t="shared" si="82"/>
        <v>0</v>
      </c>
      <c r="T272" s="29">
        <f t="shared" si="91"/>
        <v>20476.342698414395</v>
      </c>
      <c r="U272">
        <f t="shared" si="92"/>
        <v>0</v>
      </c>
      <c r="V272" s="29">
        <f t="shared" si="93"/>
        <v>0</v>
      </c>
      <c r="W272" s="29">
        <f t="shared" si="83"/>
        <v>0</v>
      </c>
      <c r="X272" s="29">
        <f t="shared" si="94"/>
        <v>20476.342698414395</v>
      </c>
      <c r="Y272">
        <f t="shared" si="95"/>
        <v>0</v>
      </c>
    </row>
    <row r="273" spans="1:25" x14ac:dyDescent="0.25">
      <c r="A273" s="4" t="s">
        <v>1178</v>
      </c>
      <c r="B273" s="7" t="s">
        <v>304</v>
      </c>
      <c r="C273" s="2" t="s">
        <v>1179</v>
      </c>
      <c r="D273">
        <f>VLOOKUP(B273,'Model allocations'!$A$1:$L$317,3,FALSE)</f>
        <v>167768.35404163055</v>
      </c>
      <c r="E273" s="31">
        <f>VLOOKUP(B273,'Initial adjusted formula count'!$A$1:$P$317,12,FALSE)</f>
        <v>8.4050297816015904E-2</v>
      </c>
      <c r="F273">
        <f>VLOOKUP(B273,'Model allocations'!$A$1:$L$317,8,FALSE)</f>
        <v>142603.10093538597</v>
      </c>
      <c r="G273" s="30">
        <f t="shared" si="84"/>
        <v>0.85</v>
      </c>
      <c r="H273">
        <f t="shared" si="85"/>
        <v>142603.10093538597</v>
      </c>
      <c r="I273">
        <f t="shared" si="77"/>
        <v>0</v>
      </c>
      <c r="J273">
        <f t="shared" si="78"/>
        <v>142603.10093538597</v>
      </c>
      <c r="K273">
        <f t="shared" si="79"/>
        <v>142537.74513735005</v>
      </c>
      <c r="L273">
        <f t="shared" si="86"/>
        <v>142537.74513735005</v>
      </c>
      <c r="M273">
        <f t="shared" si="80"/>
        <v>142603.10093538597</v>
      </c>
      <c r="N273" s="29">
        <f t="shared" si="87"/>
        <v>0</v>
      </c>
      <c r="O273" s="29">
        <f t="shared" si="81"/>
        <v>0</v>
      </c>
      <c r="P273" s="29">
        <f t="shared" si="88"/>
        <v>142603.10093538597</v>
      </c>
      <c r="Q273">
        <f t="shared" si="89"/>
        <v>0</v>
      </c>
      <c r="R273" s="29">
        <f t="shared" si="90"/>
        <v>0</v>
      </c>
      <c r="S273" s="29">
        <f t="shared" si="82"/>
        <v>0</v>
      </c>
      <c r="T273" s="29">
        <f t="shared" si="91"/>
        <v>142603.10093538597</v>
      </c>
      <c r="U273">
        <f t="shared" si="92"/>
        <v>0</v>
      </c>
      <c r="V273" s="29">
        <f t="shared" si="93"/>
        <v>0</v>
      </c>
      <c r="W273" s="29">
        <f t="shared" si="83"/>
        <v>0</v>
      </c>
      <c r="X273" s="29">
        <f t="shared" si="94"/>
        <v>142603.10093538597</v>
      </c>
      <c r="Y273">
        <f t="shared" si="95"/>
        <v>0</v>
      </c>
    </row>
    <row r="274" spans="1:25" x14ac:dyDescent="0.25">
      <c r="A274" s="4" t="s">
        <v>1180</v>
      </c>
      <c r="B274" s="7" t="s">
        <v>239</v>
      </c>
      <c r="C274" s="2" t="s">
        <v>1181</v>
      </c>
      <c r="D274">
        <f>VLOOKUP(B274,'Model allocations'!$A$1:$L$317,3,FALSE)</f>
        <v>21508.763338670593</v>
      </c>
      <c r="E274" s="31">
        <f>VLOOKUP(B274,'Initial adjusted formula count'!$A$1:$P$317,12,FALSE)</f>
        <v>0.14903846153846201</v>
      </c>
      <c r="F274">
        <f>VLOOKUP(B274,'Model allocations'!$A$1:$L$317,8,FALSE)</f>
        <v>26944.07102706343</v>
      </c>
      <c r="G274" s="30">
        <f t="shared" si="84"/>
        <v>0.85</v>
      </c>
      <c r="H274">
        <f t="shared" si="85"/>
        <v>18282.448837870004</v>
      </c>
      <c r="I274">
        <f t="shared" si="77"/>
        <v>0</v>
      </c>
      <c r="J274">
        <f t="shared" si="78"/>
        <v>26944.07102706343</v>
      </c>
      <c r="K274">
        <f t="shared" si="79"/>
        <v>26931.722408746165</v>
      </c>
      <c r="L274">
        <f t="shared" si="86"/>
        <v>26931.722408746165</v>
      </c>
      <c r="M274">
        <f t="shared" si="80"/>
        <v>0</v>
      </c>
      <c r="N274" s="29">
        <f t="shared" si="87"/>
        <v>26931.722408746165</v>
      </c>
      <c r="O274" s="29">
        <f t="shared" si="81"/>
        <v>26930.341917544923</v>
      </c>
      <c r="P274" s="29">
        <f t="shared" si="88"/>
        <v>26930.341917544923</v>
      </c>
      <c r="Q274">
        <f t="shared" si="89"/>
        <v>0</v>
      </c>
      <c r="R274" s="29">
        <f t="shared" si="90"/>
        <v>26930.341917544923</v>
      </c>
      <c r="S274" s="29">
        <f t="shared" si="82"/>
        <v>26930.34065401895</v>
      </c>
      <c r="T274" s="29">
        <f t="shared" si="91"/>
        <v>26930.34065401895</v>
      </c>
      <c r="U274">
        <f t="shared" si="92"/>
        <v>0</v>
      </c>
      <c r="V274" s="29">
        <f t="shared" si="93"/>
        <v>26930.34065401895</v>
      </c>
      <c r="W274" s="29">
        <f t="shared" si="83"/>
        <v>26930.340654018979</v>
      </c>
      <c r="X274" s="29">
        <f t="shared" si="94"/>
        <v>26930.340654018979</v>
      </c>
      <c r="Y274">
        <f t="shared" si="95"/>
        <v>0</v>
      </c>
    </row>
    <row r="275" spans="1:25" x14ac:dyDescent="0.25">
      <c r="A275" s="4" t="s">
        <v>1182</v>
      </c>
      <c r="B275" s="7" t="s">
        <v>241</v>
      </c>
      <c r="C275" s="2" t="s">
        <v>1183</v>
      </c>
      <c r="D275">
        <f>VLOOKUP(B275,'Model allocations'!$A$1:$L$317,3,FALSE)</f>
        <v>75710.846952120482</v>
      </c>
      <c r="E275" s="31">
        <f>VLOOKUP(B275,'Initial adjusted formula count'!$A$1:$P$317,12,FALSE)</f>
        <v>8.7962962962963007E-2</v>
      </c>
      <c r="F275">
        <f>VLOOKUP(B275,'Model allocations'!$A$1:$L$317,8,FALSE)</f>
        <v>66056.432195381276</v>
      </c>
      <c r="G275" s="30">
        <f t="shared" si="84"/>
        <v>0.85</v>
      </c>
      <c r="H275">
        <f t="shared" si="85"/>
        <v>64354.21990930241</v>
      </c>
      <c r="I275">
        <f t="shared" si="77"/>
        <v>0</v>
      </c>
      <c r="J275">
        <f t="shared" si="78"/>
        <v>66056.432195381276</v>
      </c>
      <c r="K275">
        <f t="shared" si="79"/>
        <v>66026.158163377651</v>
      </c>
      <c r="L275">
        <f t="shared" si="86"/>
        <v>66026.158163377651</v>
      </c>
      <c r="M275">
        <f t="shared" si="80"/>
        <v>0</v>
      </c>
      <c r="N275" s="29">
        <f t="shared" si="87"/>
        <v>66026.158163377651</v>
      </c>
      <c r="O275" s="29">
        <f t="shared" si="81"/>
        <v>66022.773733335911</v>
      </c>
      <c r="P275" s="29">
        <f t="shared" si="88"/>
        <v>66022.773733335911</v>
      </c>
      <c r="Q275">
        <f t="shared" si="89"/>
        <v>0</v>
      </c>
      <c r="R275" s="29">
        <f t="shared" si="90"/>
        <v>66022.773733335911</v>
      </c>
      <c r="S275" s="29">
        <f t="shared" si="82"/>
        <v>66022.770635659326</v>
      </c>
      <c r="T275" s="29">
        <f t="shared" si="91"/>
        <v>66022.770635659326</v>
      </c>
      <c r="U275">
        <f t="shared" si="92"/>
        <v>0</v>
      </c>
      <c r="V275" s="29">
        <f t="shared" si="93"/>
        <v>66022.770635659326</v>
      </c>
      <c r="W275" s="29">
        <f t="shared" si="83"/>
        <v>66022.770635659399</v>
      </c>
      <c r="X275" s="29">
        <f t="shared" si="94"/>
        <v>66022.770635659399</v>
      </c>
      <c r="Y275">
        <f t="shared" si="95"/>
        <v>0</v>
      </c>
    </row>
    <row r="276" spans="1:25" x14ac:dyDescent="0.25">
      <c r="A276" s="8" t="s">
        <v>1184</v>
      </c>
      <c r="B276" s="7" t="s">
        <v>604</v>
      </c>
      <c r="C276" s="2" t="s">
        <v>1185</v>
      </c>
      <c r="D276">
        <f>VLOOKUP(B276,'Model allocations'!$A$1:$L$317,3,FALSE)</f>
        <v>252476.14615052482</v>
      </c>
      <c r="E276" s="31">
        <f>VLOOKUP(B276,'Initial adjusted formula count'!$A$1:$P$317,12,FALSE)</f>
        <v>0.24454545454545501</v>
      </c>
      <c r="F276">
        <f>VLOOKUP(B276,'Model allocations'!$A$1:$L$317,8,FALSE)</f>
        <v>233805.00342838914</v>
      </c>
      <c r="G276" s="30">
        <f t="shared" si="84"/>
        <v>0.9</v>
      </c>
      <c r="H276">
        <f t="shared" si="85"/>
        <v>227228.53153547234</v>
      </c>
      <c r="I276">
        <f t="shared" si="77"/>
        <v>0</v>
      </c>
      <c r="J276">
        <f t="shared" si="78"/>
        <v>233805.00342838914</v>
      </c>
      <c r="K276">
        <f t="shared" si="79"/>
        <v>233697.84928879738</v>
      </c>
      <c r="L276">
        <f t="shared" si="86"/>
        <v>233697.84928879738</v>
      </c>
      <c r="M276">
        <f t="shared" si="80"/>
        <v>0</v>
      </c>
      <c r="N276" s="29">
        <f t="shared" si="87"/>
        <v>233697.84928879738</v>
      </c>
      <c r="O276" s="29">
        <f t="shared" si="81"/>
        <v>233685.87018772855</v>
      </c>
      <c r="P276" s="29">
        <f t="shared" si="88"/>
        <v>233685.87018772855</v>
      </c>
      <c r="Q276">
        <f t="shared" si="89"/>
        <v>0</v>
      </c>
      <c r="R276" s="29">
        <f t="shared" si="90"/>
        <v>233685.87018772855</v>
      </c>
      <c r="S276" s="29">
        <f t="shared" si="82"/>
        <v>233685.8592235838</v>
      </c>
      <c r="T276" s="29">
        <f t="shared" si="91"/>
        <v>233685.8592235838</v>
      </c>
      <c r="U276">
        <f t="shared" si="92"/>
        <v>0</v>
      </c>
      <c r="V276" s="29">
        <f t="shared" si="93"/>
        <v>233685.8592235838</v>
      </c>
      <c r="W276" s="29">
        <f t="shared" si="83"/>
        <v>233685.85922358403</v>
      </c>
      <c r="X276" s="29">
        <f t="shared" si="94"/>
        <v>233685.85922358403</v>
      </c>
      <c r="Y276">
        <f t="shared" si="95"/>
        <v>0</v>
      </c>
    </row>
    <row r="277" spans="1:25" x14ac:dyDescent="0.25">
      <c r="A277" s="4" t="s">
        <v>1186</v>
      </c>
      <c r="B277" s="7" t="s">
        <v>606</v>
      </c>
      <c r="C277" s="2" t="s">
        <v>1187</v>
      </c>
      <c r="D277">
        <f>VLOOKUP(B277,'Model allocations'!$A$1:$L$317,3,FALSE)</f>
        <v>621173.0852208063</v>
      </c>
      <c r="E277" s="31">
        <f>VLOOKUP(B277,'Initial adjusted formula count'!$A$1:$P$317,12,FALSE)</f>
        <v>0.19412442396313401</v>
      </c>
      <c r="F277">
        <f>VLOOKUP(B277,'Model allocations'!$A$1:$L$317,8,FALSE)</f>
        <v>585816.25394324993</v>
      </c>
      <c r="G277" s="30">
        <f t="shared" si="84"/>
        <v>0.9</v>
      </c>
      <c r="H277">
        <f t="shared" si="85"/>
        <v>559055.77669872565</v>
      </c>
      <c r="I277">
        <f t="shared" si="77"/>
        <v>0</v>
      </c>
      <c r="J277">
        <f t="shared" si="78"/>
        <v>585816.25394324993</v>
      </c>
      <c r="K277">
        <f t="shared" si="79"/>
        <v>585547.771080481</v>
      </c>
      <c r="L277">
        <f t="shared" si="86"/>
        <v>585547.771080481</v>
      </c>
      <c r="M277">
        <f t="shared" si="80"/>
        <v>0</v>
      </c>
      <c r="N277" s="29">
        <f t="shared" si="87"/>
        <v>585547.771080481</v>
      </c>
      <c r="O277" s="29">
        <f t="shared" si="81"/>
        <v>585517.75652984763</v>
      </c>
      <c r="P277" s="29">
        <f t="shared" si="88"/>
        <v>585517.75652984763</v>
      </c>
      <c r="Q277">
        <f t="shared" si="89"/>
        <v>0</v>
      </c>
      <c r="R277" s="29">
        <f t="shared" si="90"/>
        <v>585517.75652984763</v>
      </c>
      <c r="S277" s="29">
        <f t="shared" si="82"/>
        <v>585517.72905834741</v>
      </c>
      <c r="T277" s="29">
        <f t="shared" si="91"/>
        <v>585517.72905834741</v>
      </c>
      <c r="U277">
        <f t="shared" si="92"/>
        <v>0</v>
      </c>
      <c r="V277" s="29">
        <f t="shared" si="93"/>
        <v>585517.72905834741</v>
      </c>
      <c r="W277" s="29">
        <f t="shared" si="83"/>
        <v>585517.72905834811</v>
      </c>
      <c r="X277" s="29">
        <f t="shared" si="94"/>
        <v>585517.72905834811</v>
      </c>
      <c r="Y277">
        <f t="shared" si="95"/>
        <v>0</v>
      </c>
    </row>
    <row r="278" spans="1:25" x14ac:dyDescent="0.25">
      <c r="A278" s="4" t="s">
        <v>1188</v>
      </c>
      <c r="B278" s="7" t="s">
        <v>243</v>
      </c>
      <c r="C278" s="2" t="s">
        <v>1189</v>
      </c>
      <c r="D278">
        <f>VLOOKUP(B278,'Model allocations'!$A$1:$L$317,3,FALSE)</f>
        <v>24089.814939311054</v>
      </c>
      <c r="E278" s="31">
        <f>VLOOKUP(B278,'Initial adjusted formula count'!$A$1:$P$317,12,FALSE)</f>
        <v>0.10958904109589</v>
      </c>
      <c r="F278">
        <f>VLOOKUP(B278,'Model allocations'!$A$1:$L$317,8,FALSE)</f>
        <v>20859.925956436204</v>
      </c>
      <c r="G278" s="30">
        <f t="shared" si="84"/>
        <v>0.85</v>
      </c>
      <c r="H278">
        <f t="shared" si="85"/>
        <v>20476.342698414395</v>
      </c>
      <c r="I278">
        <f t="shared" si="77"/>
        <v>0</v>
      </c>
      <c r="J278">
        <f t="shared" si="78"/>
        <v>20859.925956436204</v>
      </c>
      <c r="K278">
        <f t="shared" si="79"/>
        <v>20850.365735803483</v>
      </c>
      <c r="L278">
        <f t="shared" si="86"/>
        <v>20850.365735803483</v>
      </c>
      <c r="M278">
        <f t="shared" si="80"/>
        <v>0</v>
      </c>
      <c r="N278" s="29">
        <f t="shared" si="87"/>
        <v>20850.365735803483</v>
      </c>
      <c r="O278" s="29">
        <f t="shared" si="81"/>
        <v>20849.296968421881</v>
      </c>
      <c r="P278" s="29">
        <f t="shared" si="88"/>
        <v>20849.296968421881</v>
      </c>
      <c r="Q278">
        <f t="shared" si="89"/>
        <v>0</v>
      </c>
      <c r="R278" s="29">
        <f t="shared" si="90"/>
        <v>20849.296968421881</v>
      </c>
      <c r="S278" s="29">
        <f t="shared" si="82"/>
        <v>20849.295990208226</v>
      </c>
      <c r="T278" s="29">
        <f t="shared" si="91"/>
        <v>20849.295990208226</v>
      </c>
      <c r="U278">
        <f t="shared" si="92"/>
        <v>0</v>
      </c>
      <c r="V278" s="29">
        <f t="shared" si="93"/>
        <v>20849.295990208226</v>
      </c>
      <c r="W278" s="29">
        <f t="shared" si="83"/>
        <v>20849.295990208251</v>
      </c>
      <c r="X278" s="29">
        <f t="shared" si="94"/>
        <v>20849.295990208251</v>
      </c>
      <c r="Y278">
        <f t="shared" si="95"/>
        <v>0</v>
      </c>
    </row>
    <row r="279" spans="1:25" x14ac:dyDescent="0.25">
      <c r="A279" s="4" t="s">
        <v>1190</v>
      </c>
      <c r="B279" s="7" t="s">
        <v>245</v>
      </c>
      <c r="C279" s="2" t="s">
        <v>1191</v>
      </c>
      <c r="D279">
        <f>VLOOKUP(B279,'Model allocations'!$A$1:$L$317,3,FALSE)</f>
        <v>64526.290016011735</v>
      </c>
      <c r="E279" s="31">
        <f>VLOOKUP(B279,'Initial adjusted formula count'!$A$1:$P$317,12,FALSE)</f>
        <v>9.3589743589743604E-2</v>
      </c>
      <c r="F279">
        <f>VLOOKUP(B279,'Model allocations'!$A$1:$L$317,8,FALSE)</f>
        <v>63448.941450826787</v>
      </c>
      <c r="G279" s="30">
        <f t="shared" si="84"/>
        <v>0.85</v>
      </c>
      <c r="H279">
        <f t="shared" si="85"/>
        <v>54847.346513609977</v>
      </c>
      <c r="I279">
        <f t="shared" si="77"/>
        <v>0</v>
      </c>
      <c r="J279">
        <f t="shared" si="78"/>
        <v>63448.941450826787</v>
      </c>
      <c r="K279">
        <f t="shared" si="79"/>
        <v>63419.862446402258</v>
      </c>
      <c r="L279">
        <f t="shared" si="86"/>
        <v>63419.862446402258</v>
      </c>
      <c r="M279">
        <f t="shared" si="80"/>
        <v>0</v>
      </c>
      <c r="N279" s="29">
        <f t="shared" si="87"/>
        <v>63419.862446402258</v>
      </c>
      <c r="O279" s="29">
        <f t="shared" si="81"/>
        <v>63416.611612283217</v>
      </c>
      <c r="P279" s="29">
        <f t="shared" si="88"/>
        <v>63416.611612283217</v>
      </c>
      <c r="Q279">
        <f t="shared" si="89"/>
        <v>0</v>
      </c>
      <c r="R279" s="29">
        <f t="shared" si="90"/>
        <v>63416.611612283217</v>
      </c>
      <c r="S279" s="29">
        <f t="shared" si="82"/>
        <v>63416.608636883335</v>
      </c>
      <c r="T279" s="29">
        <f t="shared" si="91"/>
        <v>63416.608636883335</v>
      </c>
      <c r="U279">
        <f t="shared" si="92"/>
        <v>0</v>
      </c>
      <c r="V279" s="29">
        <f t="shared" si="93"/>
        <v>63416.608636883335</v>
      </c>
      <c r="W279" s="29">
        <f t="shared" si="83"/>
        <v>63416.608636883408</v>
      </c>
      <c r="X279" s="29">
        <f t="shared" si="94"/>
        <v>63416.608636883408</v>
      </c>
      <c r="Y279">
        <f t="shared" si="95"/>
        <v>0</v>
      </c>
    </row>
    <row r="280" spans="1:25" x14ac:dyDescent="0.25">
      <c r="A280" s="4" t="s">
        <v>1192</v>
      </c>
      <c r="B280" s="7" t="s">
        <v>608</v>
      </c>
      <c r="C280" s="2" t="s">
        <v>1193</v>
      </c>
      <c r="D280">
        <f>VLOOKUP(B280,'Model allocations'!$A$1:$L$317,3,FALSE)</f>
        <v>34902.060722446069</v>
      </c>
      <c r="E280" s="31">
        <f>VLOOKUP(B280,'Initial adjusted formula count'!$A$1:$P$317,12,FALSE)</f>
        <v>0.222772277227723</v>
      </c>
      <c r="F280">
        <f>VLOOKUP(B280,'Model allocations'!$A$1:$L$317,8,FALSE)</f>
        <v>39112.361168317882</v>
      </c>
      <c r="G280" s="30">
        <f t="shared" si="84"/>
        <v>0.9</v>
      </c>
      <c r="H280">
        <f t="shared" si="85"/>
        <v>31411.854650201461</v>
      </c>
      <c r="I280">
        <f t="shared" si="77"/>
        <v>0</v>
      </c>
      <c r="J280">
        <f t="shared" si="78"/>
        <v>39112.361168317882</v>
      </c>
      <c r="K280">
        <f t="shared" si="79"/>
        <v>39094.435754631522</v>
      </c>
      <c r="L280">
        <f t="shared" si="86"/>
        <v>39094.435754631522</v>
      </c>
      <c r="M280">
        <f t="shared" si="80"/>
        <v>0</v>
      </c>
      <c r="N280" s="29">
        <f t="shared" si="87"/>
        <v>39094.435754631522</v>
      </c>
      <c r="O280" s="29">
        <f t="shared" si="81"/>
        <v>39092.431815791017</v>
      </c>
      <c r="P280" s="29">
        <f t="shared" si="88"/>
        <v>39092.431815791017</v>
      </c>
      <c r="Q280">
        <f t="shared" si="89"/>
        <v>0</v>
      </c>
      <c r="R280" s="29">
        <f t="shared" si="90"/>
        <v>39092.431815791017</v>
      </c>
      <c r="S280" s="29">
        <f t="shared" si="82"/>
        <v>39092.429981640409</v>
      </c>
      <c r="T280" s="29">
        <f t="shared" si="91"/>
        <v>39092.429981640409</v>
      </c>
      <c r="U280">
        <f t="shared" si="92"/>
        <v>0</v>
      </c>
      <c r="V280" s="29">
        <f t="shared" si="93"/>
        <v>39092.429981640409</v>
      </c>
      <c r="W280" s="29">
        <f t="shared" si="83"/>
        <v>39092.429981640453</v>
      </c>
      <c r="X280" s="29">
        <f t="shared" si="94"/>
        <v>39092.429981640453</v>
      </c>
      <c r="Y280">
        <f t="shared" si="95"/>
        <v>0</v>
      </c>
    </row>
    <row r="281" spans="1:25" x14ac:dyDescent="0.25">
      <c r="A281" s="4" t="s">
        <v>43</v>
      </c>
      <c r="B281" s="7" t="s">
        <v>60</v>
      </c>
      <c r="C281" s="2" t="s">
        <v>1194</v>
      </c>
      <c r="D281">
        <f>VLOOKUP(B281,'Model allocations'!$A$1:$L$317,3,FALSE)</f>
        <v>394644.16849933227</v>
      </c>
      <c r="E281" s="31">
        <f>VLOOKUP(B281,'Initial adjusted formula count'!$A$1:$P$317,12,FALSE)</f>
        <v>0.223686849909671</v>
      </c>
      <c r="F281">
        <f>VLOOKUP(B281,'Model allocations'!$A$1:$L$317,8,FALSE)</f>
        <v>438829.90563110972</v>
      </c>
      <c r="G281" s="30">
        <f t="shared" si="84"/>
        <v>0.9</v>
      </c>
      <c r="H281">
        <f t="shared" si="85"/>
        <v>355179.75164939906</v>
      </c>
      <c r="I281">
        <f t="shared" si="77"/>
        <v>0</v>
      </c>
      <c r="J281">
        <f t="shared" si="78"/>
        <v>438829.90563110972</v>
      </c>
      <c r="K281">
        <f t="shared" si="79"/>
        <v>438628.78743314336</v>
      </c>
      <c r="L281">
        <f t="shared" si="86"/>
        <v>438628.78743314336</v>
      </c>
      <c r="M281">
        <f t="shared" si="80"/>
        <v>0</v>
      </c>
      <c r="N281" s="29">
        <f t="shared" si="87"/>
        <v>438628.78743314336</v>
      </c>
      <c r="O281" s="29">
        <f t="shared" si="81"/>
        <v>438606.30379201297</v>
      </c>
      <c r="P281" s="29">
        <f t="shared" si="88"/>
        <v>438606.30379201297</v>
      </c>
      <c r="Q281">
        <f t="shared" si="89"/>
        <v>0</v>
      </c>
      <c r="R281" s="29">
        <f t="shared" si="90"/>
        <v>438606.30379201297</v>
      </c>
      <c r="S281" s="29">
        <f t="shared" si="82"/>
        <v>438606.28321334894</v>
      </c>
      <c r="T281" s="29">
        <f t="shared" si="91"/>
        <v>438606.28321334894</v>
      </c>
      <c r="U281">
        <f t="shared" si="92"/>
        <v>0</v>
      </c>
      <c r="V281" s="29">
        <f t="shared" si="93"/>
        <v>438606.28321334894</v>
      </c>
      <c r="W281" s="29">
        <f t="shared" si="83"/>
        <v>438606.28321334941</v>
      </c>
      <c r="X281" s="29">
        <f t="shared" si="94"/>
        <v>438606.28321334941</v>
      </c>
      <c r="Y281">
        <f t="shared" si="95"/>
        <v>0</v>
      </c>
    </row>
    <row r="282" spans="1:25" x14ac:dyDescent="0.25">
      <c r="A282" s="4" t="s">
        <v>1195</v>
      </c>
      <c r="B282" s="7" t="s">
        <v>247</v>
      </c>
      <c r="C282" s="2" t="s">
        <v>1196</v>
      </c>
      <c r="D282">
        <f>VLOOKUP(B282,'Model allocations'!$A$1:$L$317,3,FALSE)</f>
        <v>565250.30054026283</v>
      </c>
      <c r="E282" s="31">
        <f>VLOOKUP(B282,'Initial adjusted formula count'!$A$1:$P$317,12,FALSE)</f>
        <v>9.2996222028480097E-2</v>
      </c>
      <c r="F282">
        <f>VLOOKUP(B282,'Model allocations'!$A$1:$L$317,8,FALSE)</f>
        <v>556264.69217163185</v>
      </c>
      <c r="G282" s="30">
        <f t="shared" si="84"/>
        <v>0.85</v>
      </c>
      <c r="H282">
        <f t="shared" si="85"/>
        <v>480462.75545922341</v>
      </c>
      <c r="I282">
        <f t="shared" si="77"/>
        <v>0</v>
      </c>
      <c r="J282">
        <f t="shared" si="78"/>
        <v>556264.69217163185</v>
      </c>
      <c r="K282">
        <f t="shared" si="79"/>
        <v>556009.75295475929</v>
      </c>
      <c r="L282">
        <f t="shared" si="86"/>
        <v>556009.75295475929</v>
      </c>
      <c r="M282">
        <f t="shared" si="80"/>
        <v>0</v>
      </c>
      <c r="N282" s="29">
        <f t="shared" si="87"/>
        <v>556009.75295475929</v>
      </c>
      <c r="O282" s="29">
        <f t="shared" si="81"/>
        <v>555981.25249124982</v>
      </c>
      <c r="P282" s="29">
        <f t="shared" si="88"/>
        <v>555981.25249124982</v>
      </c>
      <c r="Q282">
        <f t="shared" si="89"/>
        <v>0</v>
      </c>
      <c r="R282" s="29">
        <f t="shared" si="90"/>
        <v>555981.25249124982</v>
      </c>
      <c r="S282" s="29">
        <f t="shared" si="82"/>
        <v>555981.22640555224</v>
      </c>
      <c r="T282" s="29">
        <f t="shared" si="91"/>
        <v>555981.22640555224</v>
      </c>
      <c r="U282">
        <f t="shared" si="92"/>
        <v>0</v>
      </c>
      <c r="V282" s="29">
        <f t="shared" si="93"/>
        <v>555981.22640555224</v>
      </c>
      <c r="W282" s="29">
        <f t="shared" si="83"/>
        <v>555981.22640555282</v>
      </c>
      <c r="X282" s="29">
        <f t="shared" si="94"/>
        <v>555981.22640555282</v>
      </c>
      <c r="Y282">
        <f t="shared" si="95"/>
        <v>0</v>
      </c>
    </row>
    <row r="283" spans="1:25" x14ac:dyDescent="0.25">
      <c r="A283" s="4" t="s">
        <v>1197</v>
      </c>
      <c r="B283" s="7" t="s">
        <v>610</v>
      </c>
      <c r="C283" s="2" t="s">
        <v>1198</v>
      </c>
      <c r="D283">
        <f>VLOOKUP(B283,'Model allocations'!$A$1:$L$317,3,FALSE)</f>
        <v>173790.80777645842</v>
      </c>
      <c r="E283" s="31">
        <f>VLOOKUP(B283,'Initial adjusted formula count'!$A$1:$P$317,12,FALSE)</f>
        <v>0.31358024691358</v>
      </c>
      <c r="F283">
        <f>VLOOKUP(B283,'Model allocations'!$A$1:$L$317,8,FALSE)</f>
        <v>220767.54970561652</v>
      </c>
      <c r="G283" s="30">
        <f t="shared" si="84"/>
        <v>0.95</v>
      </c>
      <c r="H283">
        <f t="shared" si="85"/>
        <v>165101.26738763548</v>
      </c>
      <c r="I283">
        <f t="shared" si="77"/>
        <v>0</v>
      </c>
      <c r="J283">
        <f t="shared" si="78"/>
        <v>220767.54970561652</v>
      </c>
      <c r="K283">
        <f t="shared" si="79"/>
        <v>220666.3707039202</v>
      </c>
      <c r="L283">
        <f t="shared" si="86"/>
        <v>220666.3707039202</v>
      </c>
      <c r="M283">
        <f t="shared" si="80"/>
        <v>0</v>
      </c>
      <c r="N283" s="29">
        <f t="shared" si="87"/>
        <v>220666.3707039202</v>
      </c>
      <c r="O283" s="29">
        <f t="shared" si="81"/>
        <v>220655.05958246486</v>
      </c>
      <c r="P283" s="29">
        <f t="shared" si="88"/>
        <v>220655.05958246486</v>
      </c>
      <c r="Q283">
        <f t="shared" si="89"/>
        <v>0</v>
      </c>
      <c r="R283" s="29">
        <f t="shared" si="90"/>
        <v>220655.05958246486</v>
      </c>
      <c r="S283" s="29">
        <f t="shared" si="82"/>
        <v>220655.04922970364</v>
      </c>
      <c r="T283" s="29">
        <f t="shared" si="91"/>
        <v>220655.04922970364</v>
      </c>
      <c r="U283">
        <f t="shared" si="92"/>
        <v>0</v>
      </c>
      <c r="V283" s="29">
        <f t="shared" si="93"/>
        <v>220655.04922970364</v>
      </c>
      <c r="W283" s="29">
        <f t="shared" si="83"/>
        <v>220655.04922970387</v>
      </c>
      <c r="X283" s="29">
        <f t="shared" si="94"/>
        <v>220655.04922970387</v>
      </c>
      <c r="Y283">
        <f t="shared" si="95"/>
        <v>0</v>
      </c>
    </row>
    <row r="284" spans="1:25" x14ac:dyDescent="0.25">
      <c r="A284" s="4" t="s">
        <v>1199</v>
      </c>
      <c r="B284" s="7" t="s">
        <v>249</v>
      </c>
      <c r="C284" s="2" t="s">
        <v>1200</v>
      </c>
      <c r="D284">
        <f>VLOOKUP(B284,'Model allocations'!$A$1:$L$317,3,FALSE)</f>
        <v>397481.94649863243</v>
      </c>
      <c r="E284" s="31">
        <f>VLOOKUP(B284,'Initial adjusted formula count'!$A$1:$P$317,12,FALSE)</f>
        <v>8.2897033158813305E-2</v>
      </c>
      <c r="F284">
        <f>VLOOKUP(B284,'Model allocations'!$A$1:$L$317,8,FALSE)</f>
        <v>412852.70122113317</v>
      </c>
      <c r="G284" s="30">
        <f t="shared" si="84"/>
        <v>0.85</v>
      </c>
      <c r="H284">
        <f t="shared" si="85"/>
        <v>337859.65452383755</v>
      </c>
      <c r="I284">
        <f t="shared" si="77"/>
        <v>0</v>
      </c>
      <c r="J284">
        <f t="shared" si="78"/>
        <v>412852.70122113317</v>
      </c>
      <c r="K284">
        <f t="shared" si="79"/>
        <v>412663.48852111056</v>
      </c>
      <c r="L284">
        <f t="shared" si="86"/>
        <v>412663.48852111056</v>
      </c>
      <c r="M284">
        <f t="shared" si="80"/>
        <v>0</v>
      </c>
      <c r="N284" s="29">
        <f t="shared" si="87"/>
        <v>412663.48852111056</v>
      </c>
      <c r="O284" s="29">
        <f t="shared" si="81"/>
        <v>412642.33583334961</v>
      </c>
      <c r="P284" s="29">
        <f t="shared" si="88"/>
        <v>412642.33583334961</v>
      </c>
      <c r="Q284">
        <f t="shared" si="89"/>
        <v>0</v>
      </c>
      <c r="R284" s="29">
        <f t="shared" si="90"/>
        <v>412642.33583334961</v>
      </c>
      <c r="S284" s="29">
        <f t="shared" si="82"/>
        <v>412642.316472871</v>
      </c>
      <c r="T284" s="29">
        <f t="shared" si="91"/>
        <v>412642.316472871</v>
      </c>
      <c r="U284">
        <f t="shared" si="92"/>
        <v>0</v>
      </c>
      <c r="V284" s="29">
        <f t="shared" si="93"/>
        <v>412642.316472871</v>
      </c>
      <c r="W284" s="29">
        <f t="shared" si="83"/>
        <v>412642.31647287146</v>
      </c>
      <c r="X284" s="29">
        <f t="shared" si="94"/>
        <v>412642.31647287146</v>
      </c>
      <c r="Y284">
        <f t="shared" si="95"/>
        <v>0</v>
      </c>
    </row>
    <row r="285" spans="1:25" x14ac:dyDescent="0.25">
      <c r="A285" s="4" t="s">
        <v>1201</v>
      </c>
      <c r="B285" s="7" t="s">
        <v>612</v>
      </c>
      <c r="C285" s="2" t="s">
        <v>1202</v>
      </c>
      <c r="D285">
        <f>VLOOKUP(B285,'Model allocations'!$A$1:$L$317,3,FALSE)</f>
        <v>56783.13521409034</v>
      </c>
      <c r="E285" s="31">
        <f>VLOOKUP(B285,'Initial adjusted formula count'!$A$1:$P$317,12,FALSE)</f>
        <v>0.26551724137930999</v>
      </c>
      <c r="F285">
        <f>VLOOKUP(B285,'Model allocations'!$A$1:$L$317,8,FALSE)</f>
        <v>66925.595776899485</v>
      </c>
      <c r="G285" s="30">
        <f t="shared" si="84"/>
        <v>0.9</v>
      </c>
      <c r="H285">
        <f t="shared" si="85"/>
        <v>51104.821692681304</v>
      </c>
      <c r="I285">
        <f t="shared" si="77"/>
        <v>0</v>
      </c>
      <c r="J285">
        <f t="shared" si="78"/>
        <v>66925.595776899485</v>
      </c>
      <c r="K285">
        <f t="shared" si="79"/>
        <v>66894.923402369503</v>
      </c>
      <c r="L285">
        <f t="shared" si="86"/>
        <v>66894.923402369503</v>
      </c>
      <c r="M285">
        <f t="shared" si="80"/>
        <v>0</v>
      </c>
      <c r="N285" s="29">
        <f t="shared" si="87"/>
        <v>66894.923402369503</v>
      </c>
      <c r="O285" s="29">
        <f t="shared" si="81"/>
        <v>66891.494440353519</v>
      </c>
      <c r="P285" s="29">
        <f t="shared" si="88"/>
        <v>66891.494440353519</v>
      </c>
      <c r="Q285">
        <f t="shared" si="89"/>
        <v>0</v>
      </c>
      <c r="R285" s="29">
        <f t="shared" si="90"/>
        <v>66891.494440353519</v>
      </c>
      <c r="S285" s="29">
        <f t="shared" si="82"/>
        <v>66891.491301918039</v>
      </c>
      <c r="T285" s="29">
        <f t="shared" si="91"/>
        <v>66891.491301918039</v>
      </c>
      <c r="U285">
        <f t="shared" si="92"/>
        <v>0</v>
      </c>
      <c r="V285" s="29">
        <f t="shared" si="93"/>
        <v>66891.491301918039</v>
      </c>
      <c r="W285" s="29">
        <f t="shared" si="83"/>
        <v>66891.491301918111</v>
      </c>
      <c r="X285" s="29">
        <f t="shared" si="94"/>
        <v>66891.491301918111</v>
      </c>
      <c r="Y285">
        <f t="shared" si="95"/>
        <v>0</v>
      </c>
    </row>
    <row r="286" spans="1:25" x14ac:dyDescent="0.25">
      <c r="A286" s="4" t="s">
        <v>49</v>
      </c>
      <c r="B286" s="7" t="s">
        <v>63</v>
      </c>
      <c r="C286" s="2" t="s">
        <v>1203</v>
      </c>
      <c r="D286">
        <f>VLOOKUP(B286,'Model allocations'!$A$1:$L$317,3,FALSE)</f>
        <v>2412367.6584831234</v>
      </c>
      <c r="E286" s="31">
        <f>VLOOKUP(B286,'Initial adjusted formula count'!$A$1:$P$317,12,FALSE)</f>
        <v>0.11026313976987</v>
      </c>
      <c r="F286">
        <f>VLOOKUP(B286,'Model allocations'!$A$1:$L$317,8,FALSE)</f>
        <v>2360210.8610772477</v>
      </c>
      <c r="G286" s="30">
        <f t="shared" si="84"/>
        <v>0.85</v>
      </c>
      <c r="H286">
        <f t="shared" si="85"/>
        <v>2050512.5097106548</v>
      </c>
      <c r="I286">
        <f t="shared" si="77"/>
        <v>0</v>
      </c>
      <c r="J286">
        <f t="shared" si="78"/>
        <v>2360210.8610772477</v>
      </c>
      <c r="K286">
        <f t="shared" si="79"/>
        <v>2359129.1632505739</v>
      </c>
      <c r="L286">
        <f t="shared" si="86"/>
        <v>2359129.1632505739</v>
      </c>
      <c r="M286">
        <f t="shared" si="80"/>
        <v>0</v>
      </c>
      <c r="N286" s="29">
        <f t="shared" si="87"/>
        <v>2359129.1632505739</v>
      </c>
      <c r="O286" s="29">
        <f t="shared" si="81"/>
        <v>2359008.2368202838</v>
      </c>
      <c r="P286" s="29">
        <f t="shared" si="88"/>
        <v>2359008.2368202838</v>
      </c>
      <c r="Q286">
        <f t="shared" si="89"/>
        <v>0</v>
      </c>
      <c r="R286" s="29">
        <f t="shared" si="90"/>
        <v>2359008.2368202838</v>
      </c>
      <c r="S286" s="29">
        <f t="shared" si="82"/>
        <v>2359008.126139618</v>
      </c>
      <c r="T286" s="29">
        <f t="shared" si="91"/>
        <v>2359008.126139618</v>
      </c>
      <c r="U286">
        <f t="shared" si="92"/>
        <v>0</v>
      </c>
      <c r="V286" s="29">
        <f t="shared" si="93"/>
        <v>2359008.126139618</v>
      </c>
      <c r="W286" s="29">
        <f t="shared" si="83"/>
        <v>2359008.1261396208</v>
      </c>
      <c r="X286" s="29">
        <f t="shared" si="94"/>
        <v>2359008.1261396208</v>
      </c>
      <c r="Y286">
        <f t="shared" si="95"/>
        <v>0</v>
      </c>
    </row>
    <row r="287" spans="1:25" x14ac:dyDescent="0.25">
      <c r="A287" s="4" t="s">
        <v>1204</v>
      </c>
      <c r="B287" s="7" t="s">
        <v>251</v>
      </c>
      <c r="C287" s="2" t="s">
        <v>1205</v>
      </c>
      <c r="D287">
        <f>VLOOKUP(B287,'Model allocations'!$A$1:$L$317,3,FALSE)</f>
        <v>103696.28457698962</v>
      </c>
      <c r="E287" s="31">
        <f>VLOOKUP(B287,'Initial adjusted formula count'!$A$1:$P$317,12,FALSE)</f>
        <v>8.0508474576271194E-2</v>
      </c>
      <c r="F287">
        <f>VLOOKUP(B287,'Model allocations'!$A$1:$L$317,8,FALSE)</f>
        <v>99084.648293071965</v>
      </c>
      <c r="G287" s="30">
        <f t="shared" si="84"/>
        <v>0.85</v>
      </c>
      <c r="H287">
        <f t="shared" si="85"/>
        <v>88141.841890441181</v>
      </c>
      <c r="I287">
        <f t="shared" si="77"/>
        <v>0</v>
      </c>
      <c r="J287">
        <f t="shared" si="78"/>
        <v>99084.648293071965</v>
      </c>
      <c r="K287">
        <f t="shared" si="79"/>
        <v>99039.237245066528</v>
      </c>
      <c r="L287">
        <f t="shared" si="86"/>
        <v>99039.237245066528</v>
      </c>
      <c r="M287">
        <f t="shared" si="80"/>
        <v>0</v>
      </c>
      <c r="N287" s="29">
        <f t="shared" si="87"/>
        <v>99039.237245066528</v>
      </c>
      <c r="O287" s="29">
        <f t="shared" si="81"/>
        <v>99034.160600003903</v>
      </c>
      <c r="P287" s="29">
        <f t="shared" si="88"/>
        <v>99034.160600003903</v>
      </c>
      <c r="Q287">
        <f t="shared" si="89"/>
        <v>0</v>
      </c>
      <c r="R287" s="29">
        <f t="shared" si="90"/>
        <v>99034.160600003903</v>
      </c>
      <c r="S287" s="29">
        <f t="shared" si="82"/>
        <v>99034.155953489026</v>
      </c>
      <c r="T287" s="29">
        <f t="shared" si="91"/>
        <v>99034.155953489026</v>
      </c>
      <c r="U287">
        <f t="shared" si="92"/>
        <v>0</v>
      </c>
      <c r="V287" s="29">
        <f t="shared" si="93"/>
        <v>99034.155953489026</v>
      </c>
      <c r="W287" s="29">
        <f t="shared" si="83"/>
        <v>99034.155953489142</v>
      </c>
      <c r="X287" s="29">
        <f t="shared" si="94"/>
        <v>99034.155953489142</v>
      </c>
      <c r="Y287">
        <f t="shared" si="95"/>
        <v>0</v>
      </c>
    </row>
    <row r="288" spans="1:25" x14ac:dyDescent="0.25">
      <c r="A288" s="4" t="s">
        <v>1206</v>
      </c>
      <c r="B288" s="7" t="s">
        <v>614</v>
      </c>
      <c r="C288" s="2" t="s">
        <v>1207</v>
      </c>
      <c r="D288">
        <f>VLOOKUP(B288,'Model allocations'!$A$1:$L$317,3,FALSE)</f>
        <v>94638.558690150574</v>
      </c>
      <c r="E288" s="31">
        <f>VLOOKUP(B288,'Initial adjusted formula count'!$A$1:$P$317,12,FALSE)</f>
        <v>0.182539682539683</v>
      </c>
      <c r="F288">
        <f>VLOOKUP(B288,'Model allocations'!$A$1:$L$317,8,FALSE)</f>
        <v>85174.702821135521</v>
      </c>
      <c r="G288" s="30">
        <f t="shared" si="84"/>
        <v>0.9</v>
      </c>
      <c r="H288">
        <f t="shared" si="85"/>
        <v>85174.702821135521</v>
      </c>
      <c r="I288">
        <f t="shared" si="77"/>
        <v>0</v>
      </c>
      <c r="J288">
        <f t="shared" si="78"/>
        <v>85174.702821135521</v>
      </c>
      <c r="K288">
        <f t="shared" si="79"/>
        <v>85135.666778869738</v>
      </c>
      <c r="L288">
        <f t="shared" si="86"/>
        <v>85135.666778869738</v>
      </c>
      <c r="M288">
        <f t="shared" si="80"/>
        <v>85174.702821135521</v>
      </c>
      <c r="N288" s="29">
        <f t="shared" si="87"/>
        <v>0</v>
      </c>
      <c r="O288" s="29">
        <f t="shared" si="81"/>
        <v>0</v>
      </c>
      <c r="P288" s="29">
        <f t="shared" si="88"/>
        <v>85174.702821135521</v>
      </c>
      <c r="Q288">
        <f t="shared" si="89"/>
        <v>0</v>
      </c>
      <c r="R288" s="29">
        <f t="shared" si="90"/>
        <v>0</v>
      </c>
      <c r="S288" s="29">
        <f t="shared" si="82"/>
        <v>0</v>
      </c>
      <c r="T288" s="29">
        <f t="shared" si="91"/>
        <v>85174.702821135521</v>
      </c>
      <c r="U288">
        <f t="shared" si="92"/>
        <v>0</v>
      </c>
      <c r="V288" s="29">
        <f t="shared" si="93"/>
        <v>0</v>
      </c>
      <c r="W288" s="29">
        <f t="shared" si="83"/>
        <v>0</v>
      </c>
      <c r="X288" s="29">
        <f t="shared" si="94"/>
        <v>85174.702821135521</v>
      </c>
      <c r="Y288">
        <f t="shared" si="95"/>
        <v>0</v>
      </c>
    </row>
    <row r="289" spans="1:25" x14ac:dyDescent="0.25">
      <c r="A289" s="4" t="s">
        <v>1208</v>
      </c>
      <c r="B289" s="7" t="s">
        <v>616</v>
      </c>
      <c r="C289" s="2" t="s">
        <v>1209</v>
      </c>
      <c r="D289">
        <f>VLOOKUP(B289,'Model allocations'!$A$1:$L$317,3,FALSE)</f>
        <v>301983.03727493499</v>
      </c>
      <c r="E289" s="31">
        <f>VLOOKUP(B289,'Initial adjusted formula count'!$A$1:$P$317,12,FALSE)</f>
        <v>0.15193644488579899</v>
      </c>
      <c r="F289">
        <f>VLOOKUP(B289,'Model allocations'!$A$1:$L$317,8,FALSE)</f>
        <v>271784.73354744149</v>
      </c>
      <c r="G289" s="30">
        <f t="shared" si="84"/>
        <v>0.9</v>
      </c>
      <c r="H289">
        <f t="shared" si="85"/>
        <v>271784.73354744149</v>
      </c>
      <c r="I289">
        <f t="shared" si="77"/>
        <v>0</v>
      </c>
      <c r="J289">
        <f t="shared" si="78"/>
        <v>271784.73354744149</v>
      </c>
      <c r="K289">
        <f t="shared" si="79"/>
        <v>271660.17308530246</v>
      </c>
      <c r="L289">
        <f t="shared" si="86"/>
        <v>271660.17308530246</v>
      </c>
      <c r="M289">
        <f t="shared" si="80"/>
        <v>271784.73354744149</v>
      </c>
      <c r="N289" s="29">
        <f t="shared" si="87"/>
        <v>0</v>
      </c>
      <c r="O289" s="29">
        <f t="shared" si="81"/>
        <v>0</v>
      </c>
      <c r="P289" s="29">
        <f t="shared" si="88"/>
        <v>271784.73354744149</v>
      </c>
      <c r="Q289">
        <f t="shared" si="89"/>
        <v>0</v>
      </c>
      <c r="R289" s="29">
        <f t="shared" si="90"/>
        <v>0</v>
      </c>
      <c r="S289" s="29">
        <f t="shared" si="82"/>
        <v>0</v>
      </c>
      <c r="T289" s="29">
        <f t="shared" si="91"/>
        <v>271784.73354744149</v>
      </c>
      <c r="U289">
        <f t="shared" si="92"/>
        <v>0</v>
      </c>
      <c r="V289" s="29">
        <f t="shared" si="93"/>
        <v>0</v>
      </c>
      <c r="W289" s="29">
        <f t="shared" si="83"/>
        <v>0</v>
      </c>
      <c r="X289" s="29">
        <f t="shared" si="94"/>
        <v>271784.73354744149</v>
      </c>
      <c r="Y289">
        <f t="shared" si="95"/>
        <v>0</v>
      </c>
    </row>
    <row r="290" spans="1:25" x14ac:dyDescent="0.25">
      <c r="A290" s="4" t="s">
        <v>1210</v>
      </c>
      <c r="B290" s="7" t="s">
        <v>618</v>
      </c>
      <c r="C290" s="2" t="s">
        <v>1211</v>
      </c>
      <c r="D290">
        <f>VLOOKUP(B290,'Model allocations'!$A$1:$L$317,3,FALSE)</f>
        <v>26095.753734606653</v>
      </c>
      <c r="E290" s="31">
        <f>VLOOKUP(B290,'Initial adjusted formula count'!$A$1:$P$317,12,FALSE)</f>
        <v>0.134545454545455</v>
      </c>
      <c r="F290">
        <f>VLOOKUP(B290,'Model allocations'!$A$1:$L$317,8,FALSE)</f>
        <v>32159.052516172473</v>
      </c>
      <c r="G290" s="30">
        <f t="shared" si="84"/>
        <v>0.85</v>
      </c>
      <c r="H290">
        <f t="shared" si="85"/>
        <v>22181.390674415656</v>
      </c>
      <c r="I290">
        <f t="shared" si="77"/>
        <v>0</v>
      </c>
      <c r="J290">
        <f t="shared" si="78"/>
        <v>32159.052516172473</v>
      </c>
      <c r="K290">
        <f t="shared" si="79"/>
        <v>32144.313842697025</v>
      </c>
      <c r="L290">
        <f t="shared" si="86"/>
        <v>32144.313842697025</v>
      </c>
      <c r="M290">
        <f t="shared" si="80"/>
        <v>0</v>
      </c>
      <c r="N290" s="29">
        <f t="shared" si="87"/>
        <v>32144.313842697025</v>
      </c>
      <c r="O290" s="29">
        <f t="shared" si="81"/>
        <v>32142.666159650387</v>
      </c>
      <c r="P290" s="29">
        <f t="shared" si="88"/>
        <v>32142.666159650387</v>
      </c>
      <c r="Q290">
        <f t="shared" si="89"/>
        <v>0</v>
      </c>
      <c r="R290" s="29">
        <f t="shared" si="90"/>
        <v>32142.666159650387</v>
      </c>
      <c r="S290" s="29">
        <f t="shared" si="82"/>
        <v>32142.664651570998</v>
      </c>
      <c r="T290" s="29">
        <f t="shared" si="91"/>
        <v>32142.664651570998</v>
      </c>
      <c r="U290">
        <f t="shared" si="92"/>
        <v>0</v>
      </c>
      <c r="V290" s="29">
        <f t="shared" si="93"/>
        <v>32142.664651570998</v>
      </c>
      <c r="W290" s="29">
        <f t="shared" si="83"/>
        <v>32142.664651571034</v>
      </c>
      <c r="X290" s="29">
        <f t="shared" si="94"/>
        <v>32142.664651571034</v>
      </c>
      <c r="Y290">
        <f t="shared" si="95"/>
        <v>0</v>
      </c>
    </row>
    <row r="291" spans="1:25" x14ac:dyDescent="0.25">
      <c r="A291" s="4" t="s">
        <v>1212</v>
      </c>
      <c r="B291" s="7" t="s">
        <v>620</v>
      </c>
      <c r="C291" s="2" t="s">
        <v>1213</v>
      </c>
      <c r="D291">
        <f>VLOOKUP(B291,'Model allocations'!$A$1:$L$317,3,FALSE)</f>
        <v>708068.48910903581</v>
      </c>
      <c r="E291" s="31">
        <f>VLOOKUP(B291,'Initial adjusted formula count'!$A$1:$P$317,12,FALSE)</f>
        <v>0.17915473985519401</v>
      </c>
      <c r="F291">
        <f>VLOOKUP(B291,'Model allocations'!$A$1:$L$317,8,FALSE)</f>
        <v>924790.05073533824</v>
      </c>
      <c r="G291" s="30">
        <f t="shared" si="84"/>
        <v>0.9</v>
      </c>
      <c r="H291">
        <f t="shared" si="85"/>
        <v>637261.64019813226</v>
      </c>
      <c r="I291">
        <f t="shared" si="77"/>
        <v>0</v>
      </c>
      <c r="J291">
        <f t="shared" si="78"/>
        <v>924790.05073533824</v>
      </c>
      <c r="K291">
        <f t="shared" si="79"/>
        <v>924366.21428728756</v>
      </c>
      <c r="L291">
        <f t="shared" si="86"/>
        <v>924366.21428728756</v>
      </c>
      <c r="M291">
        <f t="shared" si="80"/>
        <v>0</v>
      </c>
      <c r="N291" s="29">
        <f t="shared" si="87"/>
        <v>924366.21428728756</v>
      </c>
      <c r="O291" s="29">
        <f t="shared" si="81"/>
        <v>924318.83226670313</v>
      </c>
      <c r="P291" s="29">
        <f t="shared" si="88"/>
        <v>924318.83226670313</v>
      </c>
      <c r="Q291">
        <f t="shared" si="89"/>
        <v>0</v>
      </c>
      <c r="R291" s="29">
        <f t="shared" si="90"/>
        <v>924318.83226670313</v>
      </c>
      <c r="S291" s="29">
        <f t="shared" si="82"/>
        <v>924318.788899231</v>
      </c>
      <c r="T291" s="29">
        <f t="shared" si="91"/>
        <v>924318.788899231</v>
      </c>
      <c r="U291">
        <f t="shared" si="92"/>
        <v>0</v>
      </c>
      <c r="V291" s="29">
        <f t="shared" si="93"/>
        <v>924318.788899231</v>
      </c>
      <c r="W291" s="29">
        <f t="shared" si="83"/>
        <v>924318.78889923205</v>
      </c>
      <c r="X291" s="29">
        <f t="shared" si="94"/>
        <v>924318.78889923205</v>
      </c>
      <c r="Y291">
        <f t="shared" si="95"/>
        <v>0</v>
      </c>
    </row>
    <row r="292" spans="1:25" x14ac:dyDescent="0.25">
      <c r="A292" s="4" t="s">
        <v>1214</v>
      </c>
      <c r="B292" s="7" t="s">
        <v>621</v>
      </c>
      <c r="C292" s="2" t="s">
        <v>1215</v>
      </c>
      <c r="D292">
        <f>VLOOKUP(B292,'Model allocations'!$A$1:$L$317,3,FALSE)</f>
        <v>734739.35564898723</v>
      </c>
      <c r="E292" s="31">
        <f>VLOOKUP(B292,'Initial adjusted formula count'!$A$1:$P$317,12,FALSE)</f>
        <v>0.21455170438269799</v>
      </c>
      <c r="F292">
        <f>VLOOKUP(B292,'Model allocations'!$A$1:$L$317,8,FALSE)</f>
        <v>661265.42008408858</v>
      </c>
      <c r="G292" s="30">
        <f t="shared" si="84"/>
        <v>0.9</v>
      </c>
      <c r="H292">
        <f t="shared" si="85"/>
        <v>661265.42008408858</v>
      </c>
      <c r="I292">
        <f t="shared" si="77"/>
        <v>0</v>
      </c>
      <c r="J292">
        <f t="shared" si="78"/>
        <v>661265.42008408858</v>
      </c>
      <c r="K292">
        <f t="shared" si="79"/>
        <v>660962.3584468615</v>
      </c>
      <c r="L292">
        <f t="shared" si="86"/>
        <v>660962.3584468615</v>
      </c>
      <c r="M292">
        <f t="shared" si="80"/>
        <v>661265.42008408858</v>
      </c>
      <c r="N292" s="29">
        <f t="shared" si="87"/>
        <v>0</v>
      </c>
      <c r="O292" s="29">
        <f t="shared" si="81"/>
        <v>0</v>
      </c>
      <c r="P292" s="29">
        <f t="shared" si="88"/>
        <v>661265.42008408858</v>
      </c>
      <c r="Q292">
        <f t="shared" si="89"/>
        <v>0</v>
      </c>
      <c r="R292" s="29">
        <f t="shared" si="90"/>
        <v>0</v>
      </c>
      <c r="S292" s="29">
        <f t="shared" si="82"/>
        <v>0</v>
      </c>
      <c r="T292" s="29">
        <f t="shared" si="91"/>
        <v>661265.42008408858</v>
      </c>
      <c r="U292">
        <f t="shared" si="92"/>
        <v>0</v>
      </c>
      <c r="V292" s="29">
        <f t="shared" si="93"/>
        <v>0</v>
      </c>
      <c r="W292" s="29">
        <f t="shared" si="83"/>
        <v>0</v>
      </c>
      <c r="X292" s="29">
        <f t="shared" si="94"/>
        <v>661265.42008408858</v>
      </c>
      <c r="Y292">
        <f t="shared" si="95"/>
        <v>0</v>
      </c>
    </row>
    <row r="293" spans="1:25" x14ac:dyDescent="0.25">
      <c r="A293" s="4" t="s">
        <v>1216</v>
      </c>
      <c r="B293" s="7" t="s">
        <v>623</v>
      </c>
      <c r="C293" s="2" t="s">
        <v>1217</v>
      </c>
      <c r="D293">
        <f>VLOOKUP(B293,'Model allocations'!$A$1:$L$317,3,FALSE)</f>
        <v>150561.34337069414</v>
      </c>
      <c r="E293" s="31">
        <f>VLOOKUP(B293,'Initial adjusted formula count'!$A$1:$P$317,12,FALSE)</f>
        <v>0.23298731257208799</v>
      </c>
      <c r="F293">
        <f>VLOOKUP(B293,'Model allocations'!$A$1:$L$317,8,FALSE)</f>
        <v>175571.04346667137</v>
      </c>
      <c r="G293" s="30">
        <f t="shared" si="84"/>
        <v>0.9</v>
      </c>
      <c r="H293">
        <f t="shared" si="85"/>
        <v>135505.20903362473</v>
      </c>
      <c r="I293">
        <f t="shared" si="77"/>
        <v>0</v>
      </c>
      <c r="J293">
        <f t="shared" si="78"/>
        <v>175571.04346667137</v>
      </c>
      <c r="K293">
        <f t="shared" si="79"/>
        <v>175490.57827634597</v>
      </c>
      <c r="L293">
        <f t="shared" si="86"/>
        <v>175490.57827634597</v>
      </c>
      <c r="M293">
        <f t="shared" si="80"/>
        <v>0</v>
      </c>
      <c r="N293" s="29">
        <f t="shared" si="87"/>
        <v>175490.57827634597</v>
      </c>
      <c r="O293" s="29">
        <f t="shared" si="81"/>
        <v>175481.58281755078</v>
      </c>
      <c r="P293" s="29">
        <f t="shared" si="88"/>
        <v>175481.58281755078</v>
      </c>
      <c r="Q293">
        <f t="shared" si="89"/>
        <v>0</v>
      </c>
      <c r="R293" s="29">
        <f t="shared" si="90"/>
        <v>175481.58281755078</v>
      </c>
      <c r="S293" s="29">
        <f t="shared" si="82"/>
        <v>175481.57458425249</v>
      </c>
      <c r="T293" s="29">
        <f t="shared" si="91"/>
        <v>175481.57458425249</v>
      </c>
      <c r="U293">
        <f t="shared" si="92"/>
        <v>0</v>
      </c>
      <c r="V293" s="29">
        <f t="shared" si="93"/>
        <v>175481.57458425249</v>
      </c>
      <c r="W293" s="29">
        <f t="shared" si="83"/>
        <v>175481.5745842527</v>
      </c>
      <c r="X293" s="29">
        <f t="shared" si="94"/>
        <v>175481.5745842527</v>
      </c>
      <c r="Y293">
        <f t="shared" si="95"/>
        <v>0</v>
      </c>
    </row>
    <row r="294" spans="1:25" x14ac:dyDescent="0.25">
      <c r="A294" s="4" t="s">
        <v>1218</v>
      </c>
      <c r="B294" s="7" t="s">
        <v>253</v>
      </c>
      <c r="C294" s="2" t="s">
        <v>1219</v>
      </c>
      <c r="D294">
        <f>VLOOKUP(B294,'Model allocations'!$A$1:$L$317,3,FALSE)</f>
        <v>239177.44832601695</v>
      </c>
      <c r="E294" s="31">
        <f>VLOOKUP(B294,'Initial adjusted formula count'!$A$1:$P$317,12,FALSE)</f>
        <v>6.7837190742218695E-2</v>
      </c>
      <c r="F294">
        <f>VLOOKUP(B294,'Model allocations'!$A$1:$L$317,8,FALSE)</f>
        <v>221636.71328713471</v>
      </c>
      <c r="G294" s="30">
        <f t="shared" si="84"/>
        <v>0.85</v>
      </c>
      <c r="H294">
        <f t="shared" si="85"/>
        <v>203300.83107711442</v>
      </c>
      <c r="I294">
        <f t="shared" si="77"/>
        <v>0</v>
      </c>
      <c r="J294">
        <f t="shared" si="78"/>
        <v>221636.71328713471</v>
      </c>
      <c r="K294">
        <f t="shared" si="79"/>
        <v>221535.13594291205</v>
      </c>
      <c r="L294">
        <f t="shared" si="86"/>
        <v>221535.13594291205</v>
      </c>
      <c r="M294">
        <f t="shared" si="80"/>
        <v>0</v>
      </c>
      <c r="N294" s="29">
        <f t="shared" si="87"/>
        <v>221535.13594291205</v>
      </c>
      <c r="O294" s="29">
        <f t="shared" si="81"/>
        <v>221523.7802894825</v>
      </c>
      <c r="P294" s="29">
        <f t="shared" si="88"/>
        <v>221523.7802894825</v>
      </c>
      <c r="Q294">
        <f t="shared" si="89"/>
        <v>0</v>
      </c>
      <c r="R294" s="29">
        <f t="shared" si="90"/>
        <v>221523.7802894825</v>
      </c>
      <c r="S294" s="29">
        <f t="shared" si="82"/>
        <v>221523.76989596241</v>
      </c>
      <c r="T294" s="29">
        <f t="shared" si="91"/>
        <v>221523.76989596241</v>
      </c>
      <c r="U294">
        <f t="shared" si="92"/>
        <v>0</v>
      </c>
      <c r="V294" s="29">
        <f t="shared" si="93"/>
        <v>221523.76989596241</v>
      </c>
      <c r="W294" s="29">
        <f t="shared" si="83"/>
        <v>221523.76989596267</v>
      </c>
      <c r="X294" s="29">
        <f t="shared" si="94"/>
        <v>221523.76989596267</v>
      </c>
      <c r="Y294">
        <f t="shared" si="95"/>
        <v>0</v>
      </c>
    </row>
    <row r="295" spans="1:25" x14ac:dyDescent="0.25">
      <c r="A295" s="4" t="s">
        <v>1220</v>
      </c>
      <c r="B295" s="7" t="s">
        <v>625</v>
      </c>
      <c r="C295" s="2" t="s">
        <v>1221</v>
      </c>
      <c r="D295">
        <f>VLOOKUP(B295,'Model allocations'!$A$1:$L$317,3,FALSE)</f>
        <v>0</v>
      </c>
      <c r="E295" s="31">
        <f>VLOOKUP(B295,'Initial adjusted formula count'!$A$1:$P$317,12,FALSE)</f>
        <v>3.03030303030303E-2</v>
      </c>
      <c r="F295">
        <f>VLOOKUP(B295,'Model allocations'!$A$1:$L$317,8,FALSE)</f>
        <v>0</v>
      </c>
      <c r="G295" s="30">
        <f t="shared" si="84"/>
        <v>0.85</v>
      </c>
      <c r="H295">
        <f t="shared" si="85"/>
        <v>0</v>
      </c>
      <c r="I295">
        <f t="shared" si="77"/>
        <v>0</v>
      </c>
      <c r="J295">
        <f t="shared" si="78"/>
        <v>0</v>
      </c>
      <c r="K295">
        <f t="shared" si="79"/>
        <v>0</v>
      </c>
      <c r="L295">
        <f t="shared" si="86"/>
        <v>0</v>
      </c>
      <c r="M295">
        <f t="shared" si="80"/>
        <v>0</v>
      </c>
      <c r="N295" s="29">
        <f t="shared" si="87"/>
        <v>0</v>
      </c>
      <c r="O295" s="29">
        <f t="shared" si="81"/>
        <v>0</v>
      </c>
      <c r="P295" s="29">
        <f t="shared" si="88"/>
        <v>0</v>
      </c>
      <c r="Q295">
        <f t="shared" si="89"/>
        <v>0</v>
      </c>
      <c r="R295" s="29">
        <f t="shared" si="90"/>
        <v>0</v>
      </c>
      <c r="S295" s="29">
        <f t="shared" si="82"/>
        <v>0</v>
      </c>
      <c r="T295" s="29">
        <f t="shared" si="91"/>
        <v>0</v>
      </c>
      <c r="U295">
        <f t="shared" si="92"/>
        <v>0</v>
      </c>
      <c r="V295" s="29">
        <f t="shared" si="93"/>
        <v>0</v>
      </c>
      <c r="W295" s="29">
        <f t="shared" si="83"/>
        <v>0</v>
      </c>
      <c r="X295" s="29">
        <f t="shared" si="94"/>
        <v>0</v>
      </c>
      <c r="Y295">
        <f t="shared" si="95"/>
        <v>0</v>
      </c>
    </row>
    <row r="296" spans="1:25" x14ac:dyDescent="0.25">
      <c r="A296" s="4" t="s">
        <v>1222</v>
      </c>
      <c r="B296" s="7" t="s">
        <v>627</v>
      </c>
      <c r="C296" s="2" t="s">
        <v>1223</v>
      </c>
      <c r="D296">
        <f>VLOOKUP(B296,'Model allocations'!$A$1:$L$317,3,FALSE)</f>
        <v>36134.722408966583</v>
      </c>
      <c r="E296" s="31">
        <f>VLOOKUP(B296,'Initial adjusted formula count'!$A$1:$P$317,12,FALSE)</f>
        <v>0.11782477341389699</v>
      </c>
      <c r="F296">
        <f>VLOOKUP(B296,'Model allocations'!$A$1:$L$317,8,FALSE)</f>
        <v>33897.379679208825</v>
      </c>
      <c r="G296" s="30">
        <f t="shared" si="84"/>
        <v>0.85</v>
      </c>
      <c r="H296">
        <f t="shared" si="85"/>
        <v>30714.514047621597</v>
      </c>
      <c r="I296">
        <f t="shared" si="77"/>
        <v>0</v>
      </c>
      <c r="J296">
        <f t="shared" si="78"/>
        <v>33897.379679208825</v>
      </c>
      <c r="K296">
        <f t="shared" si="79"/>
        <v>33881.844320680655</v>
      </c>
      <c r="L296">
        <f t="shared" si="86"/>
        <v>33881.844320680655</v>
      </c>
      <c r="M296">
        <f t="shared" si="80"/>
        <v>0</v>
      </c>
      <c r="N296" s="29">
        <f t="shared" si="87"/>
        <v>33881.844320680655</v>
      </c>
      <c r="O296" s="29">
        <f t="shared" si="81"/>
        <v>33880.107573685549</v>
      </c>
      <c r="P296" s="29">
        <f t="shared" si="88"/>
        <v>33880.107573685549</v>
      </c>
      <c r="Q296">
        <f t="shared" si="89"/>
        <v>0</v>
      </c>
      <c r="R296" s="29">
        <f t="shared" si="90"/>
        <v>33880.107573685549</v>
      </c>
      <c r="S296" s="29">
        <f t="shared" si="82"/>
        <v>33880.105984088361</v>
      </c>
      <c r="T296" s="29">
        <f t="shared" si="91"/>
        <v>33880.105984088361</v>
      </c>
      <c r="U296">
        <f t="shared" si="92"/>
        <v>0</v>
      </c>
      <c r="V296" s="29">
        <f t="shared" si="93"/>
        <v>33880.105984088361</v>
      </c>
      <c r="W296" s="29">
        <f t="shared" si="83"/>
        <v>33880.105984088397</v>
      </c>
      <c r="X296" s="29">
        <f t="shared" si="94"/>
        <v>33880.105984088397</v>
      </c>
      <c r="Y296">
        <f t="shared" si="95"/>
        <v>0</v>
      </c>
    </row>
    <row r="297" spans="1:25" x14ac:dyDescent="0.25">
      <c r="A297" s="4" t="s">
        <v>1224</v>
      </c>
      <c r="B297" s="7" t="s">
        <v>629</v>
      </c>
      <c r="C297" s="2" t="s">
        <v>1225</v>
      </c>
      <c r="D297">
        <f>VLOOKUP(B297,'Model allocations'!$A$1:$L$317,3,FALSE)</f>
        <v>58897.227469127742</v>
      </c>
      <c r="E297" s="31">
        <f>VLOOKUP(B297,'Initial adjusted formula count'!$A$1:$P$317,12,FALSE)</f>
        <v>0.264984227129338</v>
      </c>
      <c r="F297">
        <f>VLOOKUP(B297,'Model allocations'!$A$1:$L$317,8,FALSE)</f>
        <v>73009.740847526671</v>
      </c>
      <c r="G297" s="30">
        <f t="shared" si="84"/>
        <v>0.9</v>
      </c>
      <c r="H297">
        <f t="shared" si="85"/>
        <v>53007.504722214966</v>
      </c>
      <c r="I297">
        <f t="shared" si="77"/>
        <v>0</v>
      </c>
      <c r="J297">
        <f t="shared" si="78"/>
        <v>73009.740847526671</v>
      </c>
      <c r="K297">
        <f t="shared" si="79"/>
        <v>72976.280075312141</v>
      </c>
      <c r="L297">
        <f t="shared" si="86"/>
        <v>72976.280075312141</v>
      </c>
      <c r="M297">
        <f t="shared" si="80"/>
        <v>0</v>
      </c>
      <c r="N297" s="29">
        <f t="shared" si="87"/>
        <v>72976.280075312141</v>
      </c>
      <c r="O297" s="29">
        <f t="shared" si="81"/>
        <v>72972.539389476515</v>
      </c>
      <c r="P297" s="29">
        <f t="shared" si="88"/>
        <v>72972.539389476515</v>
      </c>
      <c r="Q297">
        <f t="shared" si="89"/>
        <v>0</v>
      </c>
      <c r="R297" s="29">
        <f t="shared" si="90"/>
        <v>72972.539389476515</v>
      </c>
      <c r="S297" s="29">
        <f t="shared" si="82"/>
        <v>72972.535965728719</v>
      </c>
      <c r="T297" s="29">
        <f t="shared" si="91"/>
        <v>72972.535965728719</v>
      </c>
      <c r="U297">
        <f t="shared" si="92"/>
        <v>0</v>
      </c>
      <c r="V297" s="29">
        <f t="shared" si="93"/>
        <v>72972.535965728719</v>
      </c>
      <c r="W297" s="29">
        <f t="shared" si="83"/>
        <v>72972.535965728792</v>
      </c>
      <c r="X297" s="29">
        <f t="shared" si="94"/>
        <v>72972.535965728792</v>
      </c>
      <c r="Y297">
        <f t="shared" si="95"/>
        <v>0</v>
      </c>
    </row>
    <row r="298" spans="1:25" x14ac:dyDescent="0.25">
      <c r="A298" s="4" t="s">
        <v>53</v>
      </c>
      <c r="B298" s="7" t="s">
        <v>64</v>
      </c>
      <c r="C298" s="2" t="s">
        <v>1226</v>
      </c>
      <c r="D298">
        <f>VLOOKUP(B298,'Model allocations'!$A$1:$L$317,3,FALSE)</f>
        <v>773299.95182445808</v>
      </c>
      <c r="E298" s="31">
        <f>VLOOKUP(B298,'Initial adjusted formula count'!$A$1:$P$317,12,FALSE)</f>
        <v>0.13374996360458399</v>
      </c>
      <c r="F298">
        <f>VLOOKUP(B298,'Model allocations'!$A$1:$L$317,8,FALSE)</f>
        <v>928656.38732570899</v>
      </c>
      <c r="G298" s="30">
        <f t="shared" si="84"/>
        <v>0.85</v>
      </c>
      <c r="H298">
        <f t="shared" si="85"/>
        <v>657304.95905078936</v>
      </c>
      <c r="I298">
        <f t="shared" si="77"/>
        <v>0</v>
      </c>
      <c r="J298">
        <f t="shared" si="78"/>
        <v>928656.38732570899</v>
      </c>
      <c r="K298">
        <f t="shared" si="79"/>
        <v>928230.7789139935</v>
      </c>
      <c r="L298">
        <f t="shared" si="86"/>
        <v>928230.7789139935</v>
      </c>
      <c r="M298">
        <f t="shared" si="80"/>
        <v>0</v>
      </c>
      <c r="N298" s="29">
        <f t="shared" si="87"/>
        <v>928230.7789139935</v>
      </c>
      <c r="O298" s="29">
        <f t="shared" si="81"/>
        <v>928183.19879997184</v>
      </c>
      <c r="P298" s="29">
        <f t="shared" si="88"/>
        <v>928183.19879997184</v>
      </c>
      <c r="Q298">
        <f t="shared" si="89"/>
        <v>0</v>
      </c>
      <c r="R298" s="29">
        <f t="shared" si="90"/>
        <v>928183.19879997184</v>
      </c>
      <c r="S298" s="29">
        <f t="shared" si="82"/>
        <v>928183.15525119018</v>
      </c>
      <c r="T298" s="29">
        <f t="shared" si="91"/>
        <v>928183.15525119018</v>
      </c>
      <c r="U298">
        <f t="shared" si="92"/>
        <v>0</v>
      </c>
      <c r="V298" s="29">
        <f t="shared" si="93"/>
        <v>928183.15525119018</v>
      </c>
      <c r="W298" s="29">
        <f t="shared" si="83"/>
        <v>928183.15525119135</v>
      </c>
      <c r="X298" s="29">
        <f t="shared" si="94"/>
        <v>928183.15525119135</v>
      </c>
      <c r="Y298">
        <f t="shared" si="95"/>
        <v>0</v>
      </c>
    </row>
    <row r="299" spans="1:25" x14ac:dyDescent="0.25">
      <c r="A299" s="4" t="s">
        <v>1227</v>
      </c>
      <c r="B299" s="7" t="s">
        <v>306</v>
      </c>
      <c r="C299" s="2" t="s">
        <v>1228</v>
      </c>
      <c r="D299">
        <f>VLOOKUP(B299,'Model allocations'!$A$1:$L$317,3,FALSE)</f>
        <v>374252.48209286825</v>
      </c>
      <c r="E299" s="31">
        <f>VLOOKUP(B299,'Initial adjusted formula count'!$A$1:$P$317,12,FALSE)</f>
        <v>0.108359133126935</v>
      </c>
      <c r="F299">
        <f>VLOOKUP(B299,'Model allocations'!$A$1:$L$317,8,FALSE)</f>
        <v>318114.609778938</v>
      </c>
      <c r="G299" s="30">
        <f t="shared" si="84"/>
        <v>0.85</v>
      </c>
      <c r="H299">
        <f t="shared" si="85"/>
        <v>318114.609778938</v>
      </c>
      <c r="I299">
        <f t="shared" si="77"/>
        <v>0</v>
      </c>
      <c r="J299">
        <f t="shared" si="78"/>
        <v>318114.609778938</v>
      </c>
      <c r="K299">
        <f t="shared" si="79"/>
        <v>317968.81607562717</v>
      </c>
      <c r="L299">
        <f t="shared" si="86"/>
        <v>317968.81607562717</v>
      </c>
      <c r="M299">
        <f t="shared" si="80"/>
        <v>318114.609778938</v>
      </c>
      <c r="N299" s="29">
        <f t="shared" si="87"/>
        <v>0</v>
      </c>
      <c r="O299" s="29">
        <f t="shared" si="81"/>
        <v>0</v>
      </c>
      <c r="P299" s="29">
        <f t="shared" si="88"/>
        <v>318114.609778938</v>
      </c>
      <c r="Q299">
        <f t="shared" si="89"/>
        <v>0</v>
      </c>
      <c r="R299" s="29">
        <f t="shared" si="90"/>
        <v>0</v>
      </c>
      <c r="S299" s="29">
        <f t="shared" si="82"/>
        <v>0</v>
      </c>
      <c r="T299" s="29">
        <f t="shared" si="91"/>
        <v>318114.609778938</v>
      </c>
      <c r="U299">
        <f t="shared" si="92"/>
        <v>0</v>
      </c>
      <c r="V299" s="29">
        <f t="shared" si="93"/>
        <v>0</v>
      </c>
      <c r="W299" s="29">
        <f t="shared" si="83"/>
        <v>0</v>
      </c>
      <c r="X299" s="29">
        <f t="shared" si="94"/>
        <v>318114.609778938</v>
      </c>
      <c r="Y299">
        <f t="shared" si="95"/>
        <v>0</v>
      </c>
    </row>
    <row r="300" spans="1:25" x14ac:dyDescent="0.25">
      <c r="A300" s="4" t="s">
        <v>1229</v>
      </c>
      <c r="B300" s="7" t="s">
        <v>255</v>
      </c>
      <c r="C300" s="2" t="s">
        <v>1230</v>
      </c>
      <c r="D300">
        <f>VLOOKUP(B300,'Model allocations'!$A$1:$L$317,3,FALSE)</f>
        <v>634938.69375755556</v>
      </c>
      <c r="E300" s="31">
        <f>VLOOKUP(B300,'Initial adjusted formula count'!$A$1:$P$317,12,FALSE)</f>
        <v>0.116534181240064</v>
      </c>
      <c r="F300">
        <f>VLOOKUP(B300,'Model allocations'!$A$1:$L$317,8,FALSE)</f>
        <v>637096.90525282221</v>
      </c>
      <c r="G300" s="30">
        <f t="shared" si="84"/>
        <v>0.85</v>
      </c>
      <c r="H300">
        <f t="shared" si="85"/>
        <v>539697.88969392225</v>
      </c>
      <c r="I300">
        <f t="shared" si="77"/>
        <v>0</v>
      </c>
      <c r="J300">
        <f t="shared" si="78"/>
        <v>637096.90525282221</v>
      </c>
      <c r="K300">
        <f t="shared" si="79"/>
        <v>636804.92018099781</v>
      </c>
      <c r="L300">
        <f t="shared" si="86"/>
        <v>636804.92018099781</v>
      </c>
      <c r="M300">
        <f t="shared" si="80"/>
        <v>0</v>
      </c>
      <c r="N300" s="29">
        <f t="shared" si="87"/>
        <v>636804.92018099781</v>
      </c>
      <c r="O300" s="29">
        <f t="shared" si="81"/>
        <v>636772.27824388468</v>
      </c>
      <c r="P300" s="29">
        <f t="shared" si="88"/>
        <v>636772.27824388468</v>
      </c>
      <c r="Q300">
        <f t="shared" si="89"/>
        <v>0</v>
      </c>
      <c r="R300" s="29">
        <f t="shared" si="90"/>
        <v>636772.27824388468</v>
      </c>
      <c r="S300" s="29">
        <f t="shared" si="82"/>
        <v>636772.24836760922</v>
      </c>
      <c r="T300" s="29">
        <f t="shared" si="91"/>
        <v>636772.24836760922</v>
      </c>
      <c r="U300">
        <f t="shared" si="92"/>
        <v>0</v>
      </c>
      <c r="V300" s="29">
        <f t="shared" si="93"/>
        <v>636772.24836760922</v>
      </c>
      <c r="W300" s="29">
        <f t="shared" si="83"/>
        <v>636772.24836760992</v>
      </c>
      <c r="X300" s="29">
        <f t="shared" si="94"/>
        <v>636772.24836760992</v>
      </c>
      <c r="Y300">
        <f t="shared" si="95"/>
        <v>0</v>
      </c>
    </row>
    <row r="301" spans="1:25" x14ac:dyDescent="0.25">
      <c r="A301" s="4" t="s">
        <v>13</v>
      </c>
      <c r="B301" s="7" t="s">
        <v>68</v>
      </c>
      <c r="C301" s="2" t="s">
        <v>1231</v>
      </c>
      <c r="D301">
        <f>VLOOKUP(B301,'Model allocations'!$A$1:$L$317,3,FALSE)</f>
        <v>0</v>
      </c>
      <c r="E301" s="31">
        <f>VLOOKUP(B301,'Initial adjusted formula count'!$A$1:$P$317,12,FALSE)</f>
        <v>7.0311301925765499E-2</v>
      </c>
      <c r="F301">
        <f>VLOOKUP(B301,'Model allocations'!$A$1:$L$317,8,FALSE)</f>
        <v>0</v>
      </c>
      <c r="G301" s="30">
        <f t="shared" si="84"/>
        <v>0.85</v>
      </c>
      <c r="H301">
        <f t="shared" si="85"/>
        <v>0</v>
      </c>
      <c r="I301">
        <f t="shared" si="77"/>
        <v>0</v>
      </c>
      <c r="J301">
        <f t="shared" si="78"/>
        <v>0</v>
      </c>
      <c r="K301">
        <f t="shared" si="79"/>
        <v>0</v>
      </c>
      <c r="L301">
        <f t="shared" si="86"/>
        <v>0</v>
      </c>
      <c r="M301">
        <f t="shared" si="80"/>
        <v>0</v>
      </c>
      <c r="N301" s="29">
        <f t="shared" si="87"/>
        <v>0</v>
      </c>
      <c r="O301" s="29">
        <f t="shared" si="81"/>
        <v>0</v>
      </c>
      <c r="P301" s="29">
        <f t="shared" si="88"/>
        <v>0</v>
      </c>
      <c r="Q301">
        <f t="shared" si="89"/>
        <v>0</v>
      </c>
      <c r="R301" s="29">
        <f t="shared" si="90"/>
        <v>0</v>
      </c>
      <c r="S301" s="29">
        <f t="shared" si="82"/>
        <v>0</v>
      </c>
      <c r="T301" s="29">
        <f t="shared" si="91"/>
        <v>0</v>
      </c>
      <c r="U301">
        <f t="shared" si="92"/>
        <v>0</v>
      </c>
      <c r="V301" s="29">
        <f t="shared" si="93"/>
        <v>0</v>
      </c>
      <c r="W301" s="29">
        <f t="shared" si="83"/>
        <v>0</v>
      </c>
      <c r="X301" s="29">
        <f t="shared" si="94"/>
        <v>0</v>
      </c>
      <c r="Y301">
        <f t="shared" si="95"/>
        <v>0</v>
      </c>
    </row>
    <row r="302" spans="1:25" x14ac:dyDescent="0.25">
      <c r="A302" s="4" t="s">
        <v>1232</v>
      </c>
      <c r="B302" s="7" t="s">
        <v>631</v>
      </c>
      <c r="C302" s="2" t="s">
        <v>1233</v>
      </c>
      <c r="D302">
        <f>VLOOKUP(B302,'Model allocations'!$A$1:$L$317,3,FALSE)</f>
        <v>76913.800480945938</v>
      </c>
      <c r="E302" s="31">
        <f>VLOOKUP(B302,'Initial adjusted formula count'!$A$1:$P$317,12,FALSE)</f>
        <v>0.20421052631578901</v>
      </c>
      <c r="F302">
        <f>VLOOKUP(B302,'Model allocations'!$A$1:$L$317,8,FALSE)</f>
        <v>84308.86740726298</v>
      </c>
      <c r="G302" s="30">
        <f t="shared" si="84"/>
        <v>0.9</v>
      </c>
      <c r="H302">
        <f t="shared" si="85"/>
        <v>69222.420432851344</v>
      </c>
      <c r="I302">
        <f t="shared" si="77"/>
        <v>0</v>
      </c>
      <c r="J302">
        <f t="shared" si="78"/>
        <v>84308.86740726298</v>
      </c>
      <c r="K302">
        <f t="shared" si="79"/>
        <v>84270.228182205727</v>
      </c>
      <c r="L302">
        <f t="shared" si="86"/>
        <v>84270.228182205727</v>
      </c>
      <c r="M302">
        <f t="shared" si="80"/>
        <v>0</v>
      </c>
      <c r="N302" s="29">
        <f t="shared" si="87"/>
        <v>84270.228182205727</v>
      </c>
      <c r="O302" s="29">
        <f t="shared" si="81"/>
        <v>84265.908580705072</v>
      </c>
      <c r="P302" s="29">
        <f t="shared" si="88"/>
        <v>84265.908580705072</v>
      </c>
      <c r="Q302">
        <f t="shared" si="89"/>
        <v>0</v>
      </c>
      <c r="R302" s="29">
        <f t="shared" si="90"/>
        <v>84265.908580705072</v>
      </c>
      <c r="S302" s="29">
        <f t="shared" si="82"/>
        <v>84265.904627091542</v>
      </c>
      <c r="T302" s="29">
        <f t="shared" si="91"/>
        <v>84265.904627091542</v>
      </c>
      <c r="U302">
        <f t="shared" si="92"/>
        <v>0</v>
      </c>
      <c r="V302" s="29">
        <f t="shared" si="93"/>
        <v>84265.904627091542</v>
      </c>
      <c r="W302" s="29">
        <f t="shared" si="83"/>
        <v>84265.90462709163</v>
      </c>
      <c r="X302" s="29">
        <f t="shared" si="94"/>
        <v>84265.90462709163</v>
      </c>
      <c r="Y302">
        <f t="shared" si="95"/>
        <v>0</v>
      </c>
    </row>
    <row r="303" spans="1:25" x14ac:dyDescent="0.25">
      <c r="A303" s="4" t="s">
        <v>1234</v>
      </c>
      <c r="B303" s="7" t="s">
        <v>256</v>
      </c>
      <c r="C303" s="2" t="s">
        <v>1235</v>
      </c>
      <c r="D303">
        <f>VLOOKUP(B303,'Model allocations'!$A$1:$L$317,3,FALSE)</f>
        <v>197778.34409386094</v>
      </c>
      <c r="E303" s="31">
        <f>VLOOKUP(B303,'Initial adjusted formula count'!$A$1:$P$317,12,FALSE)</f>
        <v>4.2054099746407399E-2</v>
      </c>
      <c r="F303">
        <f>VLOOKUP(B303,'Model allocations'!$A$1:$L$317,8,FALSE)</f>
        <v>172963.55272211684</v>
      </c>
      <c r="G303" s="30">
        <f t="shared" si="84"/>
        <v>0.85</v>
      </c>
      <c r="H303">
        <f t="shared" si="85"/>
        <v>168111.5924797818</v>
      </c>
      <c r="I303">
        <f t="shared" si="77"/>
        <v>0</v>
      </c>
      <c r="J303">
        <f t="shared" si="78"/>
        <v>172963.55272211684</v>
      </c>
      <c r="K303">
        <f t="shared" si="79"/>
        <v>172884.28255937053</v>
      </c>
      <c r="L303">
        <f t="shared" si="86"/>
        <v>172884.28255937053</v>
      </c>
      <c r="M303">
        <f t="shared" si="80"/>
        <v>0</v>
      </c>
      <c r="N303" s="29">
        <f t="shared" si="87"/>
        <v>172884.28255937053</v>
      </c>
      <c r="O303" s="29">
        <f t="shared" si="81"/>
        <v>172875.42069649804</v>
      </c>
      <c r="P303" s="29">
        <f t="shared" si="88"/>
        <v>172875.42069649804</v>
      </c>
      <c r="Q303">
        <f t="shared" si="89"/>
        <v>0</v>
      </c>
      <c r="R303" s="29">
        <f t="shared" si="90"/>
        <v>172875.42069649804</v>
      </c>
      <c r="S303" s="29">
        <f t="shared" si="82"/>
        <v>172875.41258547644</v>
      </c>
      <c r="T303" s="29">
        <f t="shared" si="91"/>
        <v>172875.41258547644</v>
      </c>
      <c r="U303">
        <f t="shared" si="92"/>
        <v>0</v>
      </c>
      <c r="V303" s="29">
        <f t="shared" si="93"/>
        <v>172875.41258547644</v>
      </c>
      <c r="W303" s="29">
        <f t="shared" si="83"/>
        <v>172875.41258547665</v>
      </c>
      <c r="X303" s="29">
        <f t="shared" si="94"/>
        <v>172875.41258547665</v>
      </c>
      <c r="Y303">
        <f t="shared" si="95"/>
        <v>0</v>
      </c>
    </row>
    <row r="304" spans="1:25" x14ac:dyDescent="0.25">
      <c r="A304" s="4" t="s">
        <v>1236</v>
      </c>
      <c r="B304" s="7" t="s">
        <v>307</v>
      </c>
      <c r="C304" s="2" t="s">
        <v>1237</v>
      </c>
      <c r="D304">
        <f>VLOOKUP(B304,'Model allocations'!$A$1:$L$317,3,FALSE)</f>
        <v>127331.87896492989</v>
      </c>
      <c r="E304" s="31">
        <f>VLOOKUP(B304,'Initial adjusted formula count'!$A$1:$P$317,12,FALSE)</f>
        <v>0.12266450040617401</v>
      </c>
      <c r="F304">
        <f>VLOOKUP(B304,'Model allocations'!$A$1:$L$317,8,FALSE)</f>
        <v>131243.70080924436</v>
      </c>
      <c r="G304" s="30">
        <f t="shared" si="84"/>
        <v>0.85</v>
      </c>
      <c r="H304">
        <f t="shared" si="85"/>
        <v>108232.0971201904</v>
      </c>
      <c r="I304">
        <f t="shared" si="77"/>
        <v>0</v>
      </c>
      <c r="J304">
        <f t="shared" si="78"/>
        <v>131243.70080924436</v>
      </c>
      <c r="K304">
        <f t="shared" si="79"/>
        <v>131183.55108776348</v>
      </c>
      <c r="L304">
        <f t="shared" si="86"/>
        <v>131183.55108776348</v>
      </c>
      <c r="M304">
        <f t="shared" si="80"/>
        <v>0</v>
      </c>
      <c r="N304" s="29">
        <f t="shared" si="87"/>
        <v>131183.55108776348</v>
      </c>
      <c r="O304" s="29">
        <f t="shared" si="81"/>
        <v>131176.82675965421</v>
      </c>
      <c r="P304" s="29">
        <f t="shared" si="88"/>
        <v>131176.82675965421</v>
      </c>
      <c r="Q304">
        <f t="shared" si="89"/>
        <v>0</v>
      </c>
      <c r="R304" s="29">
        <f t="shared" si="90"/>
        <v>131176.82675965421</v>
      </c>
      <c r="S304" s="29">
        <f t="shared" si="82"/>
        <v>131176.82060505994</v>
      </c>
      <c r="T304" s="29">
        <f t="shared" si="91"/>
        <v>131176.82060505994</v>
      </c>
      <c r="U304">
        <f t="shared" si="92"/>
        <v>0</v>
      </c>
      <c r="V304" s="29">
        <f t="shared" si="93"/>
        <v>131176.82060505994</v>
      </c>
      <c r="W304" s="29">
        <f t="shared" si="83"/>
        <v>131176.82060506009</v>
      </c>
      <c r="X304" s="29">
        <f t="shared" si="94"/>
        <v>131176.82060506009</v>
      </c>
      <c r="Y304">
        <f t="shared" si="95"/>
        <v>0</v>
      </c>
    </row>
    <row r="305" spans="1:25" x14ac:dyDescent="0.25">
      <c r="A305" s="4" t="s">
        <v>19</v>
      </c>
      <c r="B305" s="7" t="s">
        <v>70</v>
      </c>
      <c r="C305" s="2" t="s">
        <v>1238</v>
      </c>
      <c r="D305">
        <f>VLOOKUP(B305,'Model allocations'!$A$1:$L$317,3,FALSE)</f>
        <v>31042.97551993349</v>
      </c>
      <c r="E305" s="31">
        <f>VLOOKUP(B305,'Initial adjusted formula count'!$A$1:$P$317,12,FALSE)</f>
        <v>0.18500267811471999</v>
      </c>
      <c r="F305">
        <f>VLOOKUP(B305,'Model allocations'!$A$1:$L$317,8,FALSE)</f>
        <v>23530.047380660886</v>
      </c>
      <c r="G305" s="30">
        <f t="shared" si="84"/>
        <v>0.9</v>
      </c>
      <c r="H305">
        <f t="shared" si="85"/>
        <v>27938.677967940141</v>
      </c>
      <c r="I305">
        <f t="shared" si="77"/>
        <v>27938.677967940141</v>
      </c>
      <c r="J305">
        <f t="shared" si="78"/>
        <v>0</v>
      </c>
      <c r="K305">
        <f t="shared" si="79"/>
        <v>0</v>
      </c>
      <c r="L305">
        <f t="shared" si="86"/>
        <v>27938.677967940141</v>
      </c>
      <c r="M305">
        <f t="shared" si="80"/>
        <v>0</v>
      </c>
      <c r="N305" s="29">
        <f t="shared" si="87"/>
        <v>0</v>
      </c>
      <c r="O305" s="29">
        <f t="shared" si="81"/>
        <v>0</v>
      </c>
      <c r="P305" s="29">
        <f t="shared" si="88"/>
        <v>27938.677967940141</v>
      </c>
      <c r="Q305">
        <f t="shared" si="89"/>
        <v>0</v>
      </c>
      <c r="R305" s="29">
        <f t="shared" si="90"/>
        <v>0</v>
      </c>
      <c r="S305" s="29">
        <f t="shared" si="82"/>
        <v>0</v>
      </c>
      <c r="T305" s="29">
        <f t="shared" si="91"/>
        <v>27938.677967940141</v>
      </c>
      <c r="U305">
        <f t="shared" si="92"/>
        <v>0</v>
      </c>
      <c r="V305" s="29">
        <f t="shared" si="93"/>
        <v>0</v>
      </c>
      <c r="W305" s="29">
        <f t="shared" si="83"/>
        <v>0</v>
      </c>
      <c r="X305" s="29">
        <f t="shared" si="94"/>
        <v>27938.677967940141</v>
      </c>
      <c r="Y305">
        <f t="shared" si="95"/>
        <v>0</v>
      </c>
    </row>
    <row r="306" spans="1:25" x14ac:dyDescent="0.25">
      <c r="A306" s="4" t="s">
        <v>1239</v>
      </c>
      <c r="B306" s="7" t="s">
        <v>258</v>
      </c>
      <c r="C306" s="2" t="s">
        <v>1240</v>
      </c>
      <c r="D306">
        <f>VLOOKUP(B306,'Model allocations'!$A$1:$L$317,3,FALSE)</f>
        <v>28391.56760704517</v>
      </c>
      <c r="E306" s="31">
        <f>VLOOKUP(B306,'Initial adjusted formula count'!$A$1:$P$317,12,FALSE)</f>
        <v>0.12831858407079599</v>
      </c>
      <c r="F306">
        <f>VLOOKUP(B306,'Model allocations'!$A$1:$L$317,8,FALSE)</f>
        <v>25205.743864027078</v>
      </c>
      <c r="G306" s="30">
        <f t="shared" si="84"/>
        <v>0.85</v>
      </c>
      <c r="H306">
        <f t="shared" si="85"/>
        <v>24132.832465988395</v>
      </c>
      <c r="I306">
        <f t="shared" si="77"/>
        <v>0</v>
      </c>
      <c r="J306">
        <f t="shared" si="78"/>
        <v>25205.743864027078</v>
      </c>
      <c r="K306">
        <f t="shared" si="79"/>
        <v>25194.191930762536</v>
      </c>
      <c r="L306">
        <f t="shared" si="86"/>
        <v>25194.191930762536</v>
      </c>
      <c r="M306">
        <f t="shared" si="80"/>
        <v>0</v>
      </c>
      <c r="N306" s="29">
        <f t="shared" si="87"/>
        <v>25194.191930762536</v>
      </c>
      <c r="O306" s="29">
        <f t="shared" si="81"/>
        <v>25192.900503509765</v>
      </c>
      <c r="P306" s="29">
        <f t="shared" si="88"/>
        <v>25192.900503509765</v>
      </c>
      <c r="Q306">
        <f t="shared" si="89"/>
        <v>0</v>
      </c>
      <c r="R306" s="29">
        <f t="shared" si="90"/>
        <v>25192.900503509765</v>
      </c>
      <c r="S306" s="29">
        <f t="shared" si="82"/>
        <v>25192.899321501598</v>
      </c>
      <c r="T306" s="29">
        <f t="shared" si="91"/>
        <v>25192.899321501598</v>
      </c>
      <c r="U306">
        <f t="shared" si="92"/>
        <v>0</v>
      </c>
      <c r="V306" s="29">
        <f t="shared" si="93"/>
        <v>25192.899321501598</v>
      </c>
      <c r="W306" s="29">
        <f t="shared" si="83"/>
        <v>25192.899321501623</v>
      </c>
      <c r="X306" s="29">
        <f t="shared" si="94"/>
        <v>25192.899321501623</v>
      </c>
      <c r="Y306">
        <f t="shared" si="95"/>
        <v>0</v>
      </c>
    </row>
    <row r="307" spans="1:25" x14ac:dyDescent="0.25">
      <c r="A307" s="4" t="s">
        <v>1241</v>
      </c>
      <c r="B307" s="7" t="s">
        <v>633</v>
      </c>
      <c r="C307" s="2" t="s">
        <v>1242</v>
      </c>
      <c r="D307">
        <f>VLOOKUP(B307,'Model allocations'!$A$1:$L$317,3,FALSE)</f>
        <v>43542.987524510827</v>
      </c>
      <c r="E307" s="31">
        <f>VLOOKUP(B307,'Initial adjusted formula count'!$A$1:$P$317,12,FALSE)</f>
        <v>8.4639498432601906E-2</v>
      </c>
      <c r="F307">
        <f>VLOOKUP(B307,'Model allocations'!$A$1:$L$317,8,FALSE)</f>
        <v>37011.539395834203</v>
      </c>
      <c r="G307" s="30">
        <f t="shared" si="84"/>
        <v>0.85</v>
      </c>
      <c r="H307">
        <f t="shared" si="85"/>
        <v>37011.539395834203</v>
      </c>
      <c r="I307">
        <f t="shared" si="77"/>
        <v>0</v>
      </c>
      <c r="J307">
        <f t="shared" si="78"/>
        <v>37011.539395834203</v>
      </c>
      <c r="K307">
        <f t="shared" si="79"/>
        <v>36994.576800505733</v>
      </c>
      <c r="L307">
        <f t="shared" si="86"/>
        <v>36994.576800505733</v>
      </c>
      <c r="M307">
        <f t="shared" si="80"/>
        <v>37011.539395834203</v>
      </c>
      <c r="N307" s="29">
        <f t="shared" si="87"/>
        <v>0</v>
      </c>
      <c r="O307" s="29">
        <f t="shared" si="81"/>
        <v>0</v>
      </c>
      <c r="P307" s="29">
        <f t="shared" si="88"/>
        <v>37011.539395834203</v>
      </c>
      <c r="Q307">
        <f t="shared" si="89"/>
        <v>0</v>
      </c>
      <c r="R307" s="29">
        <f t="shared" si="90"/>
        <v>0</v>
      </c>
      <c r="S307" s="29">
        <f t="shared" si="82"/>
        <v>0</v>
      </c>
      <c r="T307" s="29">
        <f t="shared" si="91"/>
        <v>37011.539395834203</v>
      </c>
      <c r="U307">
        <f t="shared" si="92"/>
        <v>0</v>
      </c>
      <c r="V307" s="29">
        <f t="shared" si="93"/>
        <v>0</v>
      </c>
      <c r="W307" s="29">
        <f t="shared" si="83"/>
        <v>0</v>
      </c>
      <c r="X307" s="29">
        <f t="shared" si="94"/>
        <v>37011.539395834203</v>
      </c>
      <c r="Y307">
        <f t="shared" si="95"/>
        <v>0</v>
      </c>
    </row>
    <row r="308" spans="1:25" x14ac:dyDescent="0.25">
      <c r="A308" s="4" t="s">
        <v>1243</v>
      </c>
      <c r="B308" s="7" t="s">
        <v>635</v>
      </c>
      <c r="C308" s="2" t="s">
        <v>1244</v>
      </c>
      <c r="D308">
        <f>VLOOKUP(B308,'Model allocations'!$A$1:$L$317,3,FALSE)</f>
        <v>12905.258003202352</v>
      </c>
      <c r="E308" s="31">
        <f>VLOOKUP(B308,'Initial adjusted formula count'!$A$1:$P$317,12,FALSE)</f>
        <v>0.14285714285714299</v>
      </c>
      <c r="F308">
        <f>VLOOKUP(B308,'Model allocations'!$A$1:$L$317,8,FALSE)</f>
        <v>13906.617304290807</v>
      </c>
      <c r="G308" s="30">
        <f t="shared" si="84"/>
        <v>0.85</v>
      </c>
      <c r="H308">
        <f t="shared" si="85"/>
        <v>10969.469302722</v>
      </c>
      <c r="I308">
        <f t="shared" si="77"/>
        <v>0</v>
      </c>
      <c r="J308">
        <f t="shared" si="78"/>
        <v>13906.617304290807</v>
      </c>
      <c r="K308">
        <f t="shared" si="79"/>
        <v>13900.243823868992</v>
      </c>
      <c r="L308">
        <f t="shared" si="86"/>
        <v>13900.243823868992</v>
      </c>
      <c r="M308">
        <f t="shared" si="80"/>
        <v>0</v>
      </c>
      <c r="N308" s="29">
        <f t="shared" si="87"/>
        <v>13900.243823868992</v>
      </c>
      <c r="O308" s="29">
        <f t="shared" si="81"/>
        <v>13899.531312281257</v>
      </c>
      <c r="P308" s="29">
        <f t="shared" si="88"/>
        <v>13899.531312281257</v>
      </c>
      <c r="Q308">
        <f t="shared" si="89"/>
        <v>0</v>
      </c>
      <c r="R308" s="29">
        <f t="shared" si="90"/>
        <v>13899.531312281257</v>
      </c>
      <c r="S308" s="29">
        <f t="shared" si="82"/>
        <v>13899.530660138818</v>
      </c>
      <c r="T308" s="29">
        <f t="shared" si="91"/>
        <v>13899.530660138818</v>
      </c>
      <c r="U308">
        <f t="shared" si="92"/>
        <v>0</v>
      </c>
      <c r="V308" s="29">
        <f t="shared" si="93"/>
        <v>13899.530660138818</v>
      </c>
      <c r="W308" s="29">
        <f t="shared" si="83"/>
        <v>13899.530660138833</v>
      </c>
      <c r="X308" s="29">
        <f t="shared" si="94"/>
        <v>13899.530660138833</v>
      </c>
      <c r="Y308">
        <f t="shared" si="95"/>
        <v>0</v>
      </c>
    </row>
    <row r="309" spans="1:25" x14ac:dyDescent="0.25">
      <c r="A309" s="4" t="s">
        <v>1245</v>
      </c>
      <c r="B309" s="7" t="s">
        <v>637</v>
      </c>
      <c r="C309" s="2" t="s">
        <v>1246</v>
      </c>
      <c r="D309">
        <f>VLOOKUP(B309,'Model allocations'!$A$1:$L$317,3,FALSE)</f>
        <v>88616.104955322837</v>
      </c>
      <c r="E309" s="31">
        <f>VLOOKUP(B309,'Initial adjusted formula count'!$A$1:$P$317,12,FALSE)</f>
        <v>0.121654501216545</v>
      </c>
      <c r="F309">
        <f>VLOOKUP(B309,'Model allocations'!$A$1:$L$317,8,FALSE)</f>
        <v>86916.358151817491</v>
      </c>
      <c r="G309" s="30">
        <f t="shared" si="84"/>
        <v>0.85</v>
      </c>
      <c r="H309">
        <f t="shared" si="85"/>
        <v>75323.689212024416</v>
      </c>
      <c r="I309">
        <f t="shared" si="77"/>
        <v>0</v>
      </c>
      <c r="J309">
        <f t="shared" si="78"/>
        <v>86916.358151817491</v>
      </c>
      <c r="K309">
        <f t="shared" si="79"/>
        <v>86876.523899181149</v>
      </c>
      <c r="L309">
        <f t="shared" si="86"/>
        <v>86876.523899181149</v>
      </c>
      <c r="M309">
        <f t="shared" si="80"/>
        <v>0</v>
      </c>
      <c r="N309" s="29">
        <f t="shared" si="87"/>
        <v>86876.523899181149</v>
      </c>
      <c r="O309" s="29">
        <f t="shared" si="81"/>
        <v>86872.070701757795</v>
      </c>
      <c r="P309" s="29">
        <f t="shared" si="88"/>
        <v>86872.070701757795</v>
      </c>
      <c r="Q309">
        <f t="shared" si="89"/>
        <v>0</v>
      </c>
      <c r="R309" s="29">
        <f t="shared" si="90"/>
        <v>86872.070701757795</v>
      </c>
      <c r="S309" s="29">
        <f t="shared" si="82"/>
        <v>86872.066625867563</v>
      </c>
      <c r="T309" s="29">
        <f t="shared" si="91"/>
        <v>86872.066625867563</v>
      </c>
      <c r="U309">
        <f t="shared" si="92"/>
        <v>0</v>
      </c>
      <c r="V309" s="29">
        <f t="shared" si="93"/>
        <v>86872.066625867563</v>
      </c>
      <c r="W309" s="29">
        <f t="shared" si="83"/>
        <v>86872.066625867665</v>
      </c>
      <c r="X309" s="29">
        <f t="shared" si="94"/>
        <v>86872.066625867665</v>
      </c>
      <c r="Y309">
        <f t="shared" si="95"/>
        <v>0</v>
      </c>
    </row>
    <row r="310" spans="1:25" x14ac:dyDescent="0.25">
      <c r="A310" s="4" t="s">
        <v>1247</v>
      </c>
      <c r="B310" s="7" t="s">
        <v>639</v>
      </c>
      <c r="C310" s="2" t="s">
        <v>1248</v>
      </c>
      <c r="D310">
        <f>VLOOKUP(B310,'Model allocations'!$A$1:$L$317,3,FALSE)</f>
        <v>18067.361204483292</v>
      </c>
      <c r="E310" s="31">
        <f>VLOOKUP(B310,'Initial adjusted formula count'!$A$1:$P$317,12,FALSE)</f>
        <v>0.19047619047618999</v>
      </c>
      <c r="F310">
        <f>VLOOKUP(B310,'Model allocations'!$A$1:$L$317,8,FALSE)</f>
        <v>24336.580282508898</v>
      </c>
      <c r="G310" s="30">
        <f t="shared" si="84"/>
        <v>0.9</v>
      </c>
      <c r="H310">
        <f t="shared" si="85"/>
        <v>16260.625084034962</v>
      </c>
      <c r="I310">
        <f t="shared" si="77"/>
        <v>0</v>
      </c>
      <c r="J310">
        <f t="shared" si="78"/>
        <v>24336.580282508898</v>
      </c>
      <c r="K310">
        <f t="shared" si="79"/>
        <v>24325.426691770721</v>
      </c>
      <c r="L310">
        <f t="shared" si="86"/>
        <v>24325.426691770721</v>
      </c>
      <c r="M310">
        <f t="shared" si="80"/>
        <v>0</v>
      </c>
      <c r="N310" s="29">
        <f t="shared" si="87"/>
        <v>24325.426691770721</v>
      </c>
      <c r="O310" s="29">
        <f t="shared" si="81"/>
        <v>24324.179796492183</v>
      </c>
      <c r="P310" s="29">
        <f t="shared" si="88"/>
        <v>24324.179796492183</v>
      </c>
      <c r="Q310">
        <f t="shared" si="89"/>
        <v>0</v>
      </c>
      <c r="R310" s="29">
        <f t="shared" si="90"/>
        <v>24324.179796492183</v>
      </c>
      <c r="S310" s="29">
        <f t="shared" si="82"/>
        <v>24324.178655242915</v>
      </c>
      <c r="T310" s="29">
        <f t="shared" si="91"/>
        <v>24324.178655242915</v>
      </c>
      <c r="U310">
        <f t="shared" si="92"/>
        <v>0</v>
      </c>
      <c r="V310" s="29">
        <f t="shared" si="93"/>
        <v>24324.178655242915</v>
      </c>
      <c r="W310" s="29">
        <f t="shared" si="83"/>
        <v>24324.178655242944</v>
      </c>
      <c r="X310" s="29">
        <f t="shared" si="94"/>
        <v>24324.178655242944</v>
      </c>
      <c r="Y310">
        <f t="shared" si="95"/>
        <v>0</v>
      </c>
    </row>
    <row r="311" spans="1:25" x14ac:dyDescent="0.25">
      <c r="A311" s="4" t="s">
        <v>1249</v>
      </c>
      <c r="B311" s="7" t="s">
        <v>641</v>
      </c>
      <c r="C311" s="2" t="s">
        <v>1250</v>
      </c>
      <c r="D311">
        <f>VLOOKUP(B311,'Model allocations'!$A$1:$L$317,3,FALSE)</f>
        <v>13765.608536749176</v>
      </c>
      <c r="E311" s="31">
        <f>VLOOKUP(B311,'Initial adjusted formula count'!$A$1:$P$317,12,FALSE)</f>
        <v>0.70454545454545403</v>
      </c>
      <c r="F311">
        <f>VLOOKUP(B311,'Model allocations'!$A$1:$L$317,8,FALSE)</f>
        <v>26944.07102706343</v>
      </c>
      <c r="G311" s="30">
        <f t="shared" si="84"/>
        <v>0.95</v>
      </c>
      <c r="H311">
        <f t="shared" si="85"/>
        <v>13077.328109911716</v>
      </c>
      <c r="I311">
        <f t="shared" si="77"/>
        <v>0</v>
      </c>
      <c r="J311">
        <f t="shared" si="78"/>
        <v>26944.07102706343</v>
      </c>
      <c r="K311">
        <f t="shared" si="79"/>
        <v>26931.722408746165</v>
      </c>
      <c r="L311">
        <f t="shared" si="86"/>
        <v>26931.722408746165</v>
      </c>
      <c r="M311">
        <f t="shared" si="80"/>
        <v>0</v>
      </c>
      <c r="N311" s="29">
        <f t="shared" si="87"/>
        <v>26931.722408746165</v>
      </c>
      <c r="O311" s="29">
        <f t="shared" si="81"/>
        <v>26930.341917544923</v>
      </c>
      <c r="P311" s="29">
        <f t="shared" si="88"/>
        <v>26930.341917544923</v>
      </c>
      <c r="Q311">
        <f t="shared" si="89"/>
        <v>0</v>
      </c>
      <c r="R311" s="29">
        <f t="shared" si="90"/>
        <v>26930.341917544923</v>
      </c>
      <c r="S311" s="29">
        <f t="shared" si="82"/>
        <v>26930.34065401895</v>
      </c>
      <c r="T311" s="29">
        <f t="shared" si="91"/>
        <v>26930.34065401895</v>
      </c>
      <c r="U311">
        <f t="shared" si="92"/>
        <v>0</v>
      </c>
      <c r="V311" s="29">
        <f t="shared" si="93"/>
        <v>26930.34065401895</v>
      </c>
      <c r="W311" s="29">
        <f t="shared" si="83"/>
        <v>26930.340654018979</v>
      </c>
      <c r="X311" s="29">
        <f t="shared" si="94"/>
        <v>26930.340654018979</v>
      </c>
      <c r="Y311">
        <f t="shared" si="95"/>
        <v>0</v>
      </c>
    </row>
    <row r="312" spans="1:25" x14ac:dyDescent="0.25">
      <c r="A312" s="4" t="s">
        <v>1251</v>
      </c>
      <c r="B312" s="7" t="s">
        <v>643</v>
      </c>
      <c r="C312" s="2" t="s">
        <v>1252</v>
      </c>
      <c r="D312">
        <f>VLOOKUP(B312,'Model allocations'!$A$1:$L$317,3,FALSE)</f>
        <v>212506.58178606542</v>
      </c>
      <c r="E312" s="31">
        <f>VLOOKUP(B312,'Initial adjusted formula count'!$A$1:$P$317,12,FALSE)</f>
        <v>9.9404318689501101E-2</v>
      </c>
      <c r="F312">
        <f>VLOOKUP(B312,'Model allocations'!$A$1:$L$317,8,FALSE)</f>
        <v>232066.67626535281</v>
      </c>
      <c r="G312" s="30">
        <f t="shared" si="84"/>
        <v>0.85</v>
      </c>
      <c r="H312">
        <f t="shared" si="85"/>
        <v>180630.59451815562</v>
      </c>
      <c r="I312">
        <f t="shared" si="77"/>
        <v>0</v>
      </c>
      <c r="J312">
        <f t="shared" si="78"/>
        <v>232066.67626535281</v>
      </c>
      <c r="K312">
        <f t="shared" si="79"/>
        <v>231960.3188108138</v>
      </c>
      <c r="L312">
        <f t="shared" si="86"/>
        <v>231960.3188108138</v>
      </c>
      <c r="M312">
        <f t="shared" si="80"/>
        <v>0</v>
      </c>
      <c r="N312" s="29">
        <f t="shared" si="87"/>
        <v>231960.3188108138</v>
      </c>
      <c r="O312" s="29">
        <f t="shared" si="81"/>
        <v>231948.42877369345</v>
      </c>
      <c r="P312" s="29">
        <f t="shared" si="88"/>
        <v>231948.42877369345</v>
      </c>
      <c r="Q312">
        <f t="shared" si="89"/>
        <v>0</v>
      </c>
      <c r="R312" s="29">
        <f t="shared" si="90"/>
        <v>231948.42877369345</v>
      </c>
      <c r="S312" s="29">
        <f t="shared" si="82"/>
        <v>231948.41789106649</v>
      </c>
      <c r="T312" s="29">
        <f t="shared" si="91"/>
        <v>231948.41789106649</v>
      </c>
      <c r="U312">
        <f t="shared" si="92"/>
        <v>0</v>
      </c>
      <c r="V312" s="29">
        <f t="shared" si="93"/>
        <v>231948.41789106649</v>
      </c>
      <c r="W312" s="29">
        <f t="shared" si="83"/>
        <v>231948.41789106678</v>
      </c>
      <c r="X312" s="29">
        <f t="shared" si="94"/>
        <v>231948.41789106678</v>
      </c>
      <c r="Y312">
        <f t="shared" si="95"/>
        <v>0</v>
      </c>
    </row>
    <row r="313" spans="1:25" x14ac:dyDescent="0.25">
      <c r="A313" s="4" t="s">
        <v>1253</v>
      </c>
      <c r="B313" s="7" t="s">
        <v>645</v>
      </c>
      <c r="C313" s="2" t="s">
        <v>1254</v>
      </c>
      <c r="D313">
        <f>VLOOKUP(B313,'Model allocations'!$A$1:$L$317,3,FALSE)</f>
        <v>3688322.7373152324</v>
      </c>
      <c r="E313" s="31">
        <f>VLOOKUP(B313,'Initial adjusted formula count'!$A$1:$P$317,12,FALSE)</f>
        <v>0.269479929769329</v>
      </c>
      <c r="F313">
        <f>VLOOKUP(B313,'Model allocations'!$A$1:$L$317,8,FALSE)</f>
        <v>3868647.101337397</v>
      </c>
      <c r="G313" s="30">
        <f t="shared" si="84"/>
        <v>0.9</v>
      </c>
      <c r="H313">
        <f t="shared" si="85"/>
        <v>3319490.4635837092</v>
      </c>
      <c r="I313">
        <f t="shared" si="77"/>
        <v>0</v>
      </c>
      <c r="J313">
        <f t="shared" si="78"/>
        <v>3868647.101337397</v>
      </c>
      <c r="K313">
        <f t="shared" si="79"/>
        <v>3866874.0787525536</v>
      </c>
      <c r="L313">
        <f t="shared" si="86"/>
        <v>3866874.0787525536</v>
      </c>
      <c r="M313">
        <f t="shared" si="80"/>
        <v>0</v>
      </c>
      <c r="N313" s="29">
        <f t="shared" si="87"/>
        <v>3866874.0787525536</v>
      </c>
      <c r="O313" s="29">
        <f t="shared" si="81"/>
        <v>3866675.8669352401</v>
      </c>
      <c r="P313" s="29">
        <f t="shared" si="88"/>
        <v>3866675.8669352401</v>
      </c>
      <c r="Q313">
        <f t="shared" si="89"/>
        <v>0</v>
      </c>
      <c r="R313" s="29">
        <f t="shared" si="90"/>
        <v>3866675.8669352401</v>
      </c>
      <c r="S313" s="29">
        <f t="shared" si="82"/>
        <v>3866675.6855173651</v>
      </c>
      <c r="T313" s="29">
        <f t="shared" si="91"/>
        <v>3866675.6855173651</v>
      </c>
      <c r="U313">
        <f t="shared" si="92"/>
        <v>0</v>
      </c>
      <c r="V313" s="29">
        <f t="shared" si="93"/>
        <v>3866675.6855173651</v>
      </c>
      <c r="W313" s="29">
        <f t="shared" si="83"/>
        <v>3866675.6855173698</v>
      </c>
      <c r="X313" s="29">
        <f t="shared" si="94"/>
        <v>3866675.6855173698</v>
      </c>
      <c r="Y313">
        <f t="shared" si="95"/>
        <v>0</v>
      </c>
    </row>
    <row r="314" spans="1:25" x14ac:dyDescent="0.25">
      <c r="A314" s="4" t="s">
        <v>1255</v>
      </c>
      <c r="B314" s="7" t="s">
        <v>647</v>
      </c>
      <c r="C314" s="2" t="s">
        <v>1256</v>
      </c>
      <c r="D314">
        <f>VLOOKUP(B314,'Model allocations'!$A$1:$L$317,3,FALSE)</f>
        <v>530836.27919839008</v>
      </c>
      <c r="E314" s="31">
        <f>VLOOKUP(B314,'Initial adjusted formula count'!$A$1:$P$317,12,FALSE)</f>
        <v>8.2403302247362795E-2</v>
      </c>
      <c r="F314">
        <f>VLOOKUP(B314,'Model allocations'!$A$1:$L$317,8,FALSE)</f>
        <v>468479.17043829645</v>
      </c>
      <c r="G314" s="30">
        <f t="shared" si="84"/>
        <v>0.85</v>
      </c>
      <c r="H314">
        <f t="shared" si="85"/>
        <v>451210.83731863153</v>
      </c>
      <c r="I314">
        <f t="shared" si="77"/>
        <v>0</v>
      </c>
      <c r="J314">
        <f t="shared" si="78"/>
        <v>468479.17043829645</v>
      </c>
      <c r="K314">
        <f t="shared" si="79"/>
        <v>468264.46381658659</v>
      </c>
      <c r="L314">
        <f t="shared" si="86"/>
        <v>468264.46381658659</v>
      </c>
      <c r="M314">
        <f t="shared" si="80"/>
        <v>0</v>
      </c>
      <c r="N314" s="29">
        <f t="shared" si="87"/>
        <v>468264.46381658659</v>
      </c>
      <c r="O314" s="29">
        <f t="shared" si="81"/>
        <v>468240.46108247474</v>
      </c>
      <c r="P314" s="29">
        <f t="shared" si="88"/>
        <v>468240.46108247474</v>
      </c>
      <c r="Q314">
        <f t="shared" si="89"/>
        <v>0</v>
      </c>
      <c r="R314" s="29">
        <f t="shared" si="90"/>
        <v>468240.46108247474</v>
      </c>
      <c r="S314" s="29">
        <f t="shared" si="82"/>
        <v>468240.43911342631</v>
      </c>
      <c r="T314" s="29">
        <f t="shared" si="91"/>
        <v>468240.43911342631</v>
      </c>
      <c r="U314">
        <f t="shared" si="92"/>
        <v>0</v>
      </c>
      <c r="V314" s="29">
        <f t="shared" si="93"/>
        <v>468240.43911342631</v>
      </c>
      <c r="W314" s="29">
        <f t="shared" si="83"/>
        <v>468240.43911342678</v>
      </c>
      <c r="X314" s="29">
        <f t="shared" si="94"/>
        <v>468240.43911342678</v>
      </c>
      <c r="Y314">
        <f t="shared" si="95"/>
        <v>0</v>
      </c>
    </row>
    <row r="315" spans="1:25" x14ac:dyDescent="0.25">
      <c r="A315" s="4" t="s">
        <v>1257</v>
      </c>
      <c r="B315" s="7" t="s">
        <v>649</v>
      </c>
      <c r="C315" s="2" t="s">
        <v>1258</v>
      </c>
      <c r="D315">
        <f>VLOOKUP(B315,'Model allocations'!$A$1:$L$317,3,FALSE)</f>
        <v>118728.37362946161</v>
      </c>
      <c r="E315" s="31">
        <f>VLOOKUP(B315,'Initial adjusted formula count'!$A$1:$P$317,12,FALSE)</f>
        <v>0.13300083125519499</v>
      </c>
      <c r="F315">
        <f>VLOOKUP(B315,'Model allocations'!$A$1:$L$317,8,FALSE)</f>
        <v>139066.17304290796</v>
      </c>
      <c r="G315" s="30">
        <f t="shared" si="84"/>
        <v>0.85</v>
      </c>
      <c r="H315">
        <f t="shared" si="85"/>
        <v>100919.11758504236</v>
      </c>
      <c r="I315">
        <f t="shared" si="77"/>
        <v>0</v>
      </c>
      <c r="J315">
        <f t="shared" si="78"/>
        <v>139066.17304290796</v>
      </c>
      <c r="K315">
        <f t="shared" si="79"/>
        <v>139002.43823868982</v>
      </c>
      <c r="L315">
        <f t="shared" si="86"/>
        <v>139002.43823868982</v>
      </c>
      <c r="M315">
        <f t="shared" si="80"/>
        <v>0</v>
      </c>
      <c r="N315" s="29">
        <f t="shared" si="87"/>
        <v>139002.43823868982</v>
      </c>
      <c r="O315" s="29">
        <f t="shared" si="81"/>
        <v>138995.31312281245</v>
      </c>
      <c r="P315" s="29">
        <f t="shared" si="88"/>
        <v>138995.31312281245</v>
      </c>
      <c r="Q315">
        <f t="shared" si="89"/>
        <v>0</v>
      </c>
      <c r="R315" s="29">
        <f t="shared" si="90"/>
        <v>138995.31312281245</v>
      </c>
      <c r="S315" s="29">
        <f t="shared" si="82"/>
        <v>138995.30660138806</v>
      </c>
      <c r="T315" s="29">
        <f t="shared" si="91"/>
        <v>138995.30660138806</v>
      </c>
      <c r="U315">
        <f t="shared" si="92"/>
        <v>0</v>
      </c>
      <c r="V315" s="29">
        <f t="shared" si="93"/>
        <v>138995.30660138806</v>
      </c>
      <c r="W315" s="29">
        <f t="shared" si="83"/>
        <v>138995.30660138821</v>
      </c>
      <c r="X315" s="29">
        <f t="shared" si="94"/>
        <v>138995.30660138821</v>
      </c>
      <c r="Y315">
        <f t="shared" si="95"/>
        <v>0</v>
      </c>
    </row>
    <row r="316" spans="1:25" x14ac:dyDescent="0.25">
      <c r="A316" s="1"/>
      <c r="B316" s="7" t="s">
        <v>651</v>
      </c>
      <c r="C316" s="2" t="s">
        <v>652</v>
      </c>
      <c r="D316">
        <f>VLOOKUP(B316,'Model allocations'!$A$1:$L$317,3,FALSE)</f>
        <v>866900.40070897446</v>
      </c>
      <c r="E316" s="31">
        <f>VLOOKUP(B316,'Initial adjusted formula count'!$A$1:$P$317,12,FALSE)</f>
        <v>1</v>
      </c>
      <c r="F316">
        <f>VLOOKUP(B316,'Model allocations'!$A$1:$L$317,8,FALSE)</f>
        <v>823555.38067352574</v>
      </c>
      <c r="G316" s="30">
        <f t="shared" si="84"/>
        <v>0.95</v>
      </c>
      <c r="H316">
        <f t="shared" si="85"/>
        <v>823555.38067352574</v>
      </c>
      <c r="I316">
        <f t="shared" si="77"/>
        <v>0</v>
      </c>
      <c r="J316">
        <f t="shared" si="78"/>
        <v>823555.38067352574</v>
      </c>
      <c r="K316">
        <f t="shared" si="79"/>
        <v>823177.94064047153</v>
      </c>
      <c r="L316">
        <f t="shared" si="86"/>
        <v>823177.94064047153</v>
      </c>
      <c r="M316">
        <f t="shared" si="80"/>
        <v>823555.38067352574</v>
      </c>
      <c r="N316" s="29">
        <f t="shared" si="87"/>
        <v>0</v>
      </c>
      <c r="O316" s="29">
        <f t="shared" si="81"/>
        <v>0</v>
      </c>
      <c r="P316" s="29">
        <f t="shared" si="88"/>
        <v>823555.38067352574</v>
      </c>
      <c r="Q316">
        <f t="shared" si="89"/>
        <v>0</v>
      </c>
      <c r="R316" s="29">
        <f t="shared" si="90"/>
        <v>0</v>
      </c>
      <c r="S316" s="29">
        <f t="shared" si="82"/>
        <v>0</v>
      </c>
      <c r="T316" s="29">
        <f t="shared" si="91"/>
        <v>823555.38067352574</v>
      </c>
      <c r="U316">
        <f t="shared" si="92"/>
        <v>0</v>
      </c>
      <c r="V316" s="29">
        <f t="shared" si="93"/>
        <v>0</v>
      </c>
      <c r="W316" s="29">
        <f t="shared" si="83"/>
        <v>0</v>
      </c>
      <c r="X316" s="29">
        <f t="shared" si="94"/>
        <v>823555.38067352574</v>
      </c>
      <c r="Y316">
        <f t="shared" si="95"/>
        <v>0</v>
      </c>
    </row>
    <row r="317" spans="1:25" x14ac:dyDescent="0.25">
      <c r="A317" t="s">
        <v>1428</v>
      </c>
      <c r="B317" t="s">
        <v>1420</v>
      </c>
      <c r="C317" t="s">
        <v>1421</v>
      </c>
      <c r="D317">
        <f>VLOOKUP(B317,'Model allocations'!$A$1:$L$317,3,FALSE)</f>
        <v>53289.999478849808</v>
      </c>
      <c r="E317" s="31">
        <f>VLOOKUP(B317,'Initial adjusted formula count'!$A$1:$P$317,12,FALSE)</f>
        <v>0.176337460229611</v>
      </c>
      <c r="F317">
        <f>VLOOKUP(B317,'Model allocations'!$A$1:$L$317,8,FALSE)</f>
        <v>53845.390156402173</v>
      </c>
      <c r="G317" s="30">
        <f t="shared" ref="G317:G318" si="96">IF(E317&lt;0.15,0.85,IF(AND(E317&gt;=0.15,E317&lt;0.3),0.9,0.95))</f>
        <v>0.9</v>
      </c>
      <c r="H317">
        <f t="shared" ref="H317:H318" si="97">IF(F317 = 0, 0, D317*G317)</f>
        <v>47960.999530964829</v>
      </c>
      <c r="I317">
        <f t="shared" ref="I317:I318" si="98">IF(F317&lt;H317,H317,0)</f>
        <v>0</v>
      </c>
      <c r="J317">
        <f t="shared" ref="J317:J318" si="99">IF(I317=0,F317,0)</f>
        <v>53845.390156402173</v>
      </c>
      <c r="K317">
        <f t="shared" ref="K317:K318" si="100">(J317/$J$3)*($F$3-$I$3)</f>
        <v>53820.712513201266</v>
      </c>
      <c r="L317">
        <f t="shared" ref="L317:L318" si="101">I317+K317</f>
        <v>53820.712513201266</v>
      </c>
      <c r="M317">
        <f t="shared" ref="M317:M318" si="102">IF(L317&lt;H317,H317,0)</f>
        <v>0</v>
      </c>
      <c r="N317" s="29">
        <f t="shared" ref="N317:N318" si="103">IF($I317+$M317=0,L317,0)</f>
        <v>53820.712513201266</v>
      </c>
      <c r="O317" s="29">
        <f t="shared" ref="O317:O318" si="104">((N317/$N$3)*($F$3-$I$3-$M$3))</f>
        <v>53817.953721210863</v>
      </c>
      <c r="P317" s="29">
        <f t="shared" ref="P317:P318" si="105">$I317+$M317+O317</f>
        <v>53817.953721210863</v>
      </c>
      <c r="Q317">
        <f t="shared" ref="Q317:Q318" si="106">IF(P317&lt;H317,H317,0)</f>
        <v>0</v>
      </c>
      <c r="R317" s="29">
        <f t="shared" ref="R317:R318" si="107">IF($I317+$M317+$Q317=0,P317,0)</f>
        <v>53817.953721210863</v>
      </c>
      <c r="S317" s="29">
        <f t="shared" ref="S317:S318" si="108">((R317/$R$3)*($F$3-$I$3-$M$3-$Q$3))</f>
        <v>53817.95119616374</v>
      </c>
      <c r="T317" s="29">
        <f t="shared" ref="T317:T318" si="109">$I317+$M317+$Q317+S317</f>
        <v>53817.95119616374</v>
      </c>
      <c r="U317">
        <f t="shared" ref="U317:U318" si="110">IF(T317&lt;H317,H317,0)</f>
        <v>0</v>
      </c>
      <c r="V317" s="29">
        <f t="shared" ref="V317:V318" si="111">IF($I317+$M317+$Q317+U317=0,T317,0)</f>
        <v>53817.95119616374</v>
      </c>
      <c r="W317" s="29">
        <f t="shared" ref="W317:W318" si="112">((V317/$V$3)*($F$3-$I$3-$M$3-$Q$3-$U$3))</f>
        <v>53817.951196163798</v>
      </c>
      <c r="X317" s="29">
        <f t="shared" ref="X317:X318" si="113">$I317+$M317+$Q317+$U317+W317</f>
        <v>53817.951196163798</v>
      </c>
      <c r="Y317">
        <f t="shared" ref="Y317:Y318" si="114">IF(X317&lt;H317,H317,0)</f>
        <v>0</v>
      </c>
    </row>
    <row r="318" spans="1:25" x14ac:dyDescent="0.25">
      <c r="A318" t="s">
        <v>1429</v>
      </c>
      <c r="B318" t="s">
        <v>1422</v>
      </c>
      <c r="C318" t="s">
        <v>1423</v>
      </c>
      <c r="D318">
        <f>VLOOKUP(B318,'Model allocations'!$A$1:$L$317,3,FALSE)</f>
        <v>14809.085181628621</v>
      </c>
      <c r="E318" s="31">
        <f>VLOOKUP(B318,'Initial adjusted formula count'!$A$1:$P$317,12,FALSE)</f>
        <v>0.14073738079446399</v>
      </c>
      <c r="F318">
        <f>VLOOKUP(B318,'Model allocations'!$A$1:$L$317,8,FALSE)</f>
        <v>14458.77322316798</v>
      </c>
      <c r="G318" s="30">
        <f t="shared" si="96"/>
        <v>0.85</v>
      </c>
      <c r="H318">
        <f t="shared" si="97"/>
        <v>12587.722404384327</v>
      </c>
      <c r="I318">
        <f t="shared" si="98"/>
        <v>0</v>
      </c>
      <c r="J318">
        <f t="shared" si="99"/>
        <v>14458.77322316798</v>
      </c>
      <c r="K318">
        <f t="shared" si="100"/>
        <v>14452.146686603055</v>
      </c>
      <c r="L318">
        <f t="shared" si="101"/>
        <v>14452.146686603055</v>
      </c>
      <c r="M318">
        <f t="shared" si="102"/>
        <v>0</v>
      </c>
      <c r="N318" s="29">
        <f t="shared" si="103"/>
        <v>14452.146686603055</v>
      </c>
      <c r="O318" s="29">
        <f t="shared" si="104"/>
        <v>14451.405885066595</v>
      </c>
      <c r="P318" s="29">
        <f t="shared" si="105"/>
        <v>14451.405885066595</v>
      </c>
      <c r="Q318">
        <f t="shared" si="106"/>
        <v>0</v>
      </c>
      <c r="R318" s="29">
        <f t="shared" si="107"/>
        <v>14451.405885066595</v>
      </c>
      <c r="S318" s="29">
        <f t="shared" si="108"/>
        <v>14451.405207031137</v>
      </c>
      <c r="T318" s="29">
        <f t="shared" si="109"/>
        <v>14451.405207031137</v>
      </c>
      <c r="U318">
        <f t="shared" si="110"/>
        <v>0</v>
      </c>
      <c r="V318" s="29">
        <f t="shared" si="111"/>
        <v>14451.405207031137</v>
      </c>
      <c r="W318" s="29">
        <f t="shared" si="112"/>
        <v>14451.405207031155</v>
      </c>
      <c r="X318" s="29">
        <f t="shared" si="113"/>
        <v>14451.405207031155</v>
      </c>
      <c r="Y318">
        <f t="shared" si="114"/>
        <v>0</v>
      </c>
    </row>
  </sheetData>
  <sheetProtection algorithmName="SHA-512" hashValue="ljl4DHAR2aMlDe0BcGNB157hwvButnw/p2cu65aGiTxZedcBEtdZu7FCpAhqa3JhNfsPRc7/CgU7V1R6U+WF0Q==" saltValue="bZoUR7lakFg1gHC0CpiLVg==" spinCount="100000" sheet="1" objects="1" scenarios="1"/>
  <conditionalFormatting sqref="B1:B316 C1:Y1">
    <cfRule type="duplicateValues" dxfId="3" priority="1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B0794-1783-4202-AA7F-A166F63BFA92}">
  <dimension ref="A1:Z318"/>
  <sheetViews>
    <sheetView topLeftCell="G1" workbookViewId="0">
      <selection activeCell="Z3" sqref="Z3"/>
    </sheetView>
  </sheetViews>
  <sheetFormatPr defaultRowHeight="15" x14ac:dyDescent="0.25"/>
  <cols>
    <col min="3" max="3" width="20.28515625" customWidth="1"/>
    <col min="4" max="4" width="19.28515625" customWidth="1"/>
    <col min="5" max="5" width="16.5703125" customWidth="1"/>
    <col min="6" max="6" width="14.7109375" customWidth="1"/>
    <col min="7" max="7" width="12.85546875" customWidth="1"/>
    <col min="8" max="8" width="16.5703125" customWidth="1"/>
    <col min="9" max="9" width="12.7109375" customWidth="1"/>
    <col min="10" max="10" width="16.140625" customWidth="1"/>
    <col min="11" max="11" width="13.28515625" customWidth="1"/>
    <col min="12" max="12" width="16.42578125" customWidth="1"/>
    <col min="13" max="13" width="12.5703125" bestFit="1" customWidth="1"/>
    <col min="14" max="14" width="17.42578125" customWidth="1"/>
    <col min="15" max="15" width="16.42578125" customWidth="1"/>
    <col min="16" max="16" width="14.28515625" customWidth="1"/>
    <col min="18" max="18" width="11.140625" customWidth="1"/>
    <col min="19" max="19" width="12.5703125" bestFit="1" customWidth="1"/>
    <col min="20" max="20" width="12.7109375" customWidth="1"/>
    <col min="22" max="22" width="13.85546875" customWidth="1"/>
    <col min="23" max="23" width="11.85546875" customWidth="1"/>
    <col min="24" max="24" width="12" customWidth="1"/>
    <col min="25" max="25" width="8.85546875" customWidth="1"/>
    <col min="26" max="26" width="10.7109375" customWidth="1"/>
  </cols>
  <sheetData>
    <row r="1" spans="1:26" x14ac:dyDescent="0.25">
      <c r="A1" s="1"/>
      <c r="B1" s="5"/>
      <c r="C1" s="4"/>
      <c r="F1" s="79" t="str">
        <f>IF($F$3 = SUM(Model_allocations[Conc. Allocation]), "Good", "Check district list")</f>
        <v>Good</v>
      </c>
      <c r="Z1" s="46"/>
    </row>
    <row r="2" spans="1:26" ht="76.5" x14ac:dyDescent="0.25">
      <c r="A2" s="1" t="s">
        <v>0</v>
      </c>
      <c r="B2" s="5" t="s">
        <v>4</v>
      </c>
      <c r="C2" s="3" t="s">
        <v>1278</v>
      </c>
      <c r="D2" s="33" t="s">
        <v>1379</v>
      </c>
      <c r="E2" s="36" t="s">
        <v>1295</v>
      </c>
      <c r="F2" s="33" t="s">
        <v>1378</v>
      </c>
      <c r="G2" s="35" t="s">
        <v>654</v>
      </c>
      <c r="H2" s="34" t="s">
        <v>1374</v>
      </c>
      <c r="I2" s="34" t="s">
        <v>1367</v>
      </c>
      <c r="J2" s="34" t="s">
        <v>1368</v>
      </c>
      <c r="K2" s="34" t="s">
        <v>1369</v>
      </c>
      <c r="L2" s="34" t="s">
        <v>1370</v>
      </c>
      <c r="M2" s="32" t="s">
        <v>1292</v>
      </c>
      <c r="N2" s="34" t="s">
        <v>1368</v>
      </c>
      <c r="O2" s="32" t="s">
        <v>1369</v>
      </c>
      <c r="P2" s="32" t="s">
        <v>1370</v>
      </c>
      <c r="Q2" s="32" t="s">
        <v>1371</v>
      </c>
      <c r="R2" s="32" t="s">
        <v>1368</v>
      </c>
      <c r="S2" s="32" t="s">
        <v>1369</v>
      </c>
      <c r="T2" s="32" t="s">
        <v>1370</v>
      </c>
      <c r="U2" s="32" t="s">
        <v>1372</v>
      </c>
      <c r="V2" s="32" t="s">
        <v>1368</v>
      </c>
      <c r="W2" s="32" t="s">
        <v>1369</v>
      </c>
      <c r="X2" s="32" t="s">
        <v>1370</v>
      </c>
      <c r="Y2" s="32" t="s">
        <v>1373</v>
      </c>
    </row>
    <row r="3" spans="1:26" x14ac:dyDescent="0.25">
      <c r="A3" s="1"/>
      <c r="B3" s="5"/>
      <c r="C3" s="6"/>
      <c r="D3" s="33">
        <f>SUM(D4:D318)</f>
        <v>15043465.311369879</v>
      </c>
      <c r="E3" s="33"/>
      <c r="F3" s="33" cm="1">
        <f t="array" ref="F3">SUM(IF(ISERROR($F$4:$F$318),"",$F$4:$F$318))</f>
        <v>15993234.195917523</v>
      </c>
      <c r="G3" s="33"/>
      <c r="H3" s="33" cm="1">
        <f t="array" ref="H3">SUM(IF(ISERROR($H$4:$H$318),"",$H$4:$H$318))</f>
        <v>13274512.107733428</v>
      </c>
      <c r="I3" s="33" cm="1">
        <f t="array" ref="I3">SUM(IF(ISERROR($I$4:$I$318),"",$I$4:$I$318))</f>
        <v>540071.84838063957</v>
      </c>
      <c r="J3" s="33" cm="1">
        <f t="array" ref="J3">SUM(IF(ISERROR($J$4:$J$318),"",$J$4:$J$318))</f>
        <v>15466156.767775487</v>
      </c>
      <c r="K3" s="33" cm="1">
        <f t="array" ref="K3">SUM(IF(ISERROR($K$4:$K$318),"",$K$4:$K$318))</f>
        <v>15453162.347536886</v>
      </c>
      <c r="L3" s="33" cm="1">
        <f t="array" ref="L3">SUM(IF(ISERROR($L$4:$L$318),0,$L$4:$L$318))</f>
        <v>15993234.195917524</v>
      </c>
      <c r="M3" s="33" cm="1">
        <f t="array" ref="M3">SUM(IF(ISERROR($M$4:$M$318),0,$M$4:$M$318))</f>
        <v>3553881.5656925691</v>
      </c>
      <c r="N3" s="33" cm="1">
        <f t="array" ref="N3">SUM(IF(ISERROR($N$4:$N$318),"",$N$4:$N$318))</f>
        <v>11902266.696912697</v>
      </c>
      <c r="O3" s="33" cm="1">
        <f t="array" ref="O3">SUM(IF(ISERROR($O$4:$O$318),0,$O$4:$O$318))</f>
        <v>11899280.781844316</v>
      </c>
      <c r="P3" s="33" cm="1">
        <f t="array" ref="P3">SUM(IF(ISERROR($P$4:$P$318),0,$P$4:$P$318))</f>
        <v>15993234.195917515</v>
      </c>
      <c r="Q3" s="33" cm="1">
        <f t="array" ref="Q3">SUM(IF(ISERROR($Q$4:$Q$318),0,$Q$4:$Q$318))</f>
        <v>0</v>
      </c>
      <c r="R3" s="33" cm="1">
        <f t="array" ref="R3">SUM(IF(ISERROR($R$4:$R$318),0,$R$4:$R$318))</f>
        <v>11899280.781844316</v>
      </c>
      <c r="S3" s="33" cm="1">
        <f t="array" ref="S3">SUM(IF(ISERROR($S$4:$S$318),0,$S$4:$S$318))</f>
        <v>11899280.781844314</v>
      </c>
      <c r="T3" s="33" cm="1">
        <f t="array" ref="T3">SUM(IF(ISERROR($T$4:$T$318),0,$T$4:$T$318))</f>
        <v>15993234.195917509</v>
      </c>
      <c r="U3" s="33" cm="1">
        <f t="array" ref="U3">SUM(IF(ISERROR($U$4:$U$318),0,$U$4:$U$318))</f>
        <v>0</v>
      </c>
      <c r="V3" s="33" cm="1">
        <f t="array" ref="V3">SUM(IF(ISERROR($V$4:$V$318),0,$V$4:$V$318))</f>
        <v>11899280.781844314</v>
      </c>
      <c r="W3" s="33" cm="1">
        <f t="array" ref="W3">SUM(IF(ISERROR($W$4:$W$318),0,$W$4:$W$318))</f>
        <v>11899280.781844314</v>
      </c>
      <c r="X3" s="33" cm="1">
        <f t="array" ref="X3">SUM(IF(ISERROR($X$4:$X$318),0,$X$4:$X$318))</f>
        <v>15993234.195917509</v>
      </c>
      <c r="Y3" s="33" cm="1">
        <f t="array" ref="Y3">SUM(IF(ISERROR($Y$4:$Y$318),0,$Y$4:$Y$318))</f>
        <v>0</v>
      </c>
    </row>
    <row r="4" spans="1:26" x14ac:dyDescent="0.25">
      <c r="A4" s="4" t="s">
        <v>661</v>
      </c>
      <c r="B4" s="7" t="s">
        <v>309</v>
      </c>
      <c r="C4" s="2" t="s">
        <v>662</v>
      </c>
      <c r="D4">
        <f>VLOOKUP(B4,'Model allocations'!$A$1:$L$317,4,FALSE)</f>
        <v>185884.31275661089</v>
      </c>
      <c r="E4" s="31">
        <f>VLOOKUP(B4,'Initial adjusted formula count'!$A$1:$P$317,12,FALSE)</f>
        <v>0.20137299771167</v>
      </c>
      <c r="F4">
        <f>VLOOKUP(B4,'Model allocations'!$A$1:$L$317,9,FALSE)</f>
        <v>167247.51609168094</v>
      </c>
      <c r="G4" s="30">
        <f>IF(E4&lt;0.15,0.85,IF(AND(E4&gt;=0.15,E4&lt;0.3),0.9,0.95))</f>
        <v>0.9</v>
      </c>
      <c r="H4">
        <f>IF(F4 = 0, 0, D4*G4)</f>
        <v>167295.88148094981</v>
      </c>
      <c r="I4">
        <f t="shared" ref="I4:I67" si="0">IF(F4&lt;H4,H4,0)</f>
        <v>167295.88148094981</v>
      </c>
      <c r="J4">
        <f t="shared" ref="J4:J67" si="1">IF(I4=0,F4,0)</f>
        <v>0</v>
      </c>
      <c r="K4">
        <f t="shared" ref="K4:K67" si="2">(J4/$J$3)*($F$3-$I$3)</f>
        <v>0</v>
      </c>
      <c r="L4">
        <f>I4+K4</f>
        <v>167295.88148094981</v>
      </c>
      <c r="M4">
        <f t="shared" ref="M4:M67" si="3">IF(L4&lt;H4,H4,0)</f>
        <v>0</v>
      </c>
      <c r="N4" s="29">
        <f>IF(I4+M4=0,L4,0)</f>
        <v>0</v>
      </c>
      <c r="O4" s="29">
        <f t="shared" ref="O4:O67" si="4">((N4/$N$3)*($F$3-$I$3-$M$3))</f>
        <v>0</v>
      </c>
      <c r="P4" s="29">
        <f>$I4+$M4+O4</f>
        <v>167295.88148094981</v>
      </c>
      <c r="Q4">
        <f>IF(P4&lt;H4,H4,0)</f>
        <v>0</v>
      </c>
      <c r="R4" s="29">
        <f>IF($I4+$M4+$Q4=0,P4,0)</f>
        <v>0</v>
      </c>
      <c r="S4" s="29">
        <f t="shared" ref="S4:S67" si="5">((R4/$R$3)*($F$3-$I$3-$M$3-$Q$3))</f>
        <v>0</v>
      </c>
      <c r="T4" s="29">
        <f>$I4+$M4+$Q4+S4</f>
        <v>167295.88148094981</v>
      </c>
      <c r="U4">
        <f>IF(T4&lt;H4,H4,0)</f>
        <v>0</v>
      </c>
      <c r="V4" s="29">
        <f>IF($I4+$M4+$Q4+U4=0,T4,0)</f>
        <v>0</v>
      </c>
      <c r="W4" s="29">
        <f t="shared" ref="W4:W67" si="6">((V4/$V$3)*($F$3-$I$3-$M$3-$Q$3-$U$3))</f>
        <v>0</v>
      </c>
      <c r="X4" s="29">
        <f>$I4+$M4+$Q4+$U4+W4</f>
        <v>167295.88148094981</v>
      </c>
      <c r="Y4">
        <f>IF(X4&lt;H4,H4,0)</f>
        <v>0</v>
      </c>
    </row>
    <row r="5" spans="1:26" x14ac:dyDescent="0.25">
      <c r="A5" s="4" t="s">
        <v>663</v>
      </c>
      <c r="B5" s="7" t="s">
        <v>260</v>
      </c>
      <c r="C5" s="2" t="s">
        <v>664</v>
      </c>
      <c r="D5">
        <f>VLOOKUP(B5,'Model allocations'!$A$1:$L$317,4,FALSE)</f>
        <v>0</v>
      </c>
      <c r="E5" s="31">
        <f>VLOOKUP(B5,'Initial adjusted formula count'!$A$1:$P$317,12,FALSE)</f>
        <v>9.22459893048128E-2</v>
      </c>
      <c r="F5">
        <f>VLOOKUP(B5,'Model allocations'!$A$1:$L$317,9,FALSE)</f>
        <v>0</v>
      </c>
      <c r="G5" s="30">
        <f t="shared" ref="G5:G68" si="7">IF(E5&lt;0.15,0.85,IF(AND(E5&gt;=0.15,E5&lt;0.3),0.9,0.95))</f>
        <v>0.85</v>
      </c>
      <c r="H5">
        <f t="shared" ref="H5:H68" si="8">IF(F5 = 0, 0, D5*G5)</f>
        <v>0</v>
      </c>
      <c r="I5">
        <f t="shared" si="0"/>
        <v>0</v>
      </c>
      <c r="J5" s="48">
        <f t="shared" si="1"/>
        <v>0</v>
      </c>
      <c r="K5">
        <f t="shared" si="2"/>
        <v>0</v>
      </c>
      <c r="L5">
        <f t="shared" ref="L5:L68" si="9">I5+K5</f>
        <v>0</v>
      </c>
      <c r="M5">
        <f t="shared" si="3"/>
        <v>0</v>
      </c>
      <c r="N5" s="29">
        <f t="shared" ref="N5:N68" si="10">IF(I5+M5=0,L5,0)</f>
        <v>0</v>
      </c>
      <c r="O5" s="29">
        <f t="shared" si="4"/>
        <v>0</v>
      </c>
      <c r="P5" s="29">
        <f t="shared" ref="P5:P68" si="11">$I5+$M5+O5</f>
        <v>0</v>
      </c>
      <c r="Q5">
        <f t="shared" ref="Q5:Q68" si="12">IF(P5&lt;H5,H5,0)</f>
        <v>0</v>
      </c>
      <c r="R5" s="29">
        <f t="shared" ref="R5:R68" si="13">IF($I5+$M5+$Q5=0,P5,0)</f>
        <v>0</v>
      </c>
      <c r="S5" s="29">
        <f t="shared" si="5"/>
        <v>0</v>
      </c>
      <c r="T5" s="29">
        <f t="shared" ref="T5:T68" si="14">$I5+$M5+$Q5+S5</f>
        <v>0</v>
      </c>
      <c r="U5">
        <f t="shared" ref="U5:U68" si="15">IF(T5&lt;H5,H5,0)</f>
        <v>0</v>
      </c>
      <c r="V5" s="29">
        <f t="shared" ref="V5:V68" si="16">IF($I5+$M5+$Q5+U5=0,T5,0)</f>
        <v>0</v>
      </c>
      <c r="W5" s="29">
        <f t="shared" si="6"/>
        <v>0</v>
      </c>
      <c r="X5" s="29">
        <f t="shared" ref="X5:X68" si="17">$I5+$M5+$Q5+$U5+W5</f>
        <v>0</v>
      </c>
      <c r="Y5">
        <f t="shared" ref="Y5:Y68" si="18">IF(X5&lt;H5,H5,0)</f>
        <v>0</v>
      </c>
    </row>
    <row r="6" spans="1:26" x14ac:dyDescent="0.25">
      <c r="A6" s="4" t="s">
        <v>665</v>
      </c>
      <c r="B6" s="7" t="s">
        <v>262</v>
      </c>
      <c r="C6" s="2" t="s">
        <v>666</v>
      </c>
      <c r="D6">
        <f>VLOOKUP(B6,'Model allocations'!$A$1:$L$317,4,FALSE)</f>
        <v>0</v>
      </c>
      <c r="E6" s="31">
        <f>VLOOKUP(B6,'Initial adjusted formula count'!$A$1:$P$317,12,FALSE)</f>
        <v>0.18181818181818199</v>
      </c>
      <c r="F6">
        <f>VLOOKUP(B6,'Model allocations'!$A$1:$L$317,9,FALSE)</f>
        <v>4211.8836289513656</v>
      </c>
      <c r="G6" s="30">
        <f t="shared" si="7"/>
        <v>0.9</v>
      </c>
      <c r="H6">
        <f t="shared" si="8"/>
        <v>0</v>
      </c>
      <c r="I6">
        <f t="shared" si="0"/>
        <v>0</v>
      </c>
      <c r="J6" s="48">
        <f t="shared" si="1"/>
        <v>4211.8836289513656</v>
      </c>
      <c r="K6">
        <f t="shared" si="2"/>
        <v>4208.3448709591585</v>
      </c>
      <c r="L6">
        <f t="shared" si="9"/>
        <v>4208.3448709591585</v>
      </c>
      <c r="M6">
        <f t="shared" si="3"/>
        <v>0</v>
      </c>
      <c r="N6" s="29">
        <f t="shared" si="10"/>
        <v>4208.3448709591585</v>
      </c>
      <c r="O6" s="29">
        <f t="shared" si="4"/>
        <v>4207.2891258071522</v>
      </c>
      <c r="P6" s="29">
        <f t="shared" si="11"/>
        <v>4207.2891258071522</v>
      </c>
      <c r="Q6">
        <f t="shared" si="12"/>
        <v>0</v>
      </c>
      <c r="R6" s="29">
        <f t="shared" si="13"/>
        <v>4207.2891258071522</v>
      </c>
      <c r="S6" s="29">
        <f t="shared" si="5"/>
        <v>4207.2891258071513</v>
      </c>
      <c r="T6" s="29">
        <f t="shared" si="14"/>
        <v>4207.2891258071513</v>
      </c>
      <c r="U6">
        <f t="shared" si="15"/>
        <v>0</v>
      </c>
      <c r="V6" s="29">
        <f t="shared" si="16"/>
        <v>4207.2891258071513</v>
      </c>
      <c r="W6" s="29">
        <f t="shared" si="6"/>
        <v>4207.2891258071513</v>
      </c>
      <c r="X6" s="29">
        <f t="shared" si="17"/>
        <v>4207.2891258071513</v>
      </c>
      <c r="Y6">
        <f t="shared" si="18"/>
        <v>0</v>
      </c>
    </row>
    <row r="7" spans="1:26" x14ac:dyDescent="0.25">
      <c r="A7" s="4" t="s">
        <v>667</v>
      </c>
      <c r="B7" s="7" t="s">
        <v>89</v>
      </c>
      <c r="C7" s="2" t="s">
        <v>668</v>
      </c>
      <c r="D7">
        <f>VLOOKUP(B7,'Model allocations'!$A$1:$L$317,4,FALSE)</f>
        <v>0</v>
      </c>
      <c r="E7" s="31">
        <f>VLOOKUP(B7,'Initial adjusted formula count'!$A$1:$P$317,12,FALSE)</f>
        <v>8.3602439899533601E-2</v>
      </c>
      <c r="F7">
        <f>VLOOKUP(B7,'Model allocations'!$A$1:$L$317,9,FALSE)</f>
        <v>0</v>
      </c>
      <c r="G7" s="30">
        <f t="shared" si="7"/>
        <v>0.85</v>
      </c>
      <c r="H7">
        <f t="shared" si="8"/>
        <v>0</v>
      </c>
      <c r="I7">
        <f t="shared" si="0"/>
        <v>0</v>
      </c>
      <c r="J7" s="48">
        <f t="shared" si="1"/>
        <v>0</v>
      </c>
      <c r="K7">
        <f t="shared" si="2"/>
        <v>0</v>
      </c>
      <c r="L7">
        <f t="shared" si="9"/>
        <v>0</v>
      </c>
      <c r="M7">
        <f t="shared" si="3"/>
        <v>0</v>
      </c>
      <c r="N7" s="29">
        <f t="shared" si="10"/>
        <v>0</v>
      </c>
      <c r="O7" s="29">
        <f t="shared" si="4"/>
        <v>0</v>
      </c>
      <c r="P7" s="29">
        <f t="shared" si="11"/>
        <v>0</v>
      </c>
      <c r="Q7">
        <f t="shared" si="12"/>
        <v>0</v>
      </c>
      <c r="R7" s="29">
        <f t="shared" si="13"/>
        <v>0</v>
      </c>
      <c r="S7" s="29">
        <f t="shared" si="5"/>
        <v>0</v>
      </c>
      <c r="T7" s="29">
        <f t="shared" si="14"/>
        <v>0</v>
      </c>
      <c r="U7">
        <f t="shared" si="15"/>
        <v>0</v>
      </c>
      <c r="V7" s="29">
        <f t="shared" si="16"/>
        <v>0</v>
      </c>
      <c r="W7" s="29">
        <f t="shared" si="6"/>
        <v>0</v>
      </c>
      <c r="X7" s="29">
        <f t="shared" si="17"/>
        <v>0</v>
      </c>
      <c r="Y7">
        <f t="shared" si="18"/>
        <v>0</v>
      </c>
    </row>
    <row r="8" spans="1:26" x14ac:dyDescent="0.25">
      <c r="A8" s="4" t="s">
        <v>669</v>
      </c>
      <c r="B8" s="7" t="s">
        <v>91</v>
      </c>
      <c r="C8" s="2" t="s">
        <v>670</v>
      </c>
      <c r="D8">
        <f>VLOOKUP(B8,'Model allocations'!$A$1:$L$317,4,FALSE)</f>
        <v>0</v>
      </c>
      <c r="E8" s="31">
        <f>VLOOKUP(B8,'Initial adjusted formula count'!$A$1:$P$317,12,FALSE)</f>
        <v>9.1137965760322195E-2</v>
      </c>
      <c r="F8">
        <f>VLOOKUP(B8,'Model allocations'!$A$1:$L$317,9,FALSE)</f>
        <v>0</v>
      </c>
      <c r="G8" s="30">
        <f t="shared" si="7"/>
        <v>0.85</v>
      </c>
      <c r="H8">
        <f t="shared" si="8"/>
        <v>0</v>
      </c>
      <c r="I8">
        <f t="shared" si="0"/>
        <v>0</v>
      </c>
      <c r="J8" s="48">
        <f t="shared" si="1"/>
        <v>0</v>
      </c>
      <c r="K8">
        <f t="shared" si="2"/>
        <v>0</v>
      </c>
      <c r="L8">
        <f t="shared" si="9"/>
        <v>0</v>
      </c>
      <c r="M8">
        <f t="shared" si="3"/>
        <v>0</v>
      </c>
      <c r="N8" s="29">
        <f t="shared" si="10"/>
        <v>0</v>
      </c>
      <c r="O8" s="29">
        <f t="shared" si="4"/>
        <v>0</v>
      </c>
      <c r="P8" s="29">
        <f t="shared" si="11"/>
        <v>0</v>
      </c>
      <c r="Q8">
        <f t="shared" si="12"/>
        <v>0</v>
      </c>
      <c r="R8" s="29">
        <f t="shared" si="13"/>
        <v>0</v>
      </c>
      <c r="S8" s="29">
        <f t="shared" si="5"/>
        <v>0</v>
      </c>
      <c r="T8" s="29">
        <f t="shared" si="14"/>
        <v>0</v>
      </c>
      <c r="U8">
        <f t="shared" si="15"/>
        <v>0</v>
      </c>
      <c r="V8" s="29">
        <f t="shared" si="16"/>
        <v>0</v>
      </c>
      <c r="W8" s="29">
        <f t="shared" si="6"/>
        <v>0</v>
      </c>
      <c r="X8" s="29">
        <f t="shared" si="17"/>
        <v>0</v>
      </c>
      <c r="Y8">
        <f t="shared" si="18"/>
        <v>0</v>
      </c>
    </row>
    <row r="9" spans="1:26" x14ac:dyDescent="0.25">
      <c r="A9" s="4" t="s">
        <v>671</v>
      </c>
      <c r="B9" s="7" t="s">
        <v>310</v>
      </c>
      <c r="C9" s="2" t="s">
        <v>672</v>
      </c>
      <c r="D9">
        <f>VLOOKUP(B9,'Model allocations'!$A$1:$L$317,4,FALSE)</f>
        <v>0</v>
      </c>
      <c r="E9" s="31">
        <f>VLOOKUP(B9,'Initial adjusted formula count'!$A$1:$P$317,12,FALSE)</f>
        <v>5.72597137014315E-2</v>
      </c>
      <c r="F9">
        <f>VLOOKUP(B9,'Model allocations'!$A$1:$L$317,9,FALSE)</f>
        <v>0</v>
      </c>
      <c r="G9" s="30">
        <f t="shared" si="7"/>
        <v>0.85</v>
      </c>
      <c r="H9">
        <f t="shared" si="8"/>
        <v>0</v>
      </c>
      <c r="I9">
        <f t="shared" si="0"/>
        <v>0</v>
      </c>
      <c r="J9">
        <f t="shared" si="1"/>
        <v>0</v>
      </c>
      <c r="K9">
        <f t="shared" si="2"/>
        <v>0</v>
      </c>
      <c r="L9">
        <f t="shared" si="9"/>
        <v>0</v>
      </c>
      <c r="M9">
        <f t="shared" si="3"/>
        <v>0</v>
      </c>
      <c r="N9" s="29">
        <f t="shared" si="10"/>
        <v>0</v>
      </c>
      <c r="O9" s="29">
        <f t="shared" si="4"/>
        <v>0</v>
      </c>
      <c r="P9" s="29">
        <f t="shared" si="11"/>
        <v>0</v>
      </c>
      <c r="Q9">
        <f t="shared" si="12"/>
        <v>0</v>
      </c>
      <c r="R9" s="29">
        <f t="shared" si="13"/>
        <v>0</v>
      </c>
      <c r="S9" s="29">
        <f t="shared" si="5"/>
        <v>0</v>
      </c>
      <c r="T9" s="29">
        <f t="shared" si="14"/>
        <v>0</v>
      </c>
      <c r="U9">
        <f t="shared" si="15"/>
        <v>0</v>
      </c>
      <c r="V9" s="29">
        <f t="shared" si="16"/>
        <v>0</v>
      </c>
      <c r="W9" s="29">
        <f t="shared" si="6"/>
        <v>0</v>
      </c>
      <c r="X9" s="29">
        <f t="shared" si="17"/>
        <v>0</v>
      </c>
      <c r="Y9">
        <f t="shared" si="18"/>
        <v>0</v>
      </c>
    </row>
    <row r="10" spans="1:26" x14ac:dyDescent="0.25">
      <c r="A10" s="4" t="s">
        <v>673</v>
      </c>
      <c r="B10" s="7" t="s">
        <v>312</v>
      </c>
      <c r="C10" s="2" t="s">
        <v>674</v>
      </c>
      <c r="D10">
        <f>VLOOKUP(B10,'Model allocations'!$A$1:$L$317,4,FALSE)</f>
        <v>684598.32259142061</v>
      </c>
      <c r="E10" s="31">
        <f>VLOOKUP(B10,'Initial adjusted formula count'!$A$1:$P$317,12,FALSE)</f>
        <v>0.152858619376598</v>
      </c>
      <c r="F10">
        <f>VLOOKUP(B10,'Model allocations'!$A$1:$L$317,9,FALSE)</f>
        <v>657521.83318629628</v>
      </c>
      <c r="G10" s="30">
        <f t="shared" si="7"/>
        <v>0.9</v>
      </c>
      <c r="H10">
        <f t="shared" si="8"/>
        <v>616138.49033227854</v>
      </c>
      <c r="I10">
        <f t="shared" si="0"/>
        <v>0</v>
      </c>
      <c r="J10">
        <f t="shared" si="1"/>
        <v>657521.83318629628</v>
      </c>
      <c r="K10">
        <f t="shared" si="2"/>
        <v>656969.39374417951</v>
      </c>
      <c r="L10">
        <f t="shared" si="9"/>
        <v>656969.39374417951</v>
      </c>
      <c r="M10">
        <f t="shared" si="3"/>
        <v>0</v>
      </c>
      <c r="N10" s="29">
        <f t="shared" si="10"/>
        <v>656969.39374417951</v>
      </c>
      <c r="O10" s="29">
        <f t="shared" si="4"/>
        <v>656804.58019544964</v>
      </c>
      <c r="P10" s="29">
        <f t="shared" si="11"/>
        <v>656804.58019544964</v>
      </c>
      <c r="Q10">
        <f t="shared" si="12"/>
        <v>0</v>
      </c>
      <c r="R10" s="29">
        <f t="shared" si="13"/>
        <v>656804.58019544964</v>
      </c>
      <c r="S10" s="29">
        <f t="shared" si="5"/>
        <v>656804.58019544953</v>
      </c>
      <c r="T10" s="29">
        <f t="shared" si="14"/>
        <v>656804.58019544953</v>
      </c>
      <c r="U10">
        <f t="shared" si="15"/>
        <v>0</v>
      </c>
      <c r="V10" s="29">
        <f t="shared" si="16"/>
        <v>656804.58019544953</v>
      </c>
      <c r="W10" s="29">
        <f t="shared" si="6"/>
        <v>656804.58019544953</v>
      </c>
      <c r="X10" s="29">
        <f t="shared" si="17"/>
        <v>656804.58019544953</v>
      </c>
      <c r="Y10">
        <f t="shared" si="18"/>
        <v>0</v>
      </c>
    </row>
    <row r="11" spans="1:26" x14ac:dyDescent="0.25">
      <c r="A11" s="4" t="s">
        <v>675</v>
      </c>
      <c r="B11" s="7" t="s">
        <v>93</v>
      </c>
      <c r="C11" s="2" t="s">
        <v>676</v>
      </c>
      <c r="D11">
        <f>VLOOKUP(B11,'Model allocations'!$A$1:$L$317,4,FALSE)</f>
        <v>0</v>
      </c>
      <c r="E11" s="31">
        <f>VLOOKUP(B11,'Initial adjusted formula count'!$A$1:$P$317,12,FALSE)</f>
        <v>3.7764350453172203E-2</v>
      </c>
      <c r="F11">
        <f>VLOOKUP(B11,'Model allocations'!$A$1:$L$317,9,FALSE)</f>
        <v>0</v>
      </c>
      <c r="G11" s="30">
        <f t="shared" si="7"/>
        <v>0.85</v>
      </c>
      <c r="H11">
        <f t="shared" si="8"/>
        <v>0</v>
      </c>
      <c r="I11">
        <f t="shared" si="0"/>
        <v>0</v>
      </c>
      <c r="J11">
        <f t="shared" si="1"/>
        <v>0</v>
      </c>
      <c r="K11">
        <f t="shared" si="2"/>
        <v>0</v>
      </c>
      <c r="L11">
        <f t="shared" si="9"/>
        <v>0</v>
      </c>
      <c r="M11">
        <f t="shared" si="3"/>
        <v>0</v>
      </c>
      <c r="N11" s="29">
        <f t="shared" si="10"/>
        <v>0</v>
      </c>
      <c r="O11" s="29">
        <f t="shared" si="4"/>
        <v>0</v>
      </c>
      <c r="P11" s="29">
        <f t="shared" si="11"/>
        <v>0</v>
      </c>
      <c r="Q11">
        <f t="shared" si="12"/>
        <v>0</v>
      </c>
      <c r="R11" s="29">
        <f t="shared" si="13"/>
        <v>0</v>
      </c>
      <c r="S11" s="29">
        <f t="shared" si="5"/>
        <v>0</v>
      </c>
      <c r="T11" s="29">
        <f t="shared" si="14"/>
        <v>0</v>
      </c>
      <c r="U11">
        <f t="shared" si="15"/>
        <v>0</v>
      </c>
      <c r="V11" s="29">
        <f t="shared" si="16"/>
        <v>0</v>
      </c>
      <c r="W11" s="29">
        <f t="shared" si="6"/>
        <v>0</v>
      </c>
      <c r="X11" s="29">
        <f t="shared" si="17"/>
        <v>0</v>
      </c>
      <c r="Y11">
        <f t="shared" si="18"/>
        <v>0</v>
      </c>
    </row>
    <row r="12" spans="1:26" x14ac:dyDescent="0.25">
      <c r="A12" s="4" t="s">
        <v>677</v>
      </c>
      <c r="B12" s="7" t="s">
        <v>95</v>
      </c>
      <c r="C12" s="2" t="s">
        <v>678</v>
      </c>
      <c r="D12">
        <f>VLOOKUP(B12,'Model allocations'!$A$1:$L$317,4,FALSE)</f>
        <v>0</v>
      </c>
      <c r="E12" s="31">
        <f>VLOOKUP(B12,'Initial adjusted formula count'!$A$1:$P$317,12,FALSE)</f>
        <v>5.6461731493099097E-2</v>
      </c>
      <c r="F12">
        <f>VLOOKUP(B12,'Model allocations'!$A$1:$L$317,9,FALSE)</f>
        <v>0</v>
      </c>
      <c r="G12" s="30">
        <f t="shared" si="7"/>
        <v>0.85</v>
      </c>
      <c r="H12">
        <f t="shared" si="8"/>
        <v>0</v>
      </c>
      <c r="I12">
        <f t="shared" si="0"/>
        <v>0</v>
      </c>
      <c r="J12">
        <f t="shared" si="1"/>
        <v>0</v>
      </c>
      <c r="K12">
        <f t="shared" si="2"/>
        <v>0</v>
      </c>
      <c r="L12">
        <f t="shared" si="9"/>
        <v>0</v>
      </c>
      <c r="M12">
        <f t="shared" si="3"/>
        <v>0</v>
      </c>
      <c r="N12" s="29">
        <f t="shared" si="10"/>
        <v>0</v>
      </c>
      <c r="O12" s="29">
        <f t="shared" si="4"/>
        <v>0</v>
      </c>
      <c r="P12" s="29">
        <f t="shared" si="11"/>
        <v>0</v>
      </c>
      <c r="Q12">
        <f t="shared" si="12"/>
        <v>0</v>
      </c>
      <c r="R12" s="29">
        <f t="shared" si="13"/>
        <v>0</v>
      </c>
      <c r="S12" s="29">
        <f t="shared" si="5"/>
        <v>0</v>
      </c>
      <c r="T12" s="29">
        <f t="shared" si="14"/>
        <v>0</v>
      </c>
      <c r="U12">
        <f t="shared" si="15"/>
        <v>0</v>
      </c>
      <c r="V12" s="29">
        <f t="shared" si="16"/>
        <v>0</v>
      </c>
      <c r="W12" s="29">
        <f t="shared" si="6"/>
        <v>0</v>
      </c>
      <c r="X12" s="29">
        <f t="shared" si="17"/>
        <v>0</v>
      </c>
      <c r="Y12">
        <f t="shared" si="18"/>
        <v>0</v>
      </c>
    </row>
    <row r="13" spans="1:26" x14ac:dyDescent="0.25">
      <c r="A13" s="4" t="s">
        <v>679</v>
      </c>
      <c r="B13" s="7" t="s">
        <v>97</v>
      </c>
      <c r="C13" s="2" t="s">
        <v>680</v>
      </c>
      <c r="D13">
        <f>VLOOKUP(B13,'Model allocations'!$A$1:$L$317,4,FALSE)</f>
        <v>0</v>
      </c>
      <c r="E13" s="31">
        <f>VLOOKUP(B13,'Initial adjusted formula count'!$A$1:$P$317,12,FALSE)</f>
        <v>6.5075343379117204E-2</v>
      </c>
      <c r="F13">
        <f>VLOOKUP(B13,'Model allocations'!$A$1:$L$317,9,FALSE)</f>
        <v>0</v>
      </c>
      <c r="G13" s="30">
        <f t="shared" si="7"/>
        <v>0.85</v>
      </c>
      <c r="H13">
        <f t="shared" si="8"/>
        <v>0</v>
      </c>
      <c r="I13">
        <f t="shared" si="0"/>
        <v>0</v>
      </c>
      <c r="J13">
        <f t="shared" si="1"/>
        <v>0</v>
      </c>
      <c r="K13">
        <f t="shared" si="2"/>
        <v>0</v>
      </c>
      <c r="L13">
        <f t="shared" si="9"/>
        <v>0</v>
      </c>
      <c r="M13">
        <f t="shared" si="3"/>
        <v>0</v>
      </c>
      <c r="N13" s="29">
        <f t="shared" si="10"/>
        <v>0</v>
      </c>
      <c r="O13" s="29">
        <f t="shared" si="4"/>
        <v>0</v>
      </c>
      <c r="P13" s="29">
        <f t="shared" si="11"/>
        <v>0</v>
      </c>
      <c r="Q13">
        <f t="shared" si="12"/>
        <v>0</v>
      </c>
      <c r="R13" s="29">
        <f t="shared" si="13"/>
        <v>0</v>
      </c>
      <c r="S13" s="29">
        <f t="shared" si="5"/>
        <v>0</v>
      </c>
      <c r="T13" s="29">
        <f t="shared" si="14"/>
        <v>0</v>
      </c>
      <c r="U13">
        <f t="shared" si="15"/>
        <v>0</v>
      </c>
      <c r="V13" s="29">
        <f t="shared" si="16"/>
        <v>0</v>
      </c>
      <c r="W13" s="29">
        <f t="shared" si="6"/>
        <v>0</v>
      </c>
      <c r="X13" s="29">
        <f t="shared" si="17"/>
        <v>0</v>
      </c>
      <c r="Y13">
        <f t="shared" si="18"/>
        <v>0</v>
      </c>
    </row>
    <row r="14" spans="1:26" x14ac:dyDescent="0.25">
      <c r="A14" s="4" t="s">
        <v>14</v>
      </c>
      <c r="B14" s="7" t="s">
        <v>56</v>
      </c>
      <c r="C14" s="2" t="s">
        <v>681</v>
      </c>
      <c r="D14">
        <f>VLOOKUP(B14,'Model allocations'!$A$1:$L$317,4,FALSE)</f>
        <v>0</v>
      </c>
      <c r="E14" s="31">
        <f>VLOOKUP(B14,'Initial adjusted formula count'!$A$1:$P$317,12,FALSE)</f>
        <v>0.107499112021232</v>
      </c>
      <c r="F14">
        <f>VLOOKUP(B14,'Model allocations'!$A$1:$L$317,9,FALSE)</f>
        <v>0</v>
      </c>
      <c r="G14" s="30">
        <f t="shared" si="7"/>
        <v>0.85</v>
      </c>
      <c r="H14">
        <f t="shared" si="8"/>
        <v>0</v>
      </c>
      <c r="I14">
        <f t="shared" si="0"/>
        <v>0</v>
      </c>
      <c r="J14">
        <f t="shared" si="1"/>
        <v>0</v>
      </c>
      <c r="K14">
        <f t="shared" si="2"/>
        <v>0</v>
      </c>
      <c r="L14">
        <f t="shared" si="9"/>
        <v>0</v>
      </c>
      <c r="M14">
        <f t="shared" si="3"/>
        <v>0</v>
      </c>
      <c r="N14" s="29">
        <f t="shared" si="10"/>
        <v>0</v>
      </c>
      <c r="O14" s="29">
        <f t="shared" si="4"/>
        <v>0</v>
      </c>
      <c r="P14" s="29">
        <f t="shared" si="11"/>
        <v>0</v>
      </c>
      <c r="Q14">
        <f t="shared" si="12"/>
        <v>0</v>
      </c>
      <c r="R14" s="29">
        <f t="shared" si="13"/>
        <v>0</v>
      </c>
      <c r="S14" s="29">
        <f t="shared" si="5"/>
        <v>0</v>
      </c>
      <c r="T14" s="29">
        <f t="shared" si="14"/>
        <v>0</v>
      </c>
      <c r="U14">
        <f t="shared" si="15"/>
        <v>0</v>
      </c>
      <c r="V14" s="29">
        <f t="shared" si="16"/>
        <v>0</v>
      </c>
      <c r="W14" s="29">
        <f t="shared" si="6"/>
        <v>0</v>
      </c>
      <c r="X14" s="29">
        <f t="shared" si="17"/>
        <v>0</v>
      </c>
      <c r="Y14">
        <f t="shared" si="18"/>
        <v>0</v>
      </c>
    </row>
    <row r="15" spans="1:26" x14ac:dyDescent="0.25">
      <c r="A15" s="4" t="s">
        <v>682</v>
      </c>
      <c r="B15" s="7" t="s">
        <v>99</v>
      </c>
      <c r="C15" s="2" t="s">
        <v>683</v>
      </c>
      <c r="D15">
        <f>VLOOKUP(B15,'Model allocations'!$A$1:$L$317,4,FALSE)</f>
        <v>0</v>
      </c>
      <c r="E15" s="31">
        <f>VLOOKUP(B15,'Initial adjusted formula count'!$A$1:$P$317,12,FALSE)</f>
        <v>0.125</v>
      </c>
      <c r="F15">
        <f>VLOOKUP(B15,'Model allocations'!$A$1:$L$317,9,FALSE)</f>
        <v>0</v>
      </c>
      <c r="G15" s="30">
        <f t="shared" si="7"/>
        <v>0.85</v>
      </c>
      <c r="H15">
        <f t="shared" si="8"/>
        <v>0</v>
      </c>
      <c r="I15">
        <f t="shared" si="0"/>
        <v>0</v>
      </c>
      <c r="J15">
        <f t="shared" si="1"/>
        <v>0</v>
      </c>
      <c r="K15">
        <f t="shared" si="2"/>
        <v>0</v>
      </c>
      <c r="L15">
        <f t="shared" si="9"/>
        <v>0</v>
      </c>
      <c r="M15">
        <f t="shared" si="3"/>
        <v>0</v>
      </c>
      <c r="N15" s="29">
        <f t="shared" si="10"/>
        <v>0</v>
      </c>
      <c r="O15" s="29">
        <f t="shared" si="4"/>
        <v>0</v>
      </c>
      <c r="P15" s="29">
        <f t="shared" si="11"/>
        <v>0</v>
      </c>
      <c r="Q15">
        <f t="shared" si="12"/>
        <v>0</v>
      </c>
      <c r="R15" s="29">
        <f t="shared" si="13"/>
        <v>0</v>
      </c>
      <c r="S15" s="29">
        <f t="shared" si="5"/>
        <v>0</v>
      </c>
      <c r="T15" s="29">
        <f t="shared" si="14"/>
        <v>0</v>
      </c>
      <c r="U15">
        <f t="shared" si="15"/>
        <v>0</v>
      </c>
      <c r="V15" s="29">
        <f t="shared" si="16"/>
        <v>0</v>
      </c>
      <c r="W15" s="29">
        <f t="shared" si="6"/>
        <v>0</v>
      </c>
      <c r="X15" s="29">
        <f t="shared" si="17"/>
        <v>0</v>
      </c>
      <c r="Y15">
        <f t="shared" si="18"/>
        <v>0</v>
      </c>
    </row>
    <row r="16" spans="1:26" x14ac:dyDescent="0.25">
      <c r="A16" s="4" t="s">
        <v>684</v>
      </c>
      <c r="B16" s="7" t="s">
        <v>264</v>
      </c>
      <c r="C16" s="2" t="s">
        <v>685</v>
      </c>
      <c r="D16">
        <f>VLOOKUP(B16,'Model allocations'!$A$1:$L$317,4,FALSE)</f>
        <v>0</v>
      </c>
      <c r="E16" s="31">
        <f>VLOOKUP(B16,'Initial adjusted formula count'!$A$1:$P$317,12,FALSE)</f>
        <v>0.103161876567575</v>
      </c>
      <c r="F16">
        <f>VLOOKUP(B16,'Model allocations'!$A$1:$L$317,9,FALSE)</f>
        <v>0</v>
      </c>
      <c r="G16" s="30">
        <f t="shared" si="7"/>
        <v>0.85</v>
      </c>
      <c r="H16">
        <f t="shared" si="8"/>
        <v>0</v>
      </c>
      <c r="I16">
        <f t="shared" si="0"/>
        <v>0</v>
      </c>
      <c r="J16">
        <f t="shared" si="1"/>
        <v>0</v>
      </c>
      <c r="K16">
        <f t="shared" si="2"/>
        <v>0</v>
      </c>
      <c r="L16">
        <f t="shared" si="9"/>
        <v>0</v>
      </c>
      <c r="M16">
        <f t="shared" si="3"/>
        <v>0</v>
      </c>
      <c r="N16" s="29">
        <f t="shared" si="10"/>
        <v>0</v>
      </c>
      <c r="O16" s="29">
        <f t="shared" si="4"/>
        <v>0</v>
      </c>
      <c r="P16" s="29">
        <f t="shared" si="11"/>
        <v>0</v>
      </c>
      <c r="Q16">
        <f t="shared" si="12"/>
        <v>0</v>
      </c>
      <c r="R16" s="29">
        <f t="shared" si="13"/>
        <v>0</v>
      </c>
      <c r="S16" s="29">
        <f t="shared" si="5"/>
        <v>0</v>
      </c>
      <c r="T16" s="29">
        <f t="shared" si="14"/>
        <v>0</v>
      </c>
      <c r="U16">
        <f t="shared" si="15"/>
        <v>0</v>
      </c>
      <c r="V16" s="29">
        <f t="shared" si="16"/>
        <v>0</v>
      </c>
      <c r="W16" s="29">
        <f t="shared" si="6"/>
        <v>0</v>
      </c>
      <c r="X16" s="29">
        <f t="shared" si="17"/>
        <v>0</v>
      </c>
      <c r="Y16">
        <f t="shared" si="18"/>
        <v>0</v>
      </c>
    </row>
    <row r="17" spans="1:25" x14ac:dyDescent="0.25">
      <c r="A17" s="4" t="s">
        <v>686</v>
      </c>
      <c r="B17" s="7" t="s">
        <v>314</v>
      </c>
      <c r="C17" s="2" t="s">
        <v>687</v>
      </c>
      <c r="D17">
        <f>VLOOKUP(B17,'Model allocations'!$A$1:$L$317,4,FALSE)</f>
        <v>2856.5758939464172</v>
      </c>
      <c r="E17" s="31">
        <f>VLOOKUP(B17,'Initial adjusted formula count'!$A$1:$P$317,12,FALSE)</f>
        <v>0.113924050632911</v>
      </c>
      <c r="F17">
        <f>VLOOKUP(B17,'Model allocations'!$A$1:$L$317,9,FALSE)</f>
        <v>2428.0895098544547</v>
      </c>
      <c r="G17" s="30">
        <f t="shared" si="7"/>
        <v>0.85</v>
      </c>
      <c r="H17">
        <f t="shared" si="8"/>
        <v>2428.0895098544547</v>
      </c>
      <c r="I17">
        <f t="shared" si="0"/>
        <v>0</v>
      </c>
      <c r="J17">
        <f t="shared" si="1"/>
        <v>2428.0895098544547</v>
      </c>
      <c r="K17">
        <f t="shared" si="2"/>
        <v>2426.0494674611346</v>
      </c>
      <c r="L17">
        <f t="shared" si="9"/>
        <v>2426.0494674611346</v>
      </c>
      <c r="M17">
        <f t="shared" si="3"/>
        <v>2428.0895098544547</v>
      </c>
      <c r="N17" s="29">
        <f t="shared" si="10"/>
        <v>0</v>
      </c>
      <c r="O17" s="29">
        <f t="shared" si="4"/>
        <v>0</v>
      </c>
      <c r="P17" s="29">
        <f t="shared" si="11"/>
        <v>2428.0895098544547</v>
      </c>
      <c r="Q17">
        <f t="shared" si="12"/>
        <v>0</v>
      </c>
      <c r="R17" s="29">
        <f t="shared" si="13"/>
        <v>0</v>
      </c>
      <c r="S17" s="29">
        <f t="shared" si="5"/>
        <v>0</v>
      </c>
      <c r="T17" s="29">
        <f t="shared" si="14"/>
        <v>2428.0895098544547</v>
      </c>
      <c r="U17">
        <f t="shared" si="15"/>
        <v>0</v>
      </c>
      <c r="V17" s="29">
        <f t="shared" si="16"/>
        <v>0</v>
      </c>
      <c r="W17" s="29">
        <f t="shared" si="6"/>
        <v>0</v>
      </c>
      <c r="X17" s="29">
        <f t="shared" si="17"/>
        <v>2428.0895098544547</v>
      </c>
      <c r="Y17">
        <f t="shared" si="18"/>
        <v>0</v>
      </c>
    </row>
    <row r="18" spans="1:25" x14ac:dyDescent="0.25">
      <c r="A18" s="4" t="s">
        <v>688</v>
      </c>
      <c r="B18" s="7" t="s">
        <v>316</v>
      </c>
      <c r="C18" s="2" t="s">
        <v>689</v>
      </c>
      <c r="D18">
        <f>VLOOKUP(B18,'Model allocations'!$A$1:$L$317,4,FALSE)</f>
        <v>69964.94958025057</v>
      </c>
      <c r="E18" s="31">
        <f>VLOOKUP(B18,'Initial adjusted formula count'!$A$1:$P$317,12,FALSE)</f>
        <v>0.123840258168616</v>
      </c>
      <c r="F18">
        <f>VLOOKUP(B18,'Model allocations'!$A$1:$L$317,9,FALSE)</f>
        <v>59470.207143212981</v>
      </c>
      <c r="G18" s="30">
        <f t="shared" si="7"/>
        <v>0.85</v>
      </c>
      <c r="H18">
        <f t="shared" si="8"/>
        <v>59470.207143212981</v>
      </c>
      <c r="I18">
        <f t="shared" si="0"/>
        <v>0</v>
      </c>
      <c r="J18">
        <f t="shared" si="1"/>
        <v>59470.207143212981</v>
      </c>
      <c r="K18">
        <f t="shared" si="2"/>
        <v>59420.24121600177</v>
      </c>
      <c r="L18">
        <f t="shared" si="9"/>
        <v>59420.24121600177</v>
      </c>
      <c r="M18">
        <f t="shared" si="3"/>
        <v>59470.207143212981</v>
      </c>
      <c r="N18" s="29">
        <f t="shared" si="10"/>
        <v>0</v>
      </c>
      <c r="O18" s="29">
        <f t="shared" si="4"/>
        <v>0</v>
      </c>
      <c r="P18" s="29">
        <f t="shared" si="11"/>
        <v>59470.207143212981</v>
      </c>
      <c r="Q18">
        <f t="shared" si="12"/>
        <v>0</v>
      </c>
      <c r="R18" s="29">
        <f t="shared" si="13"/>
        <v>0</v>
      </c>
      <c r="S18" s="29">
        <f t="shared" si="5"/>
        <v>0</v>
      </c>
      <c r="T18" s="29">
        <f t="shared" si="14"/>
        <v>59470.207143212981</v>
      </c>
      <c r="U18">
        <f t="shared" si="15"/>
        <v>0</v>
      </c>
      <c r="V18" s="29">
        <f t="shared" si="16"/>
        <v>0</v>
      </c>
      <c r="W18" s="29">
        <f t="shared" si="6"/>
        <v>0</v>
      </c>
      <c r="X18" s="29">
        <f t="shared" si="17"/>
        <v>59470.207143212981</v>
      </c>
      <c r="Y18">
        <f t="shared" si="18"/>
        <v>0</v>
      </c>
    </row>
    <row r="19" spans="1:25" x14ac:dyDescent="0.25">
      <c r="A19" s="4" t="s">
        <v>690</v>
      </c>
      <c r="B19" s="7" t="s">
        <v>318</v>
      </c>
      <c r="C19" s="2" t="s">
        <v>691</v>
      </c>
      <c r="D19">
        <f>VLOOKUP(B19,'Model allocations'!$A$1:$L$317,4,FALSE)</f>
        <v>3831.1206422324799</v>
      </c>
      <c r="E19" s="31">
        <f>VLOOKUP(B19,'Initial adjusted formula count'!$A$1:$P$317,12,FALSE)</f>
        <v>0.11009174311926601</v>
      </c>
      <c r="F19">
        <f>VLOOKUP(B19,'Model allocations'!$A$1:$L$317,9,FALSE)</f>
        <v>3256.4525458976077</v>
      </c>
      <c r="G19" s="30">
        <f t="shared" si="7"/>
        <v>0.85</v>
      </c>
      <c r="H19">
        <f t="shared" si="8"/>
        <v>3256.4525458976077</v>
      </c>
      <c r="I19">
        <f t="shared" si="0"/>
        <v>0</v>
      </c>
      <c r="J19">
        <f t="shared" si="1"/>
        <v>3256.4525458976077</v>
      </c>
      <c r="K19">
        <f t="shared" si="2"/>
        <v>3253.7165259862722</v>
      </c>
      <c r="L19">
        <f t="shared" si="9"/>
        <v>3253.7165259862722</v>
      </c>
      <c r="M19">
        <f t="shared" si="3"/>
        <v>3256.4525458976077</v>
      </c>
      <c r="N19" s="29">
        <f t="shared" si="10"/>
        <v>0</v>
      </c>
      <c r="O19" s="29">
        <f t="shared" si="4"/>
        <v>0</v>
      </c>
      <c r="P19" s="29">
        <f t="shared" si="11"/>
        <v>3256.4525458976077</v>
      </c>
      <c r="Q19">
        <f t="shared" si="12"/>
        <v>0</v>
      </c>
      <c r="R19" s="29">
        <f t="shared" si="13"/>
        <v>0</v>
      </c>
      <c r="S19" s="29">
        <f t="shared" si="5"/>
        <v>0</v>
      </c>
      <c r="T19" s="29">
        <f t="shared" si="14"/>
        <v>3256.4525458976077</v>
      </c>
      <c r="U19">
        <f t="shared" si="15"/>
        <v>0</v>
      </c>
      <c r="V19" s="29">
        <f t="shared" si="16"/>
        <v>0</v>
      </c>
      <c r="W19" s="29">
        <f t="shared" si="6"/>
        <v>0</v>
      </c>
      <c r="X19" s="29">
        <f t="shared" si="17"/>
        <v>3256.4525458976077</v>
      </c>
      <c r="Y19">
        <f t="shared" si="18"/>
        <v>0</v>
      </c>
    </row>
    <row r="20" spans="1:25" x14ac:dyDescent="0.25">
      <c r="A20" s="4" t="s">
        <v>10</v>
      </c>
      <c r="B20" s="7" t="s">
        <v>55</v>
      </c>
      <c r="C20" s="2" t="s">
        <v>692</v>
      </c>
      <c r="D20">
        <f>VLOOKUP(B20,'Model allocations'!$A$1:$L$317,4,FALSE)</f>
        <v>215825.73013537956</v>
      </c>
      <c r="E20" s="31">
        <f>VLOOKUP(B20,'Initial adjusted formula count'!$A$1:$P$317,12,FALSE)</f>
        <v>0.16207927174450701</v>
      </c>
      <c r="F20">
        <f>VLOOKUP(B20,'Model allocations'!$A$1:$L$317,9,FALSE)</f>
        <v>192891.27822255064</v>
      </c>
      <c r="G20" s="30">
        <f t="shared" si="7"/>
        <v>0.9</v>
      </c>
      <c r="H20">
        <f t="shared" si="8"/>
        <v>194243.15712184162</v>
      </c>
      <c r="I20">
        <f t="shared" si="0"/>
        <v>194243.15712184162</v>
      </c>
      <c r="J20">
        <f t="shared" si="1"/>
        <v>0</v>
      </c>
      <c r="K20">
        <f t="shared" si="2"/>
        <v>0</v>
      </c>
      <c r="L20">
        <f t="shared" si="9"/>
        <v>194243.15712184162</v>
      </c>
      <c r="M20">
        <f t="shared" si="3"/>
        <v>0</v>
      </c>
      <c r="N20" s="29">
        <f t="shared" si="10"/>
        <v>0</v>
      </c>
      <c r="O20" s="29">
        <f t="shared" si="4"/>
        <v>0</v>
      </c>
      <c r="P20" s="29">
        <f t="shared" si="11"/>
        <v>194243.15712184162</v>
      </c>
      <c r="Q20">
        <f t="shared" si="12"/>
        <v>0</v>
      </c>
      <c r="R20" s="29">
        <f t="shared" si="13"/>
        <v>0</v>
      </c>
      <c r="S20" s="29">
        <f t="shared" si="5"/>
        <v>0</v>
      </c>
      <c r="T20" s="29">
        <f t="shared" si="14"/>
        <v>194243.15712184162</v>
      </c>
      <c r="U20">
        <f t="shared" si="15"/>
        <v>0</v>
      </c>
      <c r="V20" s="29">
        <f t="shared" si="16"/>
        <v>0</v>
      </c>
      <c r="W20" s="29">
        <f t="shared" si="6"/>
        <v>0</v>
      </c>
      <c r="X20" s="29">
        <f t="shared" si="17"/>
        <v>194243.15712184162</v>
      </c>
      <c r="Y20">
        <f t="shared" si="18"/>
        <v>0</v>
      </c>
    </row>
    <row r="21" spans="1:25" x14ac:dyDescent="0.25">
      <c r="A21" s="4" t="s">
        <v>693</v>
      </c>
      <c r="B21" s="7" t="s">
        <v>320</v>
      </c>
      <c r="C21" s="2" t="s">
        <v>694</v>
      </c>
      <c r="D21">
        <f>VLOOKUP(B21,'Model allocations'!$A$1:$L$317,4,FALSE)</f>
        <v>54229.157445164499</v>
      </c>
      <c r="E21" s="31">
        <f>VLOOKUP(B21,'Initial adjusted formula count'!$A$1:$P$317,12,FALSE)</f>
        <v>0.255005268703899</v>
      </c>
      <c r="F21">
        <f>VLOOKUP(B21,'Model allocations'!$A$1:$L$317,9,FALSE)</f>
        <v>56626.435455901687</v>
      </c>
      <c r="G21" s="30">
        <f t="shared" si="7"/>
        <v>0.9</v>
      </c>
      <c r="H21">
        <f t="shared" si="8"/>
        <v>48806.241700648054</v>
      </c>
      <c r="I21">
        <f t="shared" si="0"/>
        <v>0</v>
      </c>
      <c r="J21">
        <f t="shared" si="1"/>
        <v>56626.435455901687</v>
      </c>
      <c r="K21">
        <f t="shared" si="2"/>
        <v>56578.858820673129</v>
      </c>
      <c r="L21">
        <f t="shared" si="9"/>
        <v>56578.858820673129</v>
      </c>
      <c r="M21">
        <f t="shared" si="3"/>
        <v>0</v>
      </c>
      <c r="N21" s="29">
        <f t="shared" si="10"/>
        <v>56578.858820673129</v>
      </c>
      <c r="O21" s="29">
        <f t="shared" si="4"/>
        <v>56564.664913629502</v>
      </c>
      <c r="P21" s="29">
        <f t="shared" si="11"/>
        <v>56564.664913629502</v>
      </c>
      <c r="Q21">
        <f t="shared" si="12"/>
        <v>0</v>
      </c>
      <c r="R21" s="29">
        <f t="shared" si="13"/>
        <v>56564.664913629502</v>
      </c>
      <c r="S21" s="29">
        <f t="shared" si="5"/>
        <v>56564.664913629487</v>
      </c>
      <c r="T21" s="29">
        <f t="shared" si="14"/>
        <v>56564.664913629487</v>
      </c>
      <c r="U21">
        <f t="shared" si="15"/>
        <v>0</v>
      </c>
      <c r="V21" s="29">
        <f t="shared" si="16"/>
        <v>56564.664913629487</v>
      </c>
      <c r="W21" s="29">
        <f t="shared" si="6"/>
        <v>56564.664913629487</v>
      </c>
      <c r="X21" s="29">
        <f t="shared" si="17"/>
        <v>56564.664913629487</v>
      </c>
      <c r="Y21">
        <f t="shared" si="18"/>
        <v>0</v>
      </c>
    </row>
    <row r="22" spans="1:25" x14ac:dyDescent="0.25">
      <c r="A22" s="4" t="s">
        <v>695</v>
      </c>
      <c r="B22" s="7" t="s">
        <v>322</v>
      </c>
      <c r="C22" s="2" t="s">
        <v>696</v>
      </c>
      <c r="D22">
        <f>VLOOKUP(B22,'Model allocations'!$A$1:$L$317,4,FALSE)</f>
        <v>39577.771047698981</v>
      </c>
      <c r="E22" s="31">
        <f>VLOOKUP(B22,'Initial adjusted formula count'!$A$1:$P$317,12,FALSE)</f>
        <v>0.22727272727272699</v>
      </c>
      <c r="F22">
        <f>VLOOKUP(B22,'Model allocations'!$A$1:$L$317,9,FALSE)</f>
        <v>36268.997915970096</v>
      </c>
      <c r="G22" s="30">
        <f t="shared" si="7"/>
        <v>0.9</v>
      </c>
      <c r="H22">
        <f t="shared" si="8"/>
        <v>35619.993942929083</v>
      </c>
      <c r="I22">
        <f t="shared" si="0"/>
        <v>0</v>
      </c>
      <c r="J22">
        <f t="shared" si="1"/>
        <v>36268.997915970096</v>
      </c>
      <c r="K22">
        <f t="shared" si="2"/>
        <v>36238.52527770387</v>
      </c>
      <c r="L22">
        <f t="shared" si="9"/>
        <v>36238.52527770387</v>
      </c>
      <c r="M22">
        <f t="shared" si="3"/>
        <v>0</v>
      </c>
      <c r="N22" s="29">
        <f t="shared" si="10"/>
        <v>36238.52527770387</v>
      </c>
      <c r="O22" s="29">
        <f t="shared" si="4"/>
        <v>36229.434138894932</v>
      </c>
      <c r="P22" s="29">
        <f t="shared" si="11"/>
        <v>36229.434138894932</v>
      </c>
      <c r="Q22">
        <f t="shared" si="12"/>
        <v>0</v>
      </c>
      <c r="R22" s="29">
        <f t="shared" si="13"/>
        <v>36229.434138894932</v>
      </c>
      <c r="S22" s="29">
        <f t="shared" si="5"/>
        <v>36229.434138894925</v>
      </c>
      <c r="T22" s="29">
        <f t="shared" si="14"/>
        <v>36229.434138894925</v>
      </c>
      <c r="U22">
        <f t="shared" si="15"/>
        <v>0</v>
      </c>
      <c r="V22" s="29">
        <f t="shared" si="16"/>
        <v>36229.434138894925</v>
      </c>
      <c r="W22" s="29">
        <f t="shared" si="6"/>
        <v>36229.434138894925</v>
      </c>
      <c r="X22" s="29">
        <f t="shared" si="17"/>
        <v>36229.434138894925</v>
      </c>
      <c r="Y22">
        <f t="shared" si="18"/>
        <v>0</v>
      </c>
    </row>
    <row r="23" spans="1:25" x14ac:dyDescent="0.25">
      <c r="A23" s="4" t="s">
        <v>697</v>
      </c>
      <c r="B23" s="7" t="s">
        <v>324</v>
      </c>
      <c r="C23" s="2" t="s">
        <v>698</v>
      </c>
      <c r="D23">
        <f>VLOOKUP(B23,'Model allocations'!$A$1:$L$317,4,FALSE)</f>
        <v>6120.5810297908465</v>
      </c>
      <c r="E23" s="31">
        <f>VLOOKUP(B23,'Initial adjusted formula count'!$A$1:$P$317,12,FALSE)</f>
        <v>0.23214285714285701</v>
      </c>
      <c r="F23">
        <f>VLOOKUP(B23,'Model allocations'!$A$1:$L$317,9,FALSE)</f>
        <v>6083.8319084853065</v>
      </c>
      <c r="G23" s="30">
        <f t="shared" si="7"/>
        <v>0.9</v>
      </c>
      <c r="H23">
        <f t="shared" si="8"/>
        <v>5508.5229268117619</v>
      </c>
      <c r="I23">
        <f t="shared" si="0"/>
        <v>0</v>
      </c>
      <c r="J23">
        <f t="shared" si="1"/>
        <v>6083.8319084853065</v>
      </c>
      <c r="K23">
        <f t="shared" si="2"/>
        <v>6078.7203691632294</v>
      </c>
      <c r="L23">
        <f t="shared" si="9"/>
        <v>6078.7203691632294</v>
      </c>
      <c r="M23">
        <f t="shared" si="3"/>
        <v>0</v>
      </c>
      <c r="N23" s="29">
        <f t="shared" si="10"/>
        <v>6078.7203691632294</v>
      </c>
      <c r="O23" s="29">
        <f t="shared" si="4"/>
        <v>6077.195403943665</v>
      </c>
      <c r="P23" s="29">
        <f t="shared" si="11"/>
        <v>6077.195403943665</v>
      </c>
      <c r="Q23">
        <f t="shared" si="12"/>
        <v>0</v>
      </c>
      <c r="R23" s="29">
        <f t="shared" si="13"/>
        <v>6077.195403943665</v>
      </c>
      <c r="S23" s="29">
        <f t="shared" si="5"/>
        <v>6077.1954039436632</v>
      </c>
      <c r="T23" s="29">
        <f t="shared" si="14"/>
        <v>6077.1954039436632</v>
      </c>
      <c r="U23">
        <f t="shared" si="15"/>
        <v>0</v>
      </c>
      <c r="V23" s="29">
        <f t="shared" si="16"/>
        <v>6077.1954039436632</v>
      </c>
      <c r="W23" s="29">
        <f t="shared" si="6"/>
        <v>6077.1954039436632</v>
      </c>
      <c r="X23" s="29">
        <f t="shared" si="17"/>
        <v>6077.1954039436632</v>
      </c>
      <c r="Y23">
        <f t="shared" si="18"/>
        <v>0</v>
      </c>
    </row>
    <row r="24" spans="1:25" x14ac:dyDescent="0.25">
      <c r="A24" s="4" t="s">
        <v>699</v>
      </c>
      <c r="B24" s="7" t="s">
        <v>326</v>
      </c>
      <c r="C24" s="2" t="s">
        <v>700</v>
      </c>
      <c r="D24">
        <f>VLOOKUP(B24,'Model allocations'!$A$1:$L$317,4,FALSE)</f>
        <v>97495.414964399009</v>
      </c>
      <c r="E24" s="31">
        <f>VLOOKUP(B24,'Initial adjusted formula count'!$A$1:$P$317,12,FALSE)</f>
        <v>0.109353695118626</v>
      </c>
      <c r="F24">
        <f>VLOOKUP(B24,'Model allocations'!$A$1:$L$317,9,FALSE)</f>
        <v>82871.102719739152</v>
      </c>
      <c r="G24" s="30">
        <f t="shared" si="7"/>
        <v>0.85</v>
      </c>
      <c r="H24">
        <f t="shared" si="8"/>
        <v>82871.102719739152</v>
      </c>
      <c r="I24">
        <f t="shared" si="0"/>
        <v>0</v>
      </c>
      <c r="J24">
        <f t="shared" si="1"/>
        <v>82871.102719739152</v>
      </c>
      <c r="K24">
        <f t="shared" si="2"/>
        <v>82801.47573027137</v>
      </c>
      <c r="L24">
        <f t="shared" si="9"/>
        <v>82801.47573027137</v>
      </c>
      <c r="M24">
        <f t="shared" si="3"/>
        <v>82871.102719739152</v>
      </c>
      <c r="N24" s="29">
        <f t="shared" si="10"/>
        <v>0</v>
      </c>
      <c r="O24" s="29">
        <f t="shared" si="4"/>
        <v>0</v>
      </c>
      <c r="P24" s="29">
        <f t="shared" si="11"/>
        <v>82871.102719739152</v>
      </c>
      <c r="Q24">
        <f t="shared" si="12"/>
        <v>0</v>
      </c>
      <c r="R24" s="29">
        <f t="shared" si="13"/>
        <v>0</v>
      </c>
      <c r="S24" s="29">
        <f t="shared" si="5"/>
        <v>0</v>
      </c>
      <c r="T24" s="29">
        <f t="shared" si="14"/>
        <v>82871.102719739152</v>
      </c>
      <c r="U24">
        <f t="shared" si="15"/>
        <v>0</v>
      </c>
      <c r="V24" s="29">
        <f t="shared" si="16"/>
        <v>0</v>
      </c>
      <c r="W24" s="29">
        <f t="shared" si="6"/>
        <v>0</v>
      </c>
      <c r="X24" s="29">
        <f t="shared" si="17"/>
        <v>82871.102719739152</v>
      </c>
      <c r="Y24">
        <f t="shared" si="18"/>
        <v>0</v>
      </c>
    </row>
    <row r="25" spans="1:25" x14ac:dyDescent="0.25">
      <c r="A25" s="4" t="s">
        <v>701</v>
      </c>
      <c r="B25" s="7" t="s">
        <v>101</v>
      </c>
      <c r="C25" s="2" t="s">
        <v>702</v>
      </c>
      <c r="D25">
        <f>VLOOKUP(B25,'Model allocations'!$A$1:$L$317,4,FALSE)</f>
        <v>0</v>
      </c>
      <c r="E25" s="31">
        <f>VLOOKUP(B25,'Initial adjusted formula count'!$A$1:$P$317,12,FALSE)</f>
        <v>3.6312474876055198E-2</v>
      </c>
      <c r="F25">
        <f>VLOOKUP(B25,'Model allocations'!$A$1:$L$317,9,FALSE)</f>
        <v>0</v>
      </c>
      <c r="G25" s="30">
        <f t="shared" si="7"/>
        <v>0.85</v>
      </c>
      <c r="H25">
        <f t="shared" si="8"/>
        <v>0</v>
      </c>
      <c r="I25">
        <f t="shared" si="0"/>
        <v>0</v>
      </c>
      <c r="J25">
        <f t="shared" si="1"/>
        <v>0</v>
      </c>
      <c r="K25">
        <f t="shared" si="2"/>
        <v>0</v>
      </c>
      <c r="L25">
        <f t="shared" si="9"/>
        <v>0</v>
      </c>
      <c r="M25">
        <f t="shared" si="3"/>
        <v>0</v>
      </c>
      <c r="N25" s="29">
        <f t="shared" si="10"/>
        <v>0</v>
      </c>
      <c r="O25" s="29">
        <f t="shared" si="4"/>
        <v>0</v>
      </c>
      <c r="P25" s="29">
        <f t="shared" si="11"/>
        <v>0</v>
      </c>
      <c r="Q25">
        <f t="shared" si="12"/>
        <v>0</v>
      </c>
      <c r="R25" s="29">
        <f t="shared" si="13"/>
        <v>0</v>
      </c>
      <c r="S25" s="29">
        <f t="shared" si="5"/>
        <v>0</v>
      </c>
      <c r="T25" s="29">
        <f t="shared" si="14"/>
        <v>0</v>
      </c>
      <c r="U25">
        <f t="shared" si="15"/>
        <v>0</v>
      </c>
      <c r="V25" s="29">
        <f t="shared" si="16"/>
        <v>0</v>
      </c>
      <c r="W25" s="29">
        <f t="shared" si="6"/>
        <v>0</v>
      </c>
      <c r="X25" s="29">
        <f t="shared" si="17"/>
        <v>0</v>
      </c>
      <c r="Y25">
        <f t="shared" si="18"/>
        <v>0</v>
      </c>
    </row>
    <row r="26" spans="1:25" x14ac:dyDescent="0.25">
      <c r="A26" s="4" t="s">
        <v>703</v>
      </c>
      <c r="B26" s="7" t="s">
        <v>328</v>
      </c>
      <c r="C26" s="2" t="s">
        <v>704</v>
      </c>
      <c r="D26">
        <f>VLOOKUP(B26,'Model allocations'!$A$1:$L$317,4,FALSE)</f>
        <v>25389.076864317609</v>
      </c>
      <c r="E26" s="31">
        <f>VLOOKUP(B26,'Initial adjusted formula count'!$A$1:$P$317,12,FALSE)</f>
        <v>0.17431192660550501</v>
      </c>
      <c r="F26">
        <f>VLOOKUP(B26,'Model allocations'!$A$1:$L$317,9,FALSE)</f>
        <v>22850.169177885848</v>
      </c>
      <c r="G26" s="30">
        <f t="shared" si="7"/>
        <v>0.9</v>
      </c>
      <c r="H26">
        <f t="shared" si="8"/>
        <v>22850.169177885848</v>
      </c>
      <c r="I26">
        <f t="shared" si="0"/>
        <v>0</v>
      </c>
      <c r="J26">
        <f t="shared" si="1"/>
        <v>22850.169177885848</v>
      </c>
      <c r="K26">
        <f t="shared" si="2"/>
        <v>22830.970827236815</v>
      </c>
      <c r="L26">
        <f t="shared" si="9"/>
        <v>22830.970827236815</v>
      </c>
      <c r="M26">
        <f t="shared" si="3"/>
        <v>22850.169177885848</v>
      </c>
      <c r="N26" s="29">
        <f t="shared" si="10"/>
        <v>0</v>
      </c>
      <c r="O26" s="29">
        <f t="shared" si="4"/>
        <v>0</v>
      </c>
      <c r="P26" s="29">
        <f t="shared" si="11"/>
        <v>22850.169177885848</v>
      </c>
      <c r="Q26">
        <f t="shared" si="12"/>
        <v>0</v>
      </c>
      <c r="R26" s="29">
        <f t="shared" si="13"/>
        <v>0</v>
      </c>
      <c r="S26" s="29">
        <f t="shared" si="5"/>
        <v>0</v>
      </c>
      <c r="T26" s="29">
        <f t="shared" si="14"/>
        <v>22850.169177885848</v>
      </c>
      <c r="U26">
        <f t="shared" si="15"/>
        <v>0</v>
      </c>
      <c r="V26" s="29">
        <f t="shared" si="16"/>
        <v>0</v>
      </c>
      <c r="W26" s="29">
        <f t="shared" si="6"/>
        <v>0</v>
      </c>
      <c r="X26" s="29">
        <f t="shared" si="17"/>
        <v>22850.169177885848</v>
      </c>
      <c r="Y26">
        <f t="shared" si="18"/>
        <v>0</v>
      </c>
    </row>
    <row r="27" spans="1:25" x14ac:dyDescent="0.25">
      <c r="A27" s="4" t="s">
        <v>705</v>
      </c>
      <c r="B27" s="7" t="s">
        <v>103</v>
      </c>
      <c r="C27" s="2" t="s">
        <v>706</v>
      </c>
      <c r="D27">
        <f>VLOOKUP(B27,'Model allocations'!$A$1:$L$317,4,FALSE)</f>
        <v>0</v>
      </c>
      <c r="E27" s="31">
        <f>VLOOKUP(B27,'Initial adjusted formula count'!$A$1:$P$317,12,FALSE)</f>
        <v>1.9138755980861202E-2</v>
      </c>
      <c r="F27">
        <f>VLOOKUP(B27,'Model allocations'!$A$1:$L$317,9,FALSE)</f>
        <v>0</v>
      </c>
      <c r="G27" s="30">
        <f t="shared" si="7"/>
        <v>0.85</v>
      </c>
      <c r="H27">
        <f t="shared" si="8"/>
        <v>0</v>
      </c>
      <c r="I27">
        <f t="shared" si="0"/>
        <v>0</v>
      </c>
      <c r="J27">
        <f t="shared" si="1"/>
        <v>0</v>
      </c>
      <c r="K27">
        <f t="shared" si="2"/>
        <v>0</v>
      </c>
      <c r="L27">
        <f t="shared" si="9"/>
        <v>0</v>
      </c>
      <c r="M27">
        <f t="shared" si="3"/>
        <v>0</v>
      </c>
      <c r="N27" s="29">
        <f t="shared" si="10"/>
        <v>0</v>
      </c>
      <c r="O27" s="29">
        <f t="shared" si="4"/>
        <v>0</v>
      </c>
      <c r="P27" s="29">
        <f t="shared" si="11"/>
        <v>0</v>
      </c>
      <c r="Q27">
        <f t="shared" si="12"/>
        <v>0</v>
      </c>
      <c r="R27" s="29">
        <f t="shared" si="13"/>
        <v>0</v>
      </c>
      <c r="S27" s="29">
        <f t="shared" si="5"/>
        <v>0</v>
      </c>
      <c r="T27" s="29">
        <f t="shared" si="14"/>
        <v>0</v>
      </c>
      <c r="U27">
        <f t="shared" si="15"/>
        <v>0</v>
      </c>
      <c r="V27" s="29">
        <f t="shared" si="16"/>
        <v>0</v>
      </c>
      <c r="W27" s="29">
        <f t="shared" si="6"/>
        <v>0</v>
      </c>
      <c r="X27" s="29">
        <f t="shared" si="17"/>
        <v>0</v>
      </c>
      <c r="Y27">
        <f t="shared" si="18"/>
        <v>0</v>
      </c>
    </row>
    <row r="28" spans="1:25" x14ac:dyDescent="0.25">
      <c r="A28" s="4" t="s">
        <v>707</v>
      </c>
      <c r="B28" s="7" t="s">
        <v>330</v>
      </c>
      <c r="C28" s="2" t="s">
        <v>708</v>
      </c>
      <c r="D28">
        <f>VLOOKUP(B28,'Model allocations'!$A$1:$L$317,4,FALSE)</f>
        <v>0</v>
      </c>
      <c r="E28" s="31">
        <f>VLOOKUP(B28,'Initial adjusted formula count'!$A$1:$P$317,12,FALSE)</f>
        <v>9.8402555910543102E-2</v>
      </c>
      <c r="F28">
        <f>VLOOKUP(B28,'Model allocations'!$A$1:$L$317,9,FALSE)</f>
        <v>0</v>
      </c>
      <c r="G28" s="30">
        <f t="shared" si="7"/>
        <v>0.85</v>
      </c>
      <c r="H28">
        <f t="shared" si="8"/>
        <v>0</v>
      </c>
      <c r="I28">
        <f t="shared" si="0"/>
        <v>0</v>
      </c>
      <c r="J28">
        <f t="shared" si="1"/>
        <v>0</v>
      </c>
      <c r="K28">
        <f t="shared" si="2"/>
        <v>0</v>
      </c>
      <c r="L28">
        <f t="shared" si="9"/>
        <v>0</v>
      </c>
      <c r="M28">
        <f t="shared" si="3"/>
        <v>0</v>
      </c>
      <c r="N28" s="29">
        <f t="shared" si="10"/>
        <v>0</v>
      </c>
      <c r="O28" s="29">
        <f t="shared" si="4"/>
        <v>0</v>
      </c>
      <c r="P28" s="29">
        <f t="shared" si="11"/>
        <v>0</v>
      </c>
      <c r="Q28">
        <f t="shared" si="12"/>
        <v>0</v>
      </c>
      <c r="R28" s="29">
        <f t="shared" si="13"/>
        <v>0</v>
      </c>
      <c r="S28" s="29">
        <f t="shared" si="5"/>
        <v>0</v>
      </c>
      <c r="T28" s="29">
        <f t="shared" si="14"/>
        <v>0</v>
      </c>
      <c r="U28">
        <f t="shared" si="15"/>
        <v>0</v>
      </c>
      <c r="V28" s="29">
        <f t="shared" si="16"/>
        <v>0</v>
      </c>
      <c r="W28" s="29">
        <f t="shared" si="6"/>
        <v>0</v>
      </c>
      <c r="X28" s="29">
        <f t="shared" si="17"/>
        <v>0</v>
      </c>
      <c r="Y28">
        <f t="shared" si="18"/>
        <v>0</v>
      </c>
    </row>
    <row r="29" spans="1:25" x14ac:dyDescent="0.25">
      <c r="A29" s="4" t="s">
        <v>709</v>
      </c>
      <c r="B29" s="7" t="s">
        <v>332</v>
      </c>
      <c r="C29" s="2" t="s">
        <v>710</v>
      </c>
      <c r="D29">
        <f>VLOOKUP(B29,'Model allocations'!$A$1:$L$317,4,FALSE)</f>
        <v>31177.395571271216</v>
      </c>
      <c r="E29" s="31">
        <f>VLOOKUP(B29,'Initial adjusted formula count'!$A$1:$P$317,12,FALSE)</f>
        <v>0.110152621101526</v>
      </c>
      <c r="F29">
        <f>VLOOKUP(B29,'Model allocations'!$A$1:$L$317,9,FALSE)</f>
        <v>26500.786235580534</v>
      </c>
      <c r="G29" s="30">
        <f t="shared" si="7"/>
        <v>0.85</v>
      </c>
      <c r="H29">
        <f t="shared" si="8"/>
        <v>26500.786235580534</v>
      </c>
      <c r="I29">
        <f t="shared" si="0"/>
        <v>0</v>
      </c>
      <c r="J29">
        <f t="shared" si="1"/>
        <v>26500.786235580534</v>
      </c>
      <c r="K29">
        <f t="shared" si="2"/>
        <v>26478.520694233117</v>
      </c>
      <c r="L29">
        <f t="shared" si="9"/>
        <v>26478.520694233117</v>
      </c>
      <c r="M29">
        <f t="shared" si="3"/>
        <v>26500.786235580534</v>
      </c>
      <c r="N29" s="29">
        <f t="shared" si="10"/>
        <v>0</v>
      </c>
      <c r="O29" s="29">
        <f t="shared" si="4"/>
        <v>0</v>
      </c>
      <c r="P29" s="29">
        <f t="shared" si="11"/>
        <v>26500.786235580534</v>
      </c>
      <c r="Q29">
        <f t="shared" si="12"/>
        <v>0</v>
      </c>
      <c r="R29" s="29">
        <f t="shared" si="13"/>
        <v>0</v>
      </c>
      <c r="S29" s="29">
        <f t="shared" si="5"/>
        <v>0</v>
      </c>
      <c r="T29" s="29">
        <f t="shared" si="14"/>
        <v>26500.786235580534</v>
      </c>
      <c r="U29">
        <f t="shared" si="15"/>
        <v>0</v>
      </c>
      <c r="V29" s="29">
        <f t="shared" si="16"/>
        <v>0</v>
      </c>
      <c r="W29" s="29">
        <f t="shared" si="6"/>
        <v>0</v>
      </c>
      <c r="X29" s="29">
        <f t="shared" si="17"/>
        <v>26500.786235580534</v>
      </c>
      <c r="Y29">
        <f t="shared" si="18"/>
        <v>0</v>
      </c>
    </row>
    <row r="30" spans="1:25" x14ac:dyDescent="0.25">
      <c r="A30" s="4" t="s">
        <v>711</v>
      </c>
      <c r="B30" s="7" t="s">
        <v>105</v>
      </c>
      <c r="C30" s="2" t="s">
        <v>712</v>
      </c>
      <c r="D30">
        <f>VLOOKUP(B30,'Model allocations'!$A$1:$L$317,4,FALSE)</f>
        <v>0</v>
      </c>
      <c r="E30" s="31">
        <f>VLOOKUP(B30,'Initial adjusted formula count'!$A$1:$P$317,12,FALSE)</f>
        <v>0.116797110174594</v>
      </c>
      <c r="F30">
        <f>VLOOKUP(B30,'Model allocations'!$A$1:$L$317,9,FALSE)</f>
        <v>0</v>
      </c>
      <c r="G30" s="30">
        <f t="shared" si="7"/>
        <v>0.85</v>
      </c>
      <c r="H30">
        <f t="shared" si="8"/>
        <v>0</v>
      </c>
      <c r="I30">
        <f t="shared" si="0"/>
        <v>0</v>
      </c>
      <c r="J30">
        <f t="shared" si="1"/>
        <v>0</v>
      </c>
      <c r="K30">
        <f t="shared" si="2"/>
        <v>0</v>
      </c>
      <c r="L30">
        <f t="shared" si="9"/>
        <v>0</v>
      </c>
      <c r="M30">
        <f t="shared" si="3"/>
        <v>0</v>
      </c>
      <c r="N30" s="29">
        <f t="shared" si="10"/>
        <v>0</v>
      </c>
      <c r="O30" s="29">
        <f t="shared" si="4"/>
        <v>0</v>
      </c>
      <c r="P30" s="29">
        <f t="shared" si="11"/>
        <v>0</v>
      </c>
      <c r="Q30">
        <f t="shared" si="12"/>
        <v>0</v>
      </c>
      <c r="R30" s="29">
        <f t="shared" si="13"/>
        <v>0</v>
      </c>
      <c r="S30" s="29">
        <f t="shared" si="5"/>
        <v>0</v>
      </c>
      <c r="T30" s="29">
        <f t="shared" si="14"/>
        <v>0</v>
      </c>
      <c r="U30">
        <f t="shared" si="15"/>
        <v>0</v>
      </c>
      <c r="V30" s="29">
        <f t="shared" si="16"/>
        <v>0</v>
      </c>
      <c r="W30" s="29">
        <f t="shared" si="6"/>
        <v>0</v>
      </c>
      <c r="X30" s="29">
        <f t="shared" si="17"/>
        <v>0</v>
      </c>
      <c r="Y30">
        <f t="shared" si="18"/>
        <v>0</v>
      </c>
    </row>
    <row r="31" spans="1:25" x14ac:dyDescent="0.25">
      <c r="A31" s="4" t="s">
        <v>8</v>
      </c>
      <c r="B31" s="7" t="s">
        <v>66</v>
      </c>
      <c r="C31" s="2" t="s">
        <v>713</v>
      </c>
      <c r="D31">
        <f>VLOOKUP(B31,'Model allocations'!$A$1:$L$317,4,FALSE)</f>
        <v>0</v>
      </c>
      <c r="E31" s="31">
        <f>VLOOKUP(B31,'Initial adjusted formula count'!$A$1:$P$317,12,FALSE)</f>
        <v>0.10646043117432499</v>
      </c>
      <c r="F31">
        <f>VLOOKUP(B31,'Model allocations'!$A$1:$L$317,9,FALSE)</f>
        <v>0</v>
      </c>
      <c r="G31" s="30">
        <f t="shared" si="7"/>
        <v>0.85</v>
      </c>
      <c r="H31">
        <f t="shared" si="8"/>
        <v>0</v>
      </c>
      <c r="I31">
        <f t="shared" si="0"/>
        <v>0</v>
      </c>
      <c r="J31">
        <f t="shared" si="1"/>
        <v>0</v>
      </c>
      <c r="K31">
        <f t="shared" si="2"/>
        <v>0</v>
      </c>
      <c r="L31">
        <f t="shared" si="9"/>
        <v>0</v>
      </c>
      <c r="M31">
        <f t="shared" si="3"/>
        <v>0</v>
      </c>
      <c r="N31" s="29">
        <f t="shared" si="10"/>
        <v>0</v>
      </c>
      <c r="O31" s="29">
        <f t="shared" si="4"/>
        <v>0</v>
      </c>
      <c r="P31" s="29">
        <f t="shared" si="11"/>
        <v>0</v>
      </c>
      <c r="Q31">
        <f t="shared" si="12"/>
        <v>0</v>
      </c>
      <c r="R31" s="29">
        <f t="shared" si="13"/>
        <v>0</v>
      </c>
      <c r="S31" s="29">
        <f t="shared" si="5"/>
        <v>0</v>
      </c>
      <c r="T31" s="29">
        <f t="shared" si="14"/>
        <v>0</v>
      </c>
      <c r="U31">
        <f t="shared" si="15"/>
        <v>0</v>
      </c>
      <c r="V31" s="29">
        <f t="shared" si="16"/>
        <v>0</v>
      </c>
      <c r="W31" s="29">
        <f t="shared" si="6"/>
        <v>0</v>
      </c>
      <c r="X31" s="29">
        <f t="shared" si="17"/>
        <v>0</v>
      </c>
      <c r="Y31">
        <f t="shared" si="18"/>
        <v>0</v>
      </c>
    </row>
    <row r="32" spans="1:25" x14ac:dyDescent="0.25">
      <c r="A32" s="4" t="s">
        <v>714</v>
      </c>
      <c r="B32" s="7" t="s">
        <v>334</v>
      </c>
      <c r="C32" s="2" t="s">
        <v>715</v>
      </c>
      <c r="D32">
        <f>VLOOKUP(B32,'Model allocations'!$A$1:$L$317,4,FALSE)</f>
        <v>6120.5810297908465</v>
      </c>
      <c r="E32" s="31">
        <f>VLOOKUP(B32,'Initial adjusted formula count'!$A$1:$P$317,12,FALSE)</f>
        <v>0.25531914893617003</v>
      </c>
      <c r="F32">
        <f>VLOOKUP(B32,'Model allocations'!$A$1:$L$317,9,FALSE)</f>
        <v>5615.8448386018226</v>
      </c>
      <c r="G32" s="30">
        <f t="shared" si="7"/>
        <v>0.9</v>
      </c>
      <c r="H32">
        <f t="shared" si="8"/>
        <v>5508.5229268117619</v>
      </c>
      <c r="I32">
        <f t="shared" si="0"/>
        <v>0</v>
      </c>
      <c r="J32">
        <f t="shared" si="1"/>
        <v>5615.8448386018226</v>
      </c>
      <c r="K32">
        <f t="shared" si="2"/>
        <v>5611.1264946122128</v>
      </c>
      <c r="L32">
        <f t="shared" si="9"/>
        <v>5611.1264946122128</v>
      </c>
      <c r="M32">
        <f t="shared" si="3"/>
        <v>0</v>
      </c>
      <c r="N32" s="29">
        <f t="shared" si="10"/>
        <v>5611.1264946122128</v>
      </c>
      <c r="O32" s="29">
        <f t="shared" si="4"/>
        <v>5609.7188344095384</v>
      </c>
      <c r="P32" s="29">
        <f t="shared" si="11"/>
        <v>5609.7188344095384</v>
      </c>
      <c r="Q32">
        <f t="shared" si="12"/>
        <v>0</v>
      </c>
      <c r="R32" s="29">
        <f t="shared" si="13"/>
        <v>5609.7188344095384</v>
      </c>
      <c r="S32" s="29">
        <f t="shared" si="5"/>
        <v>5609.7188344095375</v>
      </c>
      <c r="T32" s="29">
        <f t="shared" si="14"/>
        <v>5609.7188344095375</v>
      </c>
      <c r="U32">
        <f t="shared" si="15"/>
        <v>0</v>
      </c>
      <c r="V32" s="29">
        <f t="shared" si="16"/>
        <v>5609.7188344095375</v>
      </c>
      <c r="W32" s="29">
        <f t="shared" si="6"/>
        <v>5609.7188344095375</v>
      </c>
      <c r="X32" s="29">
        <f t="shared" si="17"/>
        <v>5609.7188344095375</v>
      </c>
      <c r="Y32">
        <f t="shared" si="18"/>
        <v>0</v>
      </c>
    </row>
    <row r="33" spans="1:25" x14ac:dyDescent="0.25">
      <c r="A33" s="4" t="s">
        <v>716</v>
      </c>
      <c r="B33" s="7" t="s">
        <v>107</v>
      </c>
      <c r="C33" s="2" t="s">
        <v>717</v>
      </c>
      <c r="D33">
        <f>VLOOKUP(B33,'Model allocations'!$A$1:$L$317,4,FALSE)</f>
        <v>0</v>
      </c>
      <c r="E33" s="31">
        <f>VLOOKUP(B33,'Initial adjusted formula count'!$A$1:$P$317,12,FALSE)</f>
        <v>7.0639978457948102E-2</v>
      </c>
      <c r="F33">
        <f>VLOOKUP(B33,'Model allocations'!$A$1:$L$317,9,FALSE)</f>
        <v>0</v>
      </c>
      <c r="G33" s="30">
        <f t="shared" si="7"/>
        <v>0.85</v>
      </c>
      <c r="H33">
        <f t="shared" si="8"/>
        <v>0</v>
      </c>
      <c r="I33">
        <f t="shared" si="0"/>
        <v>0</v>
      </c>
      <c r="J33">
        <f t="shared" si="1"/>
        <v>0</v>
      </c>
      <c r="K33">
        <f t="shared" si="2"/>
        <v>0</v>
      </c>
      <c r="L33">
        <f t="shared" si="9"/>
        <v>0</v>
      </c>
      <c r="M33">
        <f t="shared" si="3"/>
        <v>0</v>
      </c>
      <c r="N33" s="29">
        <f t="shared" si="10"/>
        <v>0</v>
      </c>
      <c r="O33" s="29">
        <f t="shared" si="4"/>
        <v>0</v>
      </c>
      <c r="P33" s="29">
        <f t="shared" si="11"/>
        <v>0</v>
      </c>
      <c r="Q33">
        <f t="shared" si="12"/>
        <v>0</v>
      </c>
      <c r="R33" s="29">
        <f t="shared" si="13"/>
        <v>0</v>
      </c>
      <c r="S33" s="29">
        <f t="shared" si="5"/>
        <v>0</v>
      </c>
      <c r="T33" s="29">
        <f t="shared" si="14"/>
        <v>0</v>
      </c>
      <c r="U33">
        <f t="shared" si="15"/>
        <v>0</v>
      </c>
      <c r="V33" s="29">
        <f t="shared" si="16"/>
        <v>0</v>
      </c>
      <c r="W33" s="29">
        <f t="shared" si="6"/>
        <v>0</v>
      </c>
      <c r="X33" s="29">
        <f t="shared" si="17"/>
        <v>0</v>
      </c>
      <c r="Y33">
        <f t="shared" si="18"/>
        <v>0</v>
      </c>
    </row>
    <row r="34" spans="1:25" x14ac:dyDescent="0.25">
      <c r="A34" s="4" t="s">
        <v>718</v>
      </c>
      <c r="B34" s="7" t="s">
        <v>266</v>
      </c>
      <c r="C34" s="2" t="s">
        <v>719</v>
      </c>
      <c r="D34">
        <f>VLOOKUP(B34,'Model allocations'!$A$1:$L$317,4,FALSE)</f>
        <v>0</v>
      </c>
      <c r="E34" s="31">
        <f>VLOOKUP(B34,'Initial adjusted formula count'!$A$1:$P$317,12,FALSE)</f>
        <v>8.5457621186490099E-2</v>
      </c>
      <c r="F34">
        <f>VLOOKUP(B34,'Model allocations'!$A$1:$L$317,9,FALSE)</f>
        <v>0</v>
      </c>
      <c r="G34" s="30">
        <f t="shared" si="7"/>
        <v>0.85</v>
      </c>
      <c r="H34">
        <f t="shared" si="8"/>
        <v>0</v>
      </c>
      <c r="I34">
        <f t="shared" si="0"/>
        <v>0</v>
      </c>
      <c r="J34">
        <f t="shared" si="1"/>
        <v>0</v>
      </c>
      <c r="K34">
        <f t="shared" si="2"/>
        <v>0</v>
      </c>
      <c r="L34">
        <f t="shared" si="9"/>
        <v>0</v>
      </c>
      <c r="M34">
        <f t="shared" si="3"/>
        <v>0</v>
      </c>
      <c r="N34" s="29">
        <f t="shared" si="10"/>
        <v>0</v>
      </c>
      <c r="O34" s="29">
        <f t="shared" si="4"/>
        <v>0</v>
      </c>
      <c r="P34" s="29">
        <f t="shared" si="11"/>
        <v>0</v>
      </c>
      <c r="Q34">
        <f t="shared" si="12"/>
        <v>0</v>
      </c>
      <c r="R34" s="29">
        <f t="shared" si="13"/>
        <v>0</v>
      </c>
      <c r="S34" s="29">
        <f t="shared" si="5"/>
        <v>0</v>
      </c>
      <c r="T34" s="29">
        <f t="shared" si="14"/>
        <v>0</v>
      </c>
      <c r="U34">
        <f t="shared" si="15"/>
        <v>0</v>
      </c>
      <c r="V34" s="29">
        <f t="shared" si="16"/>
        <v>0</v>
      </c>
      <c r="W34" s="29">
        <f t="shared" si="6"/>
        <v>0</v>
      </c>
      <c r="X34" s="29">
        <f t="shared" si="17"/>
        <v>0</v>
      </c>
      <c r="Y34">
        <f t="shared" si="18"/>
        <v>0</v>
      </c>
    </row>
    <row r="35" spans="1:25" x14ac:dyDescent="0.25">
      <c r="A35" s="4" t="s">
        <v>720</v>
      </c>
      <c r="B35" s="7" t="s">
        <v>336</v>
      </c>
      <c r="C35" s="2" t="s">
        <v>721</v>
      </c>
      <c r="D35">
        <f>VLOOKUP(B35,'Model allocations'!$A$1:$L$317,4,FALSE)</f>
        <v>174549.90344218345</v>
      </c>
      <c r="E35" s="31">
        <f>VLOOKUP(B35,'Initial adjusted formula count'!$A$1:$P$317,12,FALSE)</f>
        <v>0.19820027688048</v>
      </c>
      <c r="F35">
        <f>VLOOKUP(B35,'Model allocations'!$A$1:$L$317,9,FALSE)</f>
        <v>201000.44651495683</v>
      </c>
      <c r="G35" s="30">
        <f t="shared" si="7"/>
        <v>0.9</v>
      </c>
      <c r="H35">
        <f t="shared" si="8"/>
        <v>157094.91309796512</v>
      </c>
      <c r="I35">
        <f t="shared" si="0"/>
        <v>0</v>
      </c>
      <c r="J35">
        <f t="shared" si="1"/>
        <v>201000.44651495683</v>
      </c>
      <c r="K35">
        <f t="shared" si="2"/>
        <v>200831.56911966208</v>
      </c>
      <c r="L35">
        <f t="shared" si="9"/>
        <v>200831.56911966208</v>
      </c>
      <c r="M35">
        <f t="shared" si="3"/>
        <v>0</v>
      </c>
      <c r="N35" s="29">
        <f t="shared" si="10"/>
        <v>200831.56911966208</v>
      </c>
      <c r="O35" s="29">
        <f t="shared" si="4"/>
        <v>200781.18661490799</v>
      </c>
      <c r="P35" s="29">
        <f t="shared" si="11"/>
        <v>200781.18661490799</v>
      </c>
      <c r="Q35">
        <f t="shared" si="12"/>
        <v>0</v>
      </c>
      <c r="R35" s="29">
        <f t="shared" si="13"/>
        <v>200781.18661490799</v>
      </c>
      <c r="S35" s="29">
        <f t="shared" si="5"/>
        <v>200781.18661490796</v>
      </c>
      <c r="T35" s="29">
        <f t="shared" si="14"/>
        <v>200781.18661490796</v>
      </c>
      <c r="U35">
        <f t="shared" si="15"/>
        <v>0</v>
      </c>
      <c r="V35" s="29">
        <f t="shared" si="16"/>
        <v>200781.18661490796</v>
      </c>
      <c r="W35" s="29">
        <f t="shared" si="6"/>
        <v>200781.18661490796</v>
      </c>
      <c r="X35" s="29">
        <f t="shared" si="17"/>
        <v>200781.18661490796</v>
      </c>
      <c r="Y35">
        <f t="shared" si="18"/>
        <v>0</v>
      </c>
    </row>
    <row r="36" spans="1:25" x14ac:dyDescent="0.25">
      <c r="A36" s="4" t="s">
        <v>722</v>
      </c>
      <c r="B36" s="7" t="s">
        <v>338</v>
      </c>
      <c r="C36" s="2" t="s">
        <v>723</v>
      </c>
      <c r="D36">
        <f>VLOOKUP(B36,'Model allocations'!$A$1:$L$317,4,FALSE)</f>
        <v>0</v>
      </c>
      <c r="E36" s="31">
        <f>VLOOKUP(B36,'Initial adjusted formula count'!$A$1:$P$317,12,FALSE)</f>
        <v>0.138562543192813</v>
      </c>
      <c r="F36">
        <f>VLOOKUP(B36,'Model allocations'!$A$1:$L$317,9,FALSE)</f>
        <v>0</v>
      </c>
      <c r="G36" s="30">
        <f t="shared" si="7"/>
        <v>0.85</v>
      </c>
      <c r="H36">
        <f t="shared" si="8"/>
        <v>0</v>
      </c>
      <c r="I36">
        <f t="shared" si="0"/>
        <v>0</v>
      </c>
      <c r="J36">
        <f t="shared" si="1"/>
        <v>0</v>
      </c>
      <c r="K36">
        <f t="shared" si="2"/>
        <v>0</v>
      </c>
      <c r="L36">
        <f t="shared" si="9"/>
        <v>0</v>
      </c>
      <c r="M36">
        <f t="shared" si="3"/>
        <v>0</v>
      </c>
      <c r="N36" s="29">
        <f t="shared" si="10"/>
        <v>0</v>
      </c>
      <c r="O36" s="29">
        <f t="shared" si="4"/>
        <v>0</v>
      </c>
      <c r="P36" s="29">
        <f t="shared" si="11"/>
        <v>0</v>
      </c>
      <c r="Q36">
        <f t="shared" si="12"/>
        <v>0</v>
      </c>
      <c r="R36" s="29">
        <f t="shared" si="13"/>
        <v>0</v>
      </c>
      <c r="S36" s="29">
        <f t="shared" si="5"/>
        <v>0</v>
      </c>
      <c r="T36" s="29">
        <f t="shared" si="14"/>
        <v>0</v>
      </c>
      <c r="U36">
        <f t="shared" si="15"/>
        <v>0</v>
      </c>
      <c r="V36" s="29">
        <f t="shared" si="16"/>
        <v>0</v>
      </c>
      <c r="W36" s="29">
        <f t="shared" si="6"/>
        <v>0</v>
      </c>
      <c r="X36" s="29">
        <f t="shared" si="17"/>
        <v>0</v>
      </c>
      <c r="Y36">
        <f t="shared" si="18"/>
        <v>0</v>
      </c>
    </row>
    <row r="37" spans="1:25" x14ac:dyDescent="0.25">
      <c r="A37" s="4" t="s">
        <v>724</v>
      </c>
      <c r="B37" s="7" t="s">
        <v>268</v>
      </c>
      <c r="C37" s="2" t="s">
        <v>725</v>
      </c>
      <c r="D37">
        <f>VLOOKUP(B37,'Model allocations'!$A$1:$L$317,4,FALSE)</f>
        <v>0</v>
      </c>
      <c r="E37" s="31">
        <f>VLOOKUP(B37,'Initial adjusted formula count'!$A$1:$P$317,12,FALSE)</f>
        <v>0.114381164492523</v>
      </c>
      <c r="F37">
        <f>VLOOKUP(B37,'Model allocations'!$A$1:$L$317,9,FALSE)</f>
        <v>0</v>
      </c>
      <c r="G37" s="30">
        <f t="shared" si="7"/>
        <v>0.85</v>
      </c>
      <c r="H37">
        <f t="shared" si="8"/>
        <v>0</v>
      </c>
      <c r="I37">
        <f t="shared" si="0"/>
        <v>0</v>
      </c>
      <c r="J37">
        <f t="shared" si="1"/>
        <v>0</v>
      </c>
      <c r="K37">
        <f t="shared" si="2"/>
        <v>0</v>
      </c>
      <c r="L37">
        <f t="shared" si="9"/>
        <v>0</v>
      </c>
      <c r="M37">
        <f t="shared" si="3"/>
        <v>0</v>
      </c>
      <c r="N37" s="29">
        <f t="shared" si="10"/>
        <v>0</v>
      </c>
      <c r="O37" s="29">
        <f t="shared" si="4"/>
        <v>0</v>
      </c>
      <c r="P37" s="29">
        <f t="shared" si="11"/>
        <v>0</v>
      </c>
      <c r="Q37">
        <f t="shared" si="12"/>
        <v>0</v>
      </c>
      <c r="R37" s="29">
        <f t="shared" si="13"/>
        <v>0</v>
      </c>
      <c r="S37" s="29">
        <f t="shared" si="5"/>
        <v>0</v>
      </c>
      <c r="T37" s="29">
        <f t="shared" si="14"/>
        <v>0</v>
      </c>
      <c r="U37">
        <f t="shared" si="15"/>
        <v>0</v>
      </c>
      <c r="V37" s="29">
        <f t="shared" si="16"/>
        <v>0</v>
      </c>
      <c r="W37" s="29">
        <f t="shared" si="6"/>
        <v>0</v>
      </c>
      <c r="X37" s="29">
        <f t="shared" si="17"/>
        <v>0</v>
      </c>
      <c r="Y37">
        <f t="shared" si="18"/>
        <v>0</v>
      </c>
    </row>
    <row r="38" spans="1:25" x14ac:dyDescent="0.25">
      <c r="A38" s="4" t="s">
        <v>726</v>
      </c>
      <c r="B38" s="7" t="s">
        <v>340</v>
      </c>
      <c r="C38" s="2" t="s">
        <v>727</v>
      </c>
      <c r="D38">
        <f>VLOOKUP(B38,'Model allocations'!$A$1:$L$317,4,FALSE)</f>
        <v>39518.379019392305</v>
      </c>
      <c r="E38" s="31">
        <f>VLOOKUP(B38,'Initial adjusted formula count'!$A$1:$P$317,12,FALSE)</f>
        <v>0.161904761904762</v>
      </c>
      <c r="F38">
        <f>VLOOKUP(B38,'Model allocations'!$A$1:$L$317,9,FALSE)</f>
        <v>35801.010846086596</v>
      </c>
      <c r="G38" s="30">
        <f t="shared" si="7"/>
        <v>0.9</v>
      </c>
      <c r="H38">
        <f t="shared" si="8"/>
        <v>35566.541117453075</v>
      </c>
      <c r="I38">
        <f t="shared" si="0"/>
        <v>0</v>
      </c>
      <c r="J38">
        <f t="shared" si="1"/>
        <v>35801.010846086596</v>
      </c>
      <c r="K38">
        <f t="shared" si="2"/>
        <v>35770.931403152834</v>
      </c>
      <c r="L38">
        <f t="shared" si="9"/>
        <v>35770.931403152834</v>
      </c>
      <c r="M38">
        <f t="shared" si="3"/>
        <v>0</v>
      </c>
      <c r="N38" s="29">
        <f t="shared" si="10"/>
        <v>35770.931403152834</v>
      </c>
      <c r="O38" s="29">
        <f t="shared" si="4"/>
        <v>35761.957569360784</v>
      </c>
      <c r="P38" s="29">
        <f t="shared" si="11"/>
        <v>35761.957569360784</v>
      </c>
      <c r="Q38">
        <f t="shared" si="12"/>
        <v>0</v>
      </c>
      <c r="R38" s="29">
        <f t="shared" si="13"/>
        <v>35761.957569360784</v>
      </c>
      <c r="S38" s="29">
        <f t="shared" si="5"/>
        <v>35761.957569360777</v>
      </c>
      <c r="T38" s="29">
        <f t="shared" si="14"/>
        <v>35761.957569360777</v>
      </c>
      <c r="U38">
        <f t="shared" si="15"/>
        <v>0</v>
      </c>
      <c r="V38" s="29">
        <f t="shared" si="16"/>
        <v>35761.957569360777</v>
      </c>
      <c r="W38" s="29">
        <f t="shared" si="6"/>
        <v>35761.957569360777</v>
      </c>
      <c r="X38" s="29">
        <f t="shared" si="17"/>
        <v>35761.957569360777</v>
      </c>
      <c r="Y38">
        <f t="shared" si="18"/>
        <v>0</v>
      </c>
    </row>
    <row r="39" spans="1:25" x14ac:dyDescent="0.25">
      <c r="A39" s="4" t="s">
        <v>728</v>
      </c>
      <c r="B39" s="7" t="s">
        <v>109</v>
      </c>
      <c r="C39" s="2" t="s">
        <v>729</v>
      </c>
      <c r="D39">
        <f>VLOOKUP(B39,'Model allocations'!$A$1:$L$317,4,FALSE)</f>
        <v>39801.624122320078</v>
      </c>
      <c r="E39" s="31">
        <f>VLOOKUP(B39,'Initial adjusted formula count'!$A$1:$P$317,12,FALSE)</f>
        <v>0.135957066189624</v>
      </c>
      <c r="F39">
        <f>VLOOKUP(B39,'Model allocations'!$A$1:$L$317,9,FALSE)</f>
        <v>33831.380503972068</v>
      </c>
      <c r="G39" s="30">
        <f t="shared" si="7"/>
        <v>0.85</v>
      </c>
      <c r="H39">
        <f t="shared" si="8"/>
        <v>33831.380503972068</v>
      </c>
      <c r="I39">
        <f t="shared" si="0"/>
        <v>0</v>
      </c>
      <c r="J39">
        <f t="shared" si="1"/>
        <v>33831.380503972068</v>
      </c>
      <c r="K39">
        <f t="shared" si="2"/>
        <v>33802.955913291808</v>
      </c>
      <c r="L39">
        <f t="shared" si="9"/>
        <v>33802.955913291808</v>
      </c>
      <c r="M39">
        <f t="shared" si="3"/>
        <v>33831.380503972068</v>
      </c>
      <c r="N39" s="29">
        <f t="shared" si="10"/>
        <v>0</v>
      </c>
      <c r="O39" s="29">
        <f t="shared" si="4"/>
        <v>0</v>
      </c>
      <c r="P39" s="29">
        <f t="shared" si="11"/>
        <v>33831.380503972068</v>
      </c>
      <c r="Q39">
        <f t="shared" si="12"/>
        <v>0</v>
      </c>
      <c r="R39" s="29">
        <f t="shared" si="13"/>
        <v>0</v>
      </c>
      <c r="S39" s="29">
        <f t="shared" si="5"/>
        <v>0</v>
      </c>
      <c r="T39" s="29">
        <f t="shared" si="14"/>
        <v>33831.380503972068</v>
      </c>
      <c r="U39">
        <f t="shared" si="15"/>
        <v>0</v>
      </c>
      <c r="V39" s="29">
        <f t="shared" si="16"/>
        <v>0</v>
      </c>
      <c r="W39" s="29">
        <f t="shared" si="6"/>
        <v>0</v>
      </c>
      <c r="X39" s="29">
        <f t="shared" si="17"/>
        <v>33831.380503972068</v>
      </c>
      <c r="Y39">
        <f t="shared" si="18"/>
        <v>0</v>
      </c>
    </row>
    <row r="40" spans="1:25" x14ac:dyDescent="0.25">
      <c r="A40" s="4" t="s">
        <v>730</v>
      </c>
      <c r="B40" s="7" t="s">
        <v>342</v>
      </c>
      <c r="C40" s="2" t="s">
        <v>731</v>
      </c>
      <c r="D40">
        <f>VLOOKUP(B40,'Model allocations'!$A$1:$L$317,4,FALSE)</f>
        <v>137373.04089086127</v>
      </c>
      <c r="E40" s="31">
        <f>VLOOKUP(B40,'Initial adjusted formula count'!$A$1:$P$317,12,FALSE)</f>
        <v>0.18896501983411501</v>
      </c>
      <c r="F40">
        <f>VLOOKUP(B40,'Model allocations'!$A$1:$L$317,9,FALSE)</f>
        <v>123635.73680177514</v>
      </c>
      <c r="G40" s="30">
        <f t="shared" si="7"/>
        <v>0.9</v>
      </c>
      <c r="H40">
        <f t="shared" si="8"/>
        <v>123635.73680177514</v>
      </c>
      <c r="I40">
        <f t="shared" si="0"/>
        <v>0</v>
      </c>
      <c r="J40">
        <f t="shared" si="1"/>
        <v>123635.73680177514</v>
      </c>
      <c r="K40">
        <f t="shared" si="2"/>
        <v>123531.86001165629</v>
      </c>
      <c r="L40">
        <f t="shared" si="9"/>
        <v>123531.86001165629</v>
      </c>
      <c r="M40">
        <f t="shared" si="3"/>
        <v>123635.73680177514</v>
      </c>
      <c r="N40" s="29">
        <f t="shared" si="10"/>
        <v>0</v>
      </c>
      <c r="O40" s="29">
        <f t="shared" si="4"/>
        <v>0</v>
      </c>
      <c r="P40" s="29">
        <f t="shared" si="11"/>
        <v>123635.73680177514</v>
      </c>
      <c r="Q40">
        <f t="shared" si="12"/>
        <v>0</v>
      </c>
      <c r="R40" s="29">
        <f t="shared" si="13"/>
        <v>0</v>
      </c>
      <c r="S40" s="29">
        <f t="shared" si="5"/>
        <v>0</v>
      </c>
      <c r="T40" s="29">
        <f t="shared" si="14"/>
        <v>123635.73680177514</v>
      </c>
      <c r="U40">
        <f t="shared" si="15"/>
        <v>0</v>
      </c>
      <c r="V40" s="29">
        <f t="shared" si="16"/>
        <v>0</v>
      </c>
      <c r="W40" s="29">
        <f t="shared" si="6"/>
        <v>0</v>
      </c>
      <c r="X40" s="29">
        <f t="shared" si="17"/>
        <v>123635.73680177514</v>
      </c>
      <c r="Y40">
        <f t="shared" si="18"/>
        <v>0</v>
      </c>
    </row>
    <row r="41" spans="1:25" x14ac:dyDescent="0.25">
      <c r="A41" s="4" t="s">
        <v>732</v>
      </c>
      <c r="B41" s="7" t="s">
        <v>344</v>
      </c>
      <c r="C41" s="2" t="s">
        <v>733</v>
      </c>
      <c r="D41">
        <f>VLOOKUP(B41,'Model allocations'!$A$1:$L$317,4,FALSE)</f>
        <v>23118.831461747723</v>
      </c>
      <c r="E41" s="31">
        <f>VLOOKUP(B41,'Initial adjusted formula count'!$A$1:$P$317,12,FALSE)</f>
        <v>0.14656771799628901</v>
      </c>
      <c r="F41">
        <f>VLOOKUP(B41,'Model allocations'!$A$1:$L$317,9,FALSE)</f>
        <v>19651.006742485562</v>
      </c>
      <c r="G41" s="30">
        <f t="shared" si="7"/>
        <v>0.85</v>
      </c>
      <c r="H41">
        <f t="shared" si="8"/>
        <v>19651.006742485562</v>
      </c>
      <c r="I41">
        <f t="shared" si="0"/>
        <v>0</v>
      </c>
      <c r="J41">
        <f t="shared" si="1"/>
        <v>19651.006742485562</v>
      </c>
      <c r="K41">
        <f t="shared" si="2"/>
        <v>19634.496277503367</v>
      </c>
      <c r="L41">
        <f t="shared" si="9"/>
        <v>19634.496277503367</v>
      </c>
      <c r="M41">
        <f t="shared" si="3"/>
        <v>19651.006742485562</v>
      </c>
      <c r="N41" s="29">
        <f t="shared" si="10"/>
        <v>0</v>
      </c>
      <c r="O41" s="29">
        <f t="shared" si="4"/>
        <v>0</v>
      </c>
      <c r="P41" s="29">
        <f t="shared" si="11"/>
        <v>19651.006742485562</v>
      </c>
      <c r="Q41">
        <f t="shared" si="12"/>
        <v>0</v>
      </c>
      <c r="R41" s="29">
        <f t="shared" si="13"/>
        <v>0</v>
      </c>
      <c r="S41" s="29">
        <f t="shared" si="5"/>
        <v>0</v>
      </c>
      <c r="T41" s="29">
        <f t="shared" si="14"/>
        <v>19651.006742485562</v>
      </c>
      <c r="U41">
        <f t="shared" si="15"/>
        <v>0</v>
      </c>
      <c r="V41" s="29">
        <f t="shared" si="16"/>
        <v>0</v>
      </c>
      <c r="W41" s="29">
        <f t="shared" si="6"/>
        <v>0</v>
      </c>
      <c r="X41" s="29">
        <f t="shared" si="17"/>
        <v>19651.006742485562</v>
      </c>
      <c r="Y41">
        <f t="shared" si="18"/>
        <v>0</v>
      </c>
    </row>
    <row r="42" spans="1:25" x14ac:dyDescent="0.25">
      <c r="A42" s="4" t="s">
        <v>734</v>
      </c>
      <c r="B42" s="7" t="s">
        <v>346</v>
      </c>
      <c r="C42" s="2" t="s">
        <v>735</v>
      </c>
      <c r="D42">
        <f>VLOOKUP(B42,'Model allocations'!$A$1:$L$317,4,FALSE)</f>
        <v>319964.62743058853</v>
      </c>
      <c r="E42" s="31">
        <f>VLOOKUP(B42,'Initial adjusted formula count'!$A$1:$P$317,12,FALSE)</f>
        <v>0.151860178403075</v>
      </c>
      <c r="F42">
        <f>VLOOKUP(B42,'Model allocations'!$A$1:$L$317,9,FALSE)</f>
        <v>489982.46216800873</v>
      </c>
      <c r="G42" s="30">
        <f t="shared" si="7"/>
        <v>0.9</v>
      </c>
      <c r="H42">
        <f t="shared" si="8"/>
        <v>287968.16468752967</v>
      </c>
      <c r="I42">
        <f t="shared" si="0"/>
        <v>0</v>
      </c>
      <c r="J42">
        <f t="shared" si="1"/>
        <v>489982.46216800873</v>
      </c>
      <c r="K42">
        <f t="shared" si="2"/>
        <v>489570.78665491531</v>
      </c>
      <c r="L42">
        <f t="shared" si="9"/>
        <v>489570.78665491531</v>
      </c>
      <c r="M42">
        <f t="shared" si="3"/>
        <v>0</v>
      </c>
      <c r="N42" s="29">
        <f t="shared" si="10"/>
        <v>489570.78665491531</v>
      </c>
      <c r="O42" s="29">
        <f t="shared" si="4"/>
        <v>489447.96830223198</v>
      </c>
      <c r="P42" s="29">
        <f t="shared" si="11"/>
        <v>489447.96830223198</v>
      </c>
      <c r="Q42">
        <f t="shared" si="12"/>
        <v>0</v>
      </c>
      <c r="R42" s="29">
        <f t="shared" si="13"/>
        <v>489447.96830223198</v>
      </c>
      <c r="S42" s="29">
        <f t="shared" si="5"/>
        <v>489447.96830223186</v>
      </c>
      <c r="T42" s="29">
        <f t="shared" si="14"/>
        <v>489447.96830223186</v>
      </c>
      <c r="U42">
        <f t="shared" si="15"/>
        <v>0</v>
      </c>
      <c r="V42" s="29">
        <f t="shared" si="16"/>
        <v>489447.96830223186</v>
      </c>
      <c r="W42" s="29">
        <f t="shared" si="6"/>
        <v>489447.96830223186</v>
      </c>
      <c r="X42" s="29">
        <f t="shared" si="17"/>
        <v>489447.96830223186</v>
      </c>
      <c r="Y42">
        <f t="shared" si="18"/>
        <v>0</v>
      </c>
    </row>
    <row r="43" spans="1:25" x14ac:dyDescent="0.25">
      <c r="A43" s="4" t="s">
        <v>736</v>
      </c>
      <c r="B43" s="7" t="s">
        <v>270</v>
      </c>
      <c r="C43" s="2" t="s">
        <v>737</v>
      </c>
      <c r="D43">
        <f>VLOOKUP(B43,'Model allocations'!$A$1:$L$317,4,FALSE)</f>
        <v>0</v>
      </c>
      <c r="E43" s="31">
        <f>VLOOKUP(B43,'Initial adjusted formula count'!$A$1:$P$317,12,FALSE)</f>
        <v>9.8070739549839206E-2</v>
      </c>
      <c r="F43">
        <f>VLOOKUP(B43,'Model allocations'!$A$1:$L$317,9,FALSE)</f>
        <v>0</v>
      </c>
      <c r="G43" s="30">
        <f t="shared" si="7"/>
        <v>0.85</v>
      </c>
      <c r="H43">
        <f t="shared" si="8"/>
        <v>0</v>
      </c>
      <c r="I43">
        <f t="shared" si="0"/>
        <v>0</v>
      </c>
      <c r="J43">
        <f t="shared" si="1"/>
        <v>0</v>
      </c>
      <c r="K43">
        <f t="shared" si="2"/>
        <v>0</v>
      </c>
      <c r="L43">
        <f t="shared" si="9"/>
        <v>0</v>
      </c>
      <c r="M43">
        <f t="shared" si="3"/>
        <v>0</v>
      </c>
      <c r="N43" s="29">
        <f t="shared" si="10"/>
        <v>0</v>
      </c>
      <c r="O43" s="29">
        <f t="shared" si="4"/>
        <v>0</v>
      </c>
      <c r="P43" s="29">
        <f t="shared" si="11"/>
        <v>0</v>
      </c>
      <c r="Q43">
        <f t="shared" si="12"/>
        <v>0</v>
      </c>
      <c r="R43" s="29">
        <f t="shared" si="13"/>
        <v>0</v>
      </c>
      <c r="S43" s="29">
        <f t="shared" si="5"/>
        <v>0</v>
      </c>
      <c r="T43" s="29">
        <f t="shared" si="14"/>
        <v>0</v>
      </c>
      <c r="U43">
        <f t="shared" si="15"/>
        <v>0</v>
      </c>
      <c r="V43" s="29">
        <f t="shared" si="16"/>
        <v>0</v>
      </c>
      <c r="W43" s="29">
        <f t="shared" si="6"/>
        <v>0</v>
      </c>
      <c r="X43" s="29">
        <f t="shared" si="17"/>
        <v>0</v>
      </c>
      <c r="Y43">
        <f t="shared" si="18"/>
        <v>0</v>
      </c>
    </row>
    <row r="44" spans="1:25" x14ac:dyDescent="0.25">
      <c r="A44" s="4" t="s">
        <v>738</v>
      </c>
      <c r="B44" s="7" t="s">
        <v>348</v>
      </c>
      <c r="C44" s="2" t="s">
        <v>739</v>
      </c>
      <c r="D44">
        <f>VLOOKUP(B44,'Model allocations'!$A$1:$L$317,4,FALSE)</f>
        <v>0</v>
      </c>
      <c r="E44" s="31">
        <f>VLOOKUP(B44,'Initial adjusted formula count'!$A$1:$P$317,12,FALSE)</f>
        <v>0.14292706803720001</v>
      </c>
      <c r="F44">
        <f>VLOOKUP(B44,'Model allocations'!$A$1:$L$317,9,FALSE)</f>
        <v>0</v>
      </c>
      <c r="G44" s="30">
        <f t="shared" si="7"/>
        <v>0.85</v>
      </c>
      <c r="H44">
        <f t="shared" si="8"/>
        <v>0</v>
      </c>
      <c r="I44">
        <f t="shared" si="0"/>
        <v>0</v>
      </c>
      <c r="J44">
        <f t="shared" si="1"/>
        <v>0</v>
      </c>
      <c r="K44">
        <f t="shared" si="2"/>
        <v>0</v>
      </c>
      <c r="L44">
        <f t="shared" si="9"/>
        <v>0</v>
      </c>
      <c r="M44">
        <f t="shared" si="3"/>
        <v>0</v>
      </c>
      <c r="N44" s="29">
        <f t="shared" si="10"/>
        <v>0</v>
      </c>
      <c r="O44" s="29">
        <f t="shared" si="4"/>
        <v>0</v>
      </c>
      <c r="P44" s="29">
        <f t="shared" si="11"/>
        <v>0</v>
      </c>
      <c r="Q44">
        <f t="shared" si="12"/>
        <v>0</v>
      </c>
      <c r="R44" s="29">
        <f t="shared" si="13"/>
        <v>0</v>
      </c>
      <c r="S44" s="29">
        <f t="shared" si="5"/>
        <v>0</v>
      </c>
      <c r="T44" s="29">
        <f t="shared" si="14"/>
        <v>0</v>
      </c>
      <c r="U44">
        <f t="shared" si="15"/>
        <v>0</v>
      </c>
      <c r="V44" s="29">
        <f t="shared" si="16"/>
        <v>0</v>
      </c>
      <c r="W44" s="29">
        <f t="shared" si="6"/>
        <v>0</v>
      </c>
      <c r="X44" s="29">
        <f t="shared" si="17"/>
        <v>0</v>
      </c>
      <c r="Y44">
        <f t="shared" si="18"/>
        <v>0</v>
      </c>
    </row>
    <row r="45" spans="1:25" x14ac:dyDescent="0.25">
      <c r="A45" s="4" t="s">
        <v>740</v>
      </c>
      <c r="B45" s="7" t="s">
        <v>350</v>
      </c>
      <c r="C45" s="2" t="s">
        <v>741</v>
      </c>
      <c r="D45">
        <f>VLOOKUP(B45,'Model allocations'!$A$1:$L$317,4,FALSE)</f>
        <v>0</v>
      </c>
      <c r="E45" s="31">
        <f>VLOOKUP(B45,'Initial adjusted formula count'!$A$1:$P$317,12,FALSE)</f>
        <v>3.5999999999999997E-2</v>
      </c>
      <c r="F45">
        <f>VLOOKUP(B45,'Model allocations'!$A$1:$L$317,9,FALSE)</f>
        <v>0</v>
      </c>
      <c r="G45" s="30">
        <f t="shared" si="7"/>
        <v>0.85</v>
      </c>
      <c r="H45">
        <f t="shared" si="8"/>
        <v>0</v>
      </c>
      <c r="I45">
        <f t="shared" si="0"/>
        <v>0</v>
      </c>
      <c r="J45">
        <f t="shared" si="1"/>
        <v>0</v>
      </c>
      <c r="K45">
        <f t="shared" si="2"/>
        <v>0</v>
      </c>
      <c r="L45">
        <f t="shared" si="9"/>
        <v>0</v>
      </c>
      <c r="M45">
        <f t="shared" si="3"/>
        <v>0</v>
      </c>
      <c r="N45" s="29">
        <f t="shared" si="10"/>
        <v>0</v>
      </c>
      <c r="O45" s="29">
        <f t="shared" si="4"/>
        <v>0</v>
      </c>
      <c r="P45" s="29">
        <f t="shared" si="11"/>
        <v>0</v>
      </c>
      <c r="Q45">
        <f t="shared" si="12"/>
        <v>0</v>
      </c>
      <c r="R45" s="29">
        <f t="shared" si="13"/>
        <v>0</v>
      </c>
      <c r="S45" s="29">
        <f t="shared" si="5"/>
        <v>0</v>
      </c>
      <c r="T45" s="29">
        <f t="shared" si="14"/>
        <v>0</v>
      </c>
      <c r="U45">
        <f t="shared" si="15"/>
        <v>0</v>
      </c>
      <c r="V45" s="29">
        <f t="shared" si="16"/>
        <v>0</v>
      </c>
      <c r="W45" s="29">
        <f t="shared" si="6"/>
        <v>0</v>
      </c>
      <c r="X45" s="29">
        <f t="shared" si="17"/>
        <v>0</v>
      </c>
      <c r="Y45">
        <f t="shared" si="18"/>
        <v>0</v>
      </c>
    </row>
    <row r="46" spans="1:25" x14ac:dyDescent="0.25">
      <c r="A46" s="4" t="s">
        <v>742</v>
      </c>
      <c r="B46" s="7" t="s">
        <v>352</v>
      </c>
      <c r="C46" s="2" t="s">
        <v>743</v>
      </c>
      <c r="D46">
        <f>VLOOKUP(B46,'Model allocations'!$A$1:$L$317,4,FALSE)</f>
        <v>9747.5920104076504</v>
      </c>
      <c r="E46" s="31">
        <f>VLOOKUP(B46,'Initial adjusted formula count'!$A$1:$P$317,12,FALSE)</f>
        <v>0.18446601941747601</v>
      </c>
      <c r="F46">
        <f>VLOOKUP(B46,'Model allocations'!$A$1:$L$317,9,FALSE)</f>
        <v>8891.7543277862169</v>
      </c>
      <c r="G46" s="30">
        <f t="shared" si="7"/>
        <v>0.9</v>
      </c>
      <c r="H46">
        <f t="shared" si="8"/>
        <v>8772.8328093668861</v>
      </c>
      <c r="I46">
        <f t="shared" si="0"/>
        <v>0</v>
      </c>
      <c r="J46">
        <f t="shared" si="1"/>
        <v>8891.7543277862169</v>
      </c>
      <c r="K46">
        <f t="shared" si="2"/>
        <v>8884.2836164693344</v>
      </c>
      <c r="L46">
        <f t="shared" si="9"/>
        <v>8884.2836164693344</v>
      </c>
      <c r="M46">
        <f t="shared" si="3"/>
        <v>0</v>
      </c>
      <c r="N46" s="29">
        <f t="shared" si="10"/>
        <v>8884.2836164693344</v>
      </c>
      <c r="O46" s="29">
        <f t="shared" si="4"/>
        <v>8882.0548211484329</v>
      </c>
      <c r="P46" s="29">
        <f t="shared" si="11"/>
        <v>8882.0548211484329</v>
      </c>
      <c r="Q46">
        <f t="shared" si="12"/>
        <v>0</v>
      </c>
      <c r="R46" s="29">
        <f t="shared" si="13"/>
        <v>8882.0548211484329</v>
      </c>
      <c r="S46" s="29">
        <f t="shared" si="5"/>
        <v>8882.0548211484311</v>
      </c>
      <c r="T46" s="29">
        <f t="shared" si="14"/>
        <v>8882.0548211484311</v>
      </c>
      <c r="U46">
        <f t="shared" si="15"/>
        <v>0</v>
      </c>
      <c r="V46" s="29">
        <f t="shared" si="16"/>
        <v>8882.0548211484311</v>
      </c>
      <c r="W46" s="29">
        <f t="shared" si="6"/>
        <v>8882.0548211484311</v>
      </c>
      <c r="X46" s="29">
        <f t="shared" si="17"/>
        <v>8882.0548211484311</v>
      </c>
      <c r="Y46">
        <f t="shared" si="18"/>
        <v>0</v>
      </c>
    </row>
    <row r="47" spans="1:25" x14ac:dyDescent="0.25">
      <c r="A47" s="4" t="s">
        <v>744</v>
      </c>
      <c r="B47" s="7" t="s">
        <v>353</v>
      </c>
      <c r="C47" s="2" t="s">
        <v>745</v>
      </c>
      <c r="D47">
        <f>VLOOKUP(B47,'Model allocations'!$A$1:$L$317,4,FALSE)</f>
        <v>22573.165743120931</v>
      </c>
      <c r="E47" s="31">
        <f>VLOOKUP(B47,'Initial adjusted formula count'!$A$1:$P$317,12,FALSE)</f>
        <v>0.138339920948617</v>
      </c>
      <c r="F47">
        <f>VLOOKUP(B47,'Model allocations'!$A$1:$L$317,9,FALSE)</f>
        <v>19187.19088165279</v>
      </c>
      <c r="G47" s="30">
        <f t="shared" si="7"/>
        <v>0.85</v>
      </c>
      <c r="H47">
        <f t="shared" si="8"/>
        <v>19187.19088165279</v>
      </c>
      <c r="I47">
        <f t="shared" si="0"/>
        <v>0</v>
      </c>
      <c r="J47">
        <f t="shared" si="1"/>
        <v>19187.19088165279</v>
      </c>
      <c r="K47">
        <f t="shared" si="2"/>
        <v>19171.070107419207</v>
      </c>
      <c r="L47">
        <f t="shared" si="9"/>
        <v>19171.070107419207</v>
      </c>
      <c r="M47">
        <f t="shared" si="3"/>
        <v>19187.19088165279</v>
      </c>
      <c r="N47" s="29">
        <f t="shared" si="10"/>
        <v>0</v>
      </c>
      <c r="O47" s="29">
        <f t="shared" si="4"/>
        <v>0</v>
      </c>
      <c r="P47" s="29">
        <f t="shared" si="11"/>
        <v>19187.19088165279</v>
      </c>
      <c r="Q47">
        <f t="shared" si="12"/>
        <v>0</v>
      </c>
      <c r="R47" s="29">
        <f t="shared" si="13"/>
        <v>0</v>
      </c>
      <c r="S47" s="29">
        <f t="shared" si="5"/>
        <v>0</v>
      </c>
      <c r="T47" s="29">
        <f t="shared" si="14"/>
        <v>19187.19088165279</v>
      </c>
      <c r="U47">
        <f t="shared" si="15"/>
        <v>0</v>
      </c>
      <c r="V47" s="29">
        <f t="shared" si="16"/>
        <v>0</v>
      </c>
      <c r="W47" s="29">
        <f t="shared" si="6"/>
        <v>0</v>
      </c>
      <c r="X47" s="29">
        <f t="shared" si="17"/>
        <v>19187.19088165279</v>
      </c>
      <c r="Y47">
        <f t="shared" si="18"/>
        <v>0</v>
      </c>
    </row>
    <row r="48" spans="1:25" x14ac:dyDescent="0.25">
      <c r="A48" s="4" t="s">
        <v>746</v>
      </c>
      <c r="B48" s="7" t="s">
        <v>354</v>
      </c>
      <c r="C48" s="2" t="s">
        <v>747</v>
      </c>
      <c r="D48">
        <f>VLOOKUP(B48,'Model allocations'!$A$1:$L$317,4,FALSE)</f>
        <v>72540.21961233599</v>
      </c>
      <c r="E48" s="31">
        <f>VLOOKUP(B48,'Initial adjusted formula count'!$A$1:$P$317,12,FALSE)</f>
        <v>0.17445328031809099</v>
      </c>
      <c r="F48">
        <f>VLOOKUP(B48,'Model allocations'!$A$1:$L$317,9,FALSE)</f>
        <v>82131.730764551612</v>
      </c>
      <c r="G48" s="30">
        <f t="shared" si="7"/>
        <v>0.9</v>
      </c>
      <c r="H48">
        <f t="shared" si="8"/>
        <v>65286.19765110239</v>
      </c>
      <c r="I48">
        <f t="shared" si="0"/>
        <v>0</v>
      </c>
      <c r="J48">
        <f t="shared" si="1"/>
        <v>82131.730764551612</v>
      </c>
      <c r="K48">
        <f t="shared" si="2"/>
        <v>82062.724983703563</v>
      </c>
      <c r="L48">
        <f t="shared" si="9"/>
        <v>82062.724983703563</v>
      </c>
      <c r="M48">
        <f t="shared" si="3"/>
        <v>0</v>
      </c>
      <c r="N48" s="29">
        <f t="shared" si="10"/>
        <v>82062.724983703563</v>
      </c>
      <c r="O48" s="29">
        <f t="shared" si="4"/>
        <v>82042.137953239449</v>
      </c>
      <c r="P48" s="29">
        <f t="shared" si="11"/>
        <v>82042.137953239449</v>
      </c>
      <c r="Q48">
        <f t="shared" si="12"/>
        <v>0</v>
      </c>
      <c r="R48" s="29">
        <f t="shared" si="13"/>
        <v>82042.137953239449</v>
      </c>
      <c r="S48" s="29">
        <f t="shared" si="5"/>
        <v>82042.137953239435</v>
      </c>
      <c r="T48" s="29">
        <f t="shared" si="14"/>
        <v>82042.137953239435</v>
      </c>
      <c r="U48">
        <f t="shared" si="15"/>
        <v>0</v>
      </c>
      <c r="V48" s="29">
        <f t="shared" si="16"/>
        <v>82042.137953239435</v>
      </c>
      <c r="W48" s="29">
        <f t="shared" si="6"/>
        <v>82042.137953239435</v>
      </c>
      <c r="X48" s="29">
        <f t="shared" si="17"/>
        <v>82042.137953239435</v>
      </c>
      <c r="Y48">
        <f t="shared" si="18"/>
        <v>0</v>
      </c>
    </row>
    <row r="49" spans="1:25" x14ac:dyDescent="0.25">
      <c r="A49" s="4" t="s">
        <v>748</v>
      </c>
      <c r="B49" s="7" t="s">
        <v>356</v>
      </c>
      <c r="C49" s="2" t="s">
        <v>749</v>
      </c>
      <c r="D49">
        <f>VLOOKUP(B49,'Model allocations'!$A$1:$L$317,4,FALSE)</f>
        <v>31963.034266685547</v>
      </c>
      <c r="E49" s="31">
        <f>VLOOKUP(B49,'Initial adjusted formula count'!$A$1:$P$317,12,FALSE)</f>
        <v>0.140226628895184</v>
      </c>
      <c r="F49">
        <f>VLOOKUP(B49,'Model allocations'!$A$1:$L$317,9,FALSE)</f>
        <v>27168.579126682715</v>
      </c>
      <c r="G49" s="30">
        <f t="shared" si="7"/>
        <v>0.85</v>
      </c>
      <c r="H49">
        <f t="shared" si="8"/>
        <v>27168.579126682715</v>
      </c>
      <c r="I49">
        <f t="shared" si="0"/>
        <v>0</v>
      </c>
      <c r="J49">
        <f t="shared" si="1"/>
        <v>27168.579126682715</v>
      </c>
      <c r="K49">
        <f t="shared" si="2"/>
        <v>27145.752516312808</v>
      </c>
      <c r="L49">
        <f t="shared" si="9"/>
        <v>27145.752516312808</v>
      </c>
      <c r="M49">
        <f t="shared" si="3"/>
        <v>27168.579126682715</v>
      </c>
      <c r="N49" s="29">
        <f t="shared" si="10"/>
        <v>0</v>
      </c>
      <c r="O49" s="29">
        <f t="shared" si="4"/>
        <v>0</v>
      </c>
      <c r="P49" s="29">
        <f t="shared" si="11"/>
        <v>27168.579126682715</v>
      </c>
      <c r="Q49">
        <f t="shared" si="12"/>
        <v>0</v>
      </c>
      <c r="R49" s="29">
        <f t="shared" si="13"/>
        <v>0</v>
      </c>
      <c r="S49" s="29">
        <f t="shared" si="5"/>
        <v>0</v>
      </c>
      <c r="T49" s="29">
        <f t="shared" si="14"/>
        <v>27168.579126682715</v>
      </c>
      <c r="U49">
        <f t="shared" si="15"/>
        <v>0</v>
      </c>
      <c r="V49" s="29">
        <f t="shared" si="16"/>
        <v>0</v>
      </c>
      <c r="W49" s="29">
        <f t="shared" si="6"/>
        <v>0</v>
      </c>
      <c r="X49" s="29">
        <f t="shared" si="17"/>
        <v>27168.579126682715</v>
      </c>
      <c r="Y49">
        <f t="shared" si="18"/>
        <v>0</v>
      </c>
    </row>
    <row r="50" spans="1:25" x14ac:dyDescent="0.25">
      <c r="A50" s="4" t="s">
        <v>750</v>
      </c>
      <c r="B50" s="7" t="s">
        <v>111</v>
      </c>
      <c r="C50" s="2" t="s">
        <v>751</v>
      </c>
      <c r="D50">
        <f>VLOOKUP(B50,'Model allocations'!$A$1:$L$317,4,FALSE)</f>
        <v>0</v>
      </c>
      <c r="E50" s="31">
        <f>VLOOKUP(B50,'Initial adjusted formula count'!$A$1:$P$317,12,FALSE)</f>
        <v>8.6142322097378293E-2</v>
      </c>
      <c r="F50">
        <f>VLOOKUP(B50,'Model allocations'!$A$1:$L$317,9,FALSE)</f>
        <v>0</v>
      </c>
      <c r="G50" s="30">
        <f t="shared" si="7"/>
        <v>0.85</v>
      </c>
      <c r="H50">
        <f t="shared" si="8"/>
        <v>0</v>
      </c>
      <c r="I50">
        <f t="shared" si="0"/>
        <v>0</v>
      </c>
      <c r="J50">
        <f t="shared" si="1"/>
        <v>0</v>
      </c>
      <c r="K50">
        <f t="shared" si="2"/>
        <v>0</v>
      </c>
      <c r="L50">
        <f t="shared" si="9"/>
        <v>0</v>
      </c>
      <c r="M50">
        <f t="shared" si="3"/>
        <v>0</v>
      </c>
      <c r="N50" s="29">
        <f t="shared" si="10"/>
        <v>0</v>
      </c>
      <c r="O50" s="29">
        <f t="shared" si="4"/>
        <v>0</v>
      </c>
      <c r="P50" s="29">
        <f t="shared" si="11"/>
        <v>0</v>
      </c>
      <c r="Q50">
        <f t="shared" si="12"/>
        <v>0</v>
      </c>
      <c r="R50" s="29">
        <f t="shared" si="13"/>
        <v>0</v>
      </c>
      <c r="S50" s="29">
        <f t="shared" si="5"/>
        <v>0</v>
      </c>
      <c r="T50" s="29">
        <f t="shared" si="14"/>
        <v>0</v>
      </c>
      <c r="U50">
        <f t="shared" si="15"/>
        <v>0</v>
      </c>
      <c r="V50" s="29">
        <f t="shared" si="16"/>
        <v>0</v>
      </c>
      <c r="W50" s="29">
        <f t="shared" si="6"/>
        <v>0</v>
      </c>
      <c r="X50" s="29">
        <f t="shared" si="17"/>
        <v>0</v>
      </c>
      <c r="Y50">
        <f t="shared" si="18"/>
        <v>0</v>
      </c>
    </row>
    <row r="51" spans="1:25" x14ac:dyDescent="0.25">
      <c r="A51" s="4" t="s">
        <v>752</v>
      </c>
      <c r="B51" s="7" t="s">
        <v>113</v>
      </c>
      <c r="C51" s="2" t="s">
        <v>753</v>
      </c>
      <c r="D51">
        <f>VLOOKUP(B51,'Model allocations'!$A$1:$L$317,4,FALSE)</f>
        <v>10881.032941850397</v>
      </c>
      <c r="E51" s="31">
        <f>VLOOKUP(B51,'Initial adjusted formula count'!$A$1:$P$317,12,FALSE)</f>
        <v>0.117460317460317</v>
      </c>
      <c r="F51">
        <f>VLOOKUP(B51,'Model allocations'!$A$1:$L$317,9,FALSE)</f>
        <v>9294.5564237711951</v>
      </c>
      <c r="G51" s="30">
        <f t="shared" si="7"/>
        <v>0.85</v>
      </c>
      <c r="H51">
        <f t="shared" si="8"/>
        <v>9248.8780005728368</v>
      </c>
      <c r="I51">
        <f t="shared" si="0"/>
        <v>0</v>
      </c>
      <c r="J51">
        <f t="shared" si="1"/>
        <v>9294.5564237711951</v>
      </c>
      <c r="K51">
        <f t="shared" si="2"/>
        <v>9286.7472845056764</v>
      </c>
      <c r="L51">
        <f t="shared" si="9"/>
        <v>9286.7472845056764</v>
      </c>
      <c r="M51">
        <f t="shared" si="3"/>
        <v>0</v>
      </c>
      <c r="N51" s="29">
        <f t="shared" si="10"/>
        <v>9286.7472845056764</v>
      </c>
      <c r="O51" s="29">
        <f t="shared" si="4"/>
        <v>9284.4175233467995</v>
      </c>
      <c r="P51" s="29">
        <f t="shared" si="11"/>
        <v>9284.4175233467995</v>
      </c>
      <c r="Q51">
        <f t="shared" si="12"/>
        <v>0</v>
      </c>
      <c r="R51" s="29">
        <f t="shared" si="13"/>
        <v>9284.4175233467995</v>
      </c>
      <c r="S51" s="29">
        <f t="shared" si="5"/>
        <v>9284.4175233467977</v>
      </c>
      <c r="T51" s="29">
        <f t="shared" si="14"/>
        <v>9284.4175233467977</v>
      </c>
      <c r="U51">
        <f t="shared" si="15"/>
        <v>0</v>
      </c>
      <c r="V51" s="29">
        <f t="shared" si="16"/>
        <v>9284.4175233467977</v>
      </c>
      <c r="W51" s="29">
        <f t="shared" si="6"/>
        <v>9284.4175233467977</v>
      </c>
      <c r="X51" s="29">
        <f t="shared" si="17"/>
        <v>9284.4175233467977</v>
      </c>
      <c r="Y51">
        <f t="shared" si="18"/>
        <v>0</v>
      </c>
    </row>
    <row r="52" spans="1:25" x14ac:dyDescent="0.25">
      <c r="A52" s="4" t="s">
        <v>754</v>
      </c>
      <c r="B52" s="7" t="s">
        <v>358</v>
      </c>
      <c r="C52" s="2" t="s">
        <v>755</v>
      </c>
      <c r="D52">
        <f>VLOOKUP(B52,'Model allocations'!$A$1:$L$317,4,FALSE)</f>
        <v>9067.5274515419987</v>
      </c>
      <c r="E52" s="31">
        <f>VLOOKUP(B52,'Initial adjusted formula count'!$A$1:$P$317,12,FALSE)</f>
        <v>0.19758064516129001</v>
      </c>
      <c r="F52">
        <f>VLOOKUP(B52,'Model allocations'!$A$1:$L$317,9,FALSE)</f>
        <v>11465.683212145384</v>
      </c>
      <c r="G52" s="30">
        <f t="shared" si="7"/>
        <v>0.9</v>
      </c>
      <c r="H52">
        <f t="shared" si="8"/>
        <v>8160.7747063877987</v>
      </c>
      <c r="I52">
        <f t="shared" si="0"/>
        <v>0</v>
      </c>
      <c r="J52">
        <f t="shared" si="1"/>
        <v>11465.683212145384</v>
      </c>
      <c r="K52">
        <f t="shared" si="2"/>
        <v>11456.049926499931</v>
      </c>
      <c r="L52">
        <f t="shared" si="9"/>
        <v>11456.049926499931</v>
      </c>
      <c r="M52">
        <f t="shared" si="3"/>
        <v>0</v>
      </c>
      <c r="N52" s="29">
        <f t="shared" si="10"/>
        <v>11456.049926499931</v>
      </c>
      <c r="O52" s="29">
        <f t="shared" si="4"/>
        <v>11453.175953586137</v>
      </c>
      <c r="P52" s="29">
        <f t="shared" si="11"/>
        <v>11453.175953586137</v>
      </c>
      <c r="Q52">
        <f t="shared" si="12"/>
        <v>0</v>
      </c>
      <c r="R52" s="29">
        <f t="shared" si="13"/>
        <v>11453.175953586137</v>
      </c>
      <c r="S52" s="29">
        <f t="shared" si="5"/>
        <v>11453.175953586135</v>
      </c>
      <c r="T52" s="29">
        <f t="shared" si="14"/>
        <v>11453.175953586135</v>
      </c>
      <c r="U52">
        <f t="shared" si="15"/>
        <v>0</v>
      </c>
      <c r="V52" s="29">
        <f t="shared" si="16"/>
        <v>11453.175953586135</v>
      </c>
      <c r="W52" s="29">
        <f t="shared" si="6"/>
        <v>11453.175953586135</v>
      </c>
      <c r="X52" s="29">
        <f t="shared" si="17"/>
        <v>11453.175953586135</v>
      </c>
      <c r="Y52">
        <f t="shared" si="18"/>
        <v>0</v>
      </c>
    </row>
    <row r="53" spans="1:25" x14ac:dyDescent="0.25">
      <c r="A53" s="4" t="s">
        <v>756</v>
      </c>
      <c r="B53" s="7" t="s">
        <v>360</v>
      </c>
      <c r="C53" s="2" t="s">
        <v>757</v>
      </c>
      <c r="D53">
        <f>VLOOKUP(B53,'Model allocations'!$A$1:$L$317,4,FALSE)</f>
        <v>0</v>
      </c>
      <c r="E53" s="31">
        <f>VLOOKUP(B53,'Initial adjusted formula count'!$A$1:$P$317,12,FALSE)</f>
        <v>0.10213556174559001</v>
      </c>
      <c r="F53">
        <f>VLOOKUP(B53,'Model allocations'!$A$1:$L$317,9,FALSE)</f>
        <v>0</v>
      </c>
      <c r="G53" s="30">
        <f t="shared" si="7"/>
        <v>0.85</v>
      </c>
      <c r="H53">
        <f t="shared" si="8"/>
        <v>0</v>
      </c>
      <c r="I53">
        <f t="shared" si="0"/>
        <v>0</v>
      </c>
      <c r="J53">
        <f t="shared" si="1"/>
        <v>0</v>
      </c>
      <c r="K53">
        <f t="shared" si="2"/>
        <v>0</v>
      </c>
      <c r="L53">
        <f t="shared" si="9"/>
        <v>0</v>
      </c>
      <c r="M53">
        <f t="shared" si="3"/>
        <v>0</v>
      </c>
      <c r="N53" s="29">
        <f t="shared" si="10"/>
        <v>0</v>
      </c>
      <c r="O53" s="29">
        <f t="shared" si="4"/>
        <v>0</v>
      </c>
      <c r="P53" s="29">
        <f t="shared" si="11"/>
        <v>0</v>
      </c>
      <c r="Q53">
        <f t="shared" si="12"/>
        <v>0</v>
      </c>
      <c r="R53" s="29">
        <f t="shared" si="13"/>
        <v>0</v>
      </c>
      <c r="S53" s="29">
        <f t="shared" si="5"/>
        <v>0</v>
      </c>
      <c r="T53" s="29">
        <f t="shared" si="14"/>
        <v>0</v>
      </c>
      <c r="U53">
        <f t="shared" si="15"/>
        <v>0</v>
      </c>
      <c r="V53" s="29">
        <f t="shared" si="16"/>
        <v>0</v>
      </c>
      <c r="W53" s="29">
        <f t="shared" si="6"/>
        <v>0</v>
      </c>
      <c r="X53" s="29">
        <f t="shared" si="17"/>
        <v>0</v>
      </c>
      <c r="Y53">
        <f t="shared" si="18"/>
        <v>0</v>
      </c>
    </row>
    <row r="54" spans="1:25" x14ac:dyDescent="0.25">
      <c r="A54" s="4" t="s">
        <v>758</v>
      </c>
      <c r="B54" s="7" t="s">
        <v>362</v>
      </c>
      <c r="C54" s="2" t="s">
        <v>759</v>
      </c>
      <c r="D54">
        <f>VLOOKUP(B54,'Model allocations'!$A$1:$L$317,4,FALSE)</f>
        <v>15188.108481332847</v>
      </c>
      <c r="E54" s="31">
        <f>VLOOKUP(B54,'Initial adjusted formula count'!$A$1:$P$317,12,FALSE)</f>
        <v>0.181286549707602</v>
      </c>
      <c r="F54">
        <f>VLOOKUP(B54,'Model allocations'!$A$1:$L$317,9,FALSE)</f>
        <v>14507.59916638803</v>
      </c>
      <c r="G54" s="30">
        <f t="shared" si="7"/>
        <v>0.9</v>
      </c>
      <c r="H54">
        <f t="shared" si="8"/>
        <v>13669.297633199563</v>
      </c>
      <c r="I54">
        <f t="shared" si="0"/>
        <v>0</v>
      </c>
      <c r="J54">
        <f t="shared" si="1"/>
        <v>14507.59916638803</v>
      </c>
      <c r="K54">
        <f t="shared" si="2"/>
        <v>14495.410111081541</v>
      </c>
      <c r="L54">
        <f t="shared" si="9"/>
        <v>14495.410111081541</v>
      </c>
      <c r="M54">
        <f t="shared" si="3"/>
        <v>0</v>
      </c>
      <c r="N54" s="29">
        <f t="shared" si="10"/>
        <v>14495.410111081541</v>
      </c>
      <c r="O54" s="29">
        <f t="shared" si="4"/>
        <v>14491.773655557965</v>
      </c>
      <c r="P54" s="29">
        <f t="shared" si="11"/>
        <v>14491.773655557965</v>
      </c>
      <c r="Q54">
        <f t="shared" si="12"/>
        <v>0</v>
      </c>
      <c r="R54" s="29">
        <f t="shared" si="13"/>
        <v>14491.773655557965</v>
      </c>
      <c r="S54" s="29">
        <f t="shared" si="5"/>
        <v>14491.773655557961</v>
      </c>
      <c r="T54" s="29">
        <f t="shared" si="14"/>
        <v>14491.773655557961</v>
      </c>
      <c r="U54">
        <f t="shared" si="15"/>
        <v>0</v>
      </c>
      <c r="V54" s="29">
        <f t="shared" si="16"/>
        <v>14491.773655557961</v>
      </c>
      <c r="W54" s="29">
        <f t="shared" si="6"/>
        <v>14491.773655557961</v>
      </c>
      <c r="X54" s="29">
        <f t="shared" si="17"/>
        <v>14491.773655557961</v>
      </c>
      <c r="Y54">
        <f t="shared" si="18"/>
        <v>0</v>
      </c>
    </row>
    <row r="55" spans="1:25" x14ac:dyDescent="0.25">
      <c r="A55" s="8" t="s">
        <v>760</v>
      </c>
      <c r="B55" s="7" t="s">
        <v>364</v>
      </c>
      <c r="C55" s="2" t="s">
        <v>761</v>
      </c>
      <c r="D55">
        <f>VLOOKUP(B55,'Model allocations'!$A$1:$L$317,4,FALSE)</f>
        <v>3417.311162017379</v>
      </c>
      <c r="E55" s="31">
        <f>VLOOKUP(B55,'Initial adjusted formula count'!$A$1:$P$317,12,FALSE)</f>
        <v>0.14912280701754399</v>
      </c>
      <c r="F55">
        <f>VLOOKUP(B55,'Model allocations'!$A$1:$L$317,9,FALSE)</f>
        <v>2904.7144877147721</v>
      </c>
      <c r="G55" s="30">
        <f t="shared" si="7"/>
        <v>0.85</v>
      </c>
      <c r="H55">
        <f t="shared" si="8"/>
        <v>2904.7144877147721</v>
      </c>
      <c r="I55">
        <f t="shared" si="0"/>
        <v>0</v>
      </c>
      <c r="J55">
        <f t="shared" si="1"/>
        <v>2904.7144877147721</v>
      </c>
      <c r="K55">
        <f t="shared" si="2"/>
        <v>2902.273992555356</v>
      </c>
      <c r="L55">
        <f t="shared" si="9"/>
        <v>2902.273992555356</v>
      </c>
      <c r="M55">
        <f t="shared" si="3"/>
        <v>2904.7144877147721</v>
      </c>
      <c r="N55" s="29">
        <f t="shared" si="10"/>
        <v>0</v>
      </c>
      <c r="O55" s="29">
        <f t="shared" si="4"/>
        <v>0</v>
      </c>
      <c r="P55" s="29">
        <f t="shared" si="11"/>
        <v>2904.7144877147721</v>
      </c>
      <c r="Q55">
        <f t="shared" si="12"/>
        <v>0</v>
      </c>
      <c r="R55" s="29">
        <f t="shared" si="13"/>
        <v>0</v>
      </c>
      <c r="S55" s="29">
        <f t="shared" si="5"/>
        <v>0</v>
      </c>
      <c r="T55" s="29">
        <f t="shared" si="14"/>
        <v>2904.7144877147721</v>
      </c>
      <c r="U55">
        <f t="shared" si="15"/>
        <v>0</v>
      </c>
      <c r="V55" s="29">
        <f t="shared" si="16"/>
        <v>0</v>
      </c>
      <c r="W55" s="29">
        <f t="shared" si="6"/>
        <v>0</v>
      </c>
      <c r="X55" s="29">
        <f t="shared" si="17"/>
        <v>2904.7144877147721</v>
      </c>
      <c r="Y55">
        <f t="shared" si="18"/>
        <v>0</v>
      </c>
    </row>
    <row r="56" spans="1:25" x14ac:dyDescent="0.25">
      <c r="A56" s="4" t="s">
        <v>762</v>
      </c>
      <c r="B56" s="7" t="s">
        <v>366</v>
      </c>
      <c r="C56" s="2" t="s">
        <v>763</v>
      </c>
      <c r="D56">
        <f>VLOOKUP(B56,'Model allocations'!$A$1:$L$317,4,FALSE)</f>
        <v>10663.68957666142</v>
      </c>
      <c r="E56" s="31">
        <f>VLOOKUP(B56,'Initial adjusted formula count'!$A$1:$P$317,12,FALSE)</f>
        <v>0.33333333333333298</v>
      </c>
      <c r="F56">
        <f>VLOOKUP(B56,'Model allocations'!$A$1:$L$317,9,FALSE)</f>
        <v>12869.644421795836</v>
      </c>
      <c r="G56" s="30">
        <f t="shared" si="7"/>
        <v>0.95</v>
      </c>
      <c r="H56">
        <f t="shared" si="8"/>
        <v>10130.505097828349</v>
      </c>
      <c r="I56">
        <f t="shared" si="0"/>
        <v>0</v>
      </c>
      <c r="J56">
        <f t="shared" si="1"/>
        <v>12869.644421795836</v>
      </c>
      <c r="K56">
        <f t="shared" si="2"/>
        <v>12858.831550152981</v>
      </c>
      <c r="L56">
        <f t="shared" si="9"/>
        <v>12858.831550152981</v>
      </c>
      <c r="M56">
        <f t="shared" si="3"/>
        <v>0</v>
      </c>
      <c r="N56" s="29">
        <f t="shared" si="10"/>
        <v>12858.831550152981</v>
      </c>
      <c r="O56" s="29">
        <f t="shared" si="4"/>
        <v>12855.605662188518</v>
      </c>
      <c r="P56" s="29">
        <f t="shared" si="11"/>
        <v>12855.605662188518</v>
      </c>
      <c r="Q56">
        <f t="shared" si="12"/>
        <v>0</v>
      </c>
      <c r="R56" s="29">
        <f t="shared" si="13"/>
        <v>12855.605662188518</v>
      </c>
      <c r="S56" s="29">
        <f t="shared" si="5"/>
        <v>12855.605662188516</v>
      </c>
      <c r="T56" s="29">
        <f t="shared" si="14"/>
        <v>12855.605662188516</v>
      </c>
      <c r="U56">
        <f t="shared" si="15"/>
        <v>0</v>
      </c>
      <c r="V56" s="29">
        <f t="shared" si="16"/>
        <v>12855.605662188516</v>
      </c>
      <c r="W56" s="29">
        <f t="shared" si="6"/>
        <v>12855.605662188516</v>
      </c>
      <c r="X56" s="29">
        <f t="shared" si="17"/>
        <v>12855.605662188516</v>
      </c>
      <c r="Y56">
        <f t="shared" si="18"/>
        <v>0</v>
      </c>
    </row>
    <row r="57" spans="1:25" x14ac:dyDescent="0.25">
      <c r="A57" s="4" t="s">
        <v>764</v>
      </c>
      <c r="B57" s="7" t="s">
        <v>368</v>
      </c>
      <c r="C57" s="2" t="s">
        <v>765</v>
      </c>
      <c r="D57">
        <f>VLOOKUP(B57,'Model allocations'!$A$1:$L$317,4,FALSE)</f>
        <v>18661.456759157481</v>
      </c>
      <c r="E57" s="31">
        <f>VLOOKUP(B57,'Initial adjusted formula count'!$A$1:$P$317,12,FALSE)</f>
        <v>0.232198142414861</v>
      </c>
      <c r="F57">
        <f>VLOOKUP(B57,'Model allocations'!$A$1:$L$317,9,FALSE)</f>
        <v>17549.515120630695</v>
      </c>
      <c r="G57" s="30">
        <f t="shared" si="7"/>
        <v>0.9</v>
      </c>
      <c r="H57">
        <f t="shared" si="8"/>
        <v>16795.311083241733</v>
      </c>
      <c r="I57">
        <f t="shared" si="0"/>
        <v>0</v>
      </c>
      <c r="J57">
        <f t="shared" si="1"/>
        <v>17549.515120630695</v>
      </c>
      <c r="K57">
        <f t="shared" si="2"/>
        <v>17534.770295663166</v>
      </c>
      <c r="L57">
        <f t="shared" si="9"/>
        <v>17534.770295663166</v>
      </c>
      <c r="M57">
        <f t="shared" si="3"/>
        <v>0</v>
      </c>
      <c r="N57" s="29">
        <f t="shared" si="10"/>
        <v>17534.770295663166</v>
      </c>
      <c r="O57" s="29">
        <f t="shared" si="4"/>
        <v>17530.37135752981</v>
      </c>
      <c r="P57" s="29">
        <f t="shared" si="11"/>
        <v>17530.37135752981</v>
      </c>
      <c r="Q57">
        <f t="shared" si="12"/>
        <v>0</v>
      </c>
      <c r="R57" s="29">
        <f t="shared" si="13"/>
        <v>17530.37135752981</v>
      </c>
      <c r="S57" s="29">
        <f t="shared" si="5"/>
        <v>17530.371357529806</v>
      </c>
      <c r="T57" s="29">
        <f t="shared" si="14"/>
        <v>17530.371357529806</v>
      </c>
      <c r="U57">
        <f t="shared" si="15"/>
        <v>0</v>
      </c>
      <c r="V57" s="29">
        <f t="shared" si="16"/>
        <v>17530.371357529806</v>
      </c>
      <c r="W57" s="29">
        <f t="shared" si="6"/>
        <v>17530.371357529806</v>
      </c>
      <c r="X57" s="29">
        <f t="shared" si="17"/>
        <v>17530.371357529806</v>
      </c>
      <c r="Y57">
        <f t="shared" si="18"/>
        <v>0</v>
      </c>
    </row>
    <row r="58" spans="1:25" x14ac:dyDescent="0.25">
      <c r="A58" s="4" t="s">
        <v>766</v>
      </c>
      <c r="B58" s="7" t="s">
        <v>115</v>
      </c>
      <c r="C58" s="2" t="s">
        <v>767</v>
      </c>
      <c r="D58">
        <f>VLOOKUP(B58,'Model allocations'!$A$1:$L$317,4,FALSE)</f>
        <v>0</v>
      </c>
      <c r="E58" s="31">
        <f>VLOOKUP(B58,'Initial adjusted formula count'!$A$1:$P$317,12,FALSE)</f>
        <v>2.6548672566371698E-2</v>
      </c>
      <c r="F58">
        <f>VLOOKUP(B58,'Model allocations'!$A$1:$L$317,9,FALSE)</f>
        <v>0</v>
      </c>
      <c r="G58" s="30">
        <f t="shared" si="7"/>
        <v>0.85</v>
      </c>
      <c r="H58">
        <f t="shared" si="8"/>
        <v>0</v>
      </c>
      <c r="I58">
        <f t="shared" si="0"/>
        <v>0</v>
      </c>
      <c r="J58">
        <f t="shared" si="1"/>
        <v>0</v>
      </c>
      <c r="K58">
        <f t="shared" si="2"/>
        <v>0</v>
      </c>
      <c r="L58">
        <f t="shared" si="9"/>
        <v>0</v>
      </c>
      <c r="M58">
        <f t="shared" si="3"/>
        <v>0</v>
      </c>
      <c r="N58" s="29">
        <f t="shared" si="10"/>
        <v>0</v>
      </c>
      <c r="O58" s="29">
        <f t="shared" si="4"/>
        <v>0</v>
      </c>
      <c r="P58" s="29">
        <f t="shared" si="11"/>
        <v>0</v>
      </c>
      <c r="Q58">
        <f t="shared" si="12"/>
        <v>0</v>
      </c>
      <c r="R58" s="29">
        <f t="shared" si="13"/>
        <v>0</v>
      </c>
      <c r="S58" s="29">
        <f t="shared" si="5"/>
        <v>0</v>
      </c>
      <c r="T58" s="29">
        <f t="shared" si="14"/>
        <v>0</v>
      </c>
      <c r="U58">
        <f t="shared" si="15"/>
        <v>0</v>
      </c>
      <c r="V58" s="29">
        <f t="shared" si="16"/>
        <v>0</v>
      </c>
      <c r="W58" s="29">
        <f t="shared" si="6"/>
        <v>0</v>
      </c>
      <c r="X58" s="29">
        <f t="shared" si="17"/>
        <v>0</v>
      </c>
      <c r="Y58">
        <f t="shared" si="18"/>
        <v>0</v>
      </c>
    </row>
    <row r="59" spans="1:25" x14ac:dyDescent="0.25">
      <c r="A59" s="4" t="s">
        <v>768</v>
      </c>
      <c r="B59" s="7" t="s">
        <v>272</v>
      </c>
      <c r="C59" s="2" t="s">
        <v>769</v>
      </c>
      <c r="D59">
        <f>VLOOKUP(B59,'Model allocations'!$A$1:$L$317,4,FALSE)</f>
        <v>14928.254023549607</v>
      </c>
      <c r="E59" s="31">
        <f>VLOOKUP(B59,'Initial adjusted formula count'!$A$1:$P$317,12,FALSE)</f>
        <v>8.89328063241107E-2</v>
      </c>
      <c r="F59">
        <f>VLOOKUP(B59,'Model allocations'!$A$1:$L$317,9,FALSE)</f>
        <v>12689.015920017166</v>
      </c>
      <c r="G59" s="30">
        <f t="shared" si="7"/>
        <v>0.85</v>
      </c>
      <c r="H59">
        <f t="shared" si="8"/>
        <v>12689.015920017166</v>
      </c>
      <c r="I59">
        <f t="shared" si="0"/>
        <v>0</v>
      </c>
      <c r="J59">
        <f t="shared" si="1"/>
        <v>12689.015920017166</v>
      </c>
      <c r="K59">
        <f t="shared" si="2"/>
        <v>12678.354809583925</v>
      </c>
      <c r="L59">
        <f t="shared" si="9"/>
        <v>12678.354809583925</v>
      </c>
      <c r="M59">
        <f t="shared" si="3"/>
        <v>12689.015920017166</v>
      </c>
      <c r="N59" s="29">
        <f t="shared" si="10"/>
        <v>0</v>
      </c>
      <c r="O59" s="29">
        <f t="shared" si="4"/>
        <v>0</v>
      </c>
      <c r="P59" s="29">
        <f t="shared" si="11"/>
        <v>12689.015920017166</v>
      </c>
      <c r="Q59">
        <f t="shared" si="12"/>
        <v>0</v>
      </c>
      <c r="R59" s="29">
        <f t="shared" si="13"/>
        <v>0</v>
      </c>
      <c r="S59" s="29">
        <f t="shared" si="5"/>
        <v>0</v>
      </c>
      <c r="T59" s="29">
        <f t="shared" si="14"/>
        <v>12689.015920017166</v>
      </c>
      <c r="U59">
        <f t="shared" si="15"/>
        <v>0</v>
      </c>
      <c r="V59" s="29">
        <f t="shared" si="16"/>
        <v>0</v>
      </c>
      <c r="W59" s="29">
        <f t="shared" si="6"/>
        <v>0</v>
      </c>
      <c r="X59" s="29">
        <f t="shared" si="17"/>
        <v>12689.015920017166</v>
      </c>
      <c r="Y59">
        <f t="shared" si="18"/>
        <v>0</v>
      </c>
    </row>
    <row r="60" spans="1:25" x14ac:dyDescent="0.25">
      <c r="A60" s="4" t="s">
        <v>770</v>
      </c>
      <c r="B60" s="7" t="s">
        <v>370</v>
      </c>
      <c r="C60" s="2" t="s">
        <v>771</v>
      </c>
      <c r="D60">
        <f>VLOOKUP(B60,'Model allocations'!$A$1:$L$317,4,FALSE)</f>
        <v>16123.689816514952</v>
      </c>
      <c r="E60" s="31">
        <f>VLOOKUP(B60,'Initial adjusted formula count'!$A$1:$P$317,12,FALSE)</f>
        <v>0.13945578231292499</v>
      </c>
      <c r="F60">
        <f>VLOOKUP(B60,'Model allocations'!$A$1:$L$317,9,FALSE)</f>
        <v>13705.13634403771</v>
      </c>
      <c r="G60" s="30">
        <f t="shared" si="7"/>
        <v>0.85</v>
      </c>
      <c r="H60">
        <f t="shared" si="8"/>
        <v>13705.13634403771</v>
      </c>
      <c r="I60">
        <f t="shared" si="0"/>
        <v>0</v>
      </c>
      <c r="J60">
        <f t="shared" si="1"/>
        <v>13705.13634403771</v>
      </c>
      <c r="K60">
        <f t="shared" si="2"/>
        <v>13693.621505299436</v>
      </c>
      <c r="L60">
        <f t="shared" si="9"/>
        <v>13693.621505299436</v>
      </c>
      <c r="M60">
        <f t="shared" si="3"/>
        <v>13705.13634403771</v>
      </c>
      <c r="N60" s="29">
        <f t="shared" si="10"/>
        <v>0</v>
      </c>
      <c r="O60" s="29">
        <f t="shared" si="4"/>
        <v>0</v>
      </c>
      <c r="P60" s="29">
        <f t="shared" si="11"/>
        <v>13705.13634403771</v>
      </c>
      <c r="Q60">
        <f t="shared" si="12"/>
        <v>0</v>
      </c>
      <c r="R60" s="29">
        <f t="shared" si="13"/>
        <v>0</v>
      </c>
      <c r="S60" s="29">
        <f t="shared" si="5"/>
        <v>0</v>
      </c>
      <c r="T60" s="29">
        <f t="shared" si="14"/>
        <v>13705.13634403771</v>
      </c>
      <c r="U60">
        <f t="shared" si="15"/>
        <v>0</v>
      </c>
      <c r="V60" s="29">
        <f t="shared" si="16"/>
        <v>0</v>
      </c>
      <c r="W60" s="29">
        <f t="shared" si="6"/>
        <v>0</v>
      </c>
      <c r="X60" s="29">
        <f t="shared" si="17"/>
        <v>13705.13634403771</v>
      </c>
      <c r="Y60">
        <f t="shared" si="18"/>
        <v>0</v>
      </c>
    </row>
    <row r="61" spans="1:25" x14ac:dyDescent="0.25">
      <c r="A61" s="4" t="s">
        <v>772</v>
      </c>
      <c r="B61" s="7" t="s">
        <v>372</v>
      </c>
      <c r="C61" s="2" t="s">
        <v>773</v>
      </c>
      <c r="D61">
        <f>VLOOKUP(B61,'Model allocations'!$A$1:$L$317,4,FALSE)</f>
        <v>18165.70670335554</v>
      </c>
      <c r="E61" s="31">
        <f>VLOOKUP(B61,'Initial adjusted formula count'!$A$1:$P$317,12,FALSE)</f>
        <v>0.179883945841393</v>
      </c>
      <c r="F61">
        <f>VLOOKUP(B61,'Model allocations'!$A$1:$L$317,9,FALSE)</f>
        <v>21761.398749582055</v>
      </c>
      <c r="G61" s="30">
        <f t="shared" si="7"/>
        <v>0.9</v>
      </c>
      <c r="H61">
        <f t="shared" si="8"/>
        <v>16349.136033019986</v>
      </c>
      <c r="I61">
        <f t="shared" si="0"/>
        <v>0</v>
      </c>
      <c r="J61">
        <f t="shared" si="1"/>
        <v>21761.398749582055</v>
      </c>
      <c r="K61">
        <f t="shared" si="2"/>
        <v>21743.11516662232</v>
      </c>
      <c r="L61">
        <f t="shared" si="9"/>
        <v>21743.11516662232</v>
      </c>
      <c r="M61">
        <f t="shared" si="3"/>
        <v>0</v>
      </c>
      <c r="N61" s="29">
        <f t="shared" si="10"/>
        <v>21743.11516662232</v>
      </c>
      <c r="O61" s="29">
        <f t="shared" si="4"/>
        <v>21737.660483336957</v>
      </c>
      <c r="P61" s="29">
        <f t="shared" si="11"/>
        <v>21737.660483336957</v>
      </c>
      <c r="Q61">
        <f t="shared" si="12"/>
        <v>0</v>
      </c>
      <c r="R61" s="29">
        <f t="shared" si="13"/>
        <v>21737.660483336957</v>
      </c>
      <c r="S61" s="29">
        <f t="shared" si="5"/>
        <v>21737.660483336953</v>
      </c>
      <c r="T61" s="29">
        <f t="shared" si="14"/>
        <v>21737.660483336953</v>
      </c>
      <c r="U61">
        <f t="shared" si="15"/>
        <v>0</v>
      </c>
      <c r="V61" s="29">
        <f t="shared" si="16"/>
        <v>21737.660483336953</v>
      </c>
      <c r="W61" s="29">
        <f t="shared" si="6"/>
        <v>21737.660483336953</v>
      </c>
      <c r="X61" s="29">
        <f t="shared" si="17"/>
        <v>21737.660483336953</v>
      </c>
      <c r="Y61">
        <f t="shared" si="18"/>
        <v>0</v>
      </c>
    </row>
    <row r="62" spans="1:25" x14ac:dyDescent="0.25">
      <c r="A62" s="4" t="s">
        <v>774</v>
      </c>
      <c r="B62" s="7" t="s">
        <v>374</v>
      </c>
      <c r="C62" s="2" t="s">
        <v>775</v>
      </c>
      <c r="D62">
        <f>VLOOKUP(B62,'Model allocations'!$A$1:$L$317,4,FALSE)</f>
        <v>0</v>
      </c>
      <c r="E62" s="31">
        <f>VLOOKUP(B62,'Initial adjusted formula count'!$A$1:$P$317,12,FALSE)</f>
        <v>9.9287808965228305E-2</v>
      </c>
      <c r="F62">
        <f>VLOOKUP(B62,'Model allocations'!$A$1:$L$317,9,FALSE)</f>
        <v>0</v>
      </c>
      <c r="G62" s="30">
        <f t="shared" si="7"/>
        <v>0.85</v>
      </c>
      <c r="H62">
        <f t="shared" si="8"/>
        <v>0</v>
      </c>
      <c r="I62">
        <f t="shared" si="0"/>
        <v>0</v>
      </c>
      <c r="J62">
        <f t="shared" si="1"/>
        <v>0</v>
      </c>
      <c r="K62">
        <f t="shared" si="2"/>
        <v>0</v>
      </c>
      <c r="L62">
        <f t="shared" si="9"/>
        <v>0</v>
      </c>
      <c r="M62">
        <f t="shared" si="3"/>
        <v>0</v>
      </c>
      <c r="N62" s="29">
        <f t="shared" si="10"/>
        <v>0</v>
      </c>
      <c r="O62" s="29">
        <f t="shared" si="4"/>
        <v>0</v>
      </c>
      <c r="P62" s="29">
        <f t="shared" si="11"/>
        <v>0</v>
      </c>
      <c r="Q62">
        <f t="shared" si="12"/>
        <v>0</v>
      </c>
      <c r="R62" s="29">
        <f t="shared" si="13"/>
        <v>0</v>
      </c>
      <c r="S62" s="29">
        <f t="shared" si="5"/>
        <v>0</v>
      </c>
      <c r="T62" s="29">
        <f t="shared" si="14"/>
        <v>0</v>
      </c>
      <c r="U62">
        <f t="shared" si="15"/>
        <v>0</v>
      </c>
      <c r="V62" s="29">
        <f t="shared" si="16"/>
        <v>0</v>
      </c>
      <c r="W62" s="29">
        <f t="shared" si="6"/>
        <v>0</v>
      </c>
      <c r="X62" s="29">
        <f t="shared" si="17"/>
        <v>0</v>
      </c>
      <c r="Y62">
        <f t="shared" si="18"/>
        <v>0</v>
      </c>
    </row>
    <row r="63" spans="1:25" x14ac:dyDescent="0.25">
      <c r="A63" s="4" t="s">
        <v>776</v>
      </c>
      <c r="B63" s="7" t="s">
        <v>274</v>
      </c>
      <c r="C63" s="2" t="s">
        <v>777</v>
      </c>
      <c r="D63">
        <f>VLOOKUP(B63,'Model allocations'!$A$1:$L$317,4,FALSE)</f>
        <v>0</v>
      </c>
      <c r="E63" s="31">
        <f>VLOOKUP(B63,'Initial adjusted formula count'!$A$1:$P$317,12,FALSE)</f>
        <v>4.4483209768861803E-2</v>
      </c>
      <c r="F63">
        <f>VLOOKUP(B63,'Model allocations'!$A$1:$L$317,9,FALSE)</f>
        <v>0</v>
      </c>
      <c r="G63" s="30">
        <f t="shared" si="7"/>
        <v>0.85</v>
      </c>
      <c r="H63">
        <f t="shared" si="8"/>
        <v>0</v>
      </c>
      <c r="I63">
        <f t="shared" si="0"/>
        <v>0</v>
      </c>
      <c r="J63">
        <f t="shared" si="1"/>
        <v>0</v>
      </c>
      <c r="K63">
        <f t="shared" si="2"/>
        <v>0</v>
      </c>
      <c r="L63">
        <f t="shared" si="9"/>
        <v>0</v>
      </c>
      <c r="M63">
        <f t="shared" si="3"/>
        <v>0</v>
      </c>
      <c r="N63" s="29">
        <f t="shared" si="10"/>
        <v>0</v>
      </c>
      <c r="O63" s="29">
        <f t="shared" si="4"/>
        <v>0</v>
      </c>
      <c r="P63" s="29">
        <f t="shared" si="11"/>
        <v>0</v>
      </c>
      <c r="Q63">
        <f t="shared" si="12"/>
        <v>0</v>
      </c>
      <c r="R63" s="29">
        <f t="shared" si="13"/>
        <v>0</v>
      </c>
      <c r="S63" s="29">
        <f t="shared" si="5"/>
        <v>0</v>
      </c>
      <c r="T63" s="29">
        <f t="shared" si="14"/>
        <v>0</v>
      </c>
      <c r="U63">
        <f t="shared" si="15"/>
        <v>0</v>
      </c>
      <c r="V63" s="29">
        <f t="shared" si="16"/>
        <v>0</v>
      </c>
      <c r="W63" s="29">
        <f t="shared" si="6"/>
        <v>0</v>
      </c>
      <c r="X63" s="29">
        <f t="shared" si="17"/>
        <v>0</v>
      </c>
      <c r="Y63">
        <f t="shared" si="18"/>
        <v>0</v>
      </c>
    </row>
    <row r="64" spans="1:25" x14ac:dyDescent="0.25">
      <c r="A64" s="4" t="s">
        <v>778</v>
      </c>
      <c r="B64" s="7" t="s">
        <v>376</v>
      </c>
      <c r="C64" s="2" t="s">
        <v>779</v>
      </c>
      <c r="D64">
        <f>VLOOKUP(B64,'Model allocations'!$A$1:$L$317,4,FALSE)</f>
        <v>1453.183691881286</v>
      </c>
      <c r="E64" s="31">
        <f>VLOOKUP(B64,'Initial adjusted formula count'!$A$1:$P$317,12,FALSE)</f>
        <v>0.08</v>
      </c>
      <c r="F64">
        <f>VLOOKUP(B64,'Model allocations'!$A$1:$L$317,9,FALSE)</f>
        <v>1235.2061380990931</v>
      </c>
      <c r="G64" s="30">
        <f t="shared" si="7"/>
        <v>0.85</v>
      </c>
      <c r="H64">
        <f t="shared" si="8"/>
        <v>1235.2061380990931</v>
      </c>
      <c r="I64">
        <f t="shared" si="0"/>
        <v>0</v>
      </c>
      <c r="J64">
        <f t="shared" si="1"/>
        <v>1235.2061380990931</v>
      </c>
      <c r="K64">
        <f t="shared" si="2"/>
        <v>1234.1683374430695</v>
      </c>
      <c r="L64">
        <f t="shared" si="9"/>
        <v>1234.1683374430695</v>
      </c>
      <c r="M64">
        <f t="shared" si="3"/>
        <v>1235.2061380990931</v>
      </c>
      <c r="N64" s="29">
        <f t="shared" si="10"/>
        <v>0</v>
      </c>
      <c r="O64" s="29">
        <f t="shared" si="4"/>
        <v>0</v>
      </c>
      <c r="P64" s="29">
        <f t="shared" si="11"/>
        <v>1235.2061380990931</v>
      </c>
      <c r="Q64">
        <f t="shared" si="12"/>
        <v>0</v>
      </c>
      <c r="R64" s="29">
        <f t="shared" si="13"/>
        <v>0</v>
      </c>
      <c r="S64" s="29">
        <f t="shared" si="5"/>
        <v>0</v>
      </c>
      <c r="T64" s="29">
        <f t="shared" si="14"/>
        <v>1235.2061380990931</v>
      </c>
      <c r="U64">
        <f t="shared" si="15"/>
        <v>0</v>
      </c>
      <c r="V64" s="29">
        <f t="shared" si="16"/>
        <v>0</v>
      </c>
      <c r="W64" s="29">
        <f t="shared" si="6"/>
        <v>0</v>
      </c>
      <c r="X64" s="29">
        <f t="shared" si="17"/>
        <v>1235.2061380990931</v>
      </c>
      <c r="Y64">
        <f t="shared" si="18"/>
        <v>0</v>
      </c>
    </row>
    <row r="65" spans="1:25" x14ac:dyDescent="0.25">
      <c r="A65" s="4" t="s">
        <v>780</v>
      </c>
      <c r="B65" s="7" t="s">
        <v>378</v>
      </c>
      <c r="C65" s="2" t="s">
        <v>781</v>
      </c>
      <c r="D65">
        <f>VLOOKUP(B65,'Model allocations'!$A$1:$L$317,4,FALSE)</f>
        <v>183617.43089372537</v>
      </c>
      <c r="E65" s="31">
        <f>VLOOKUP(B65,'Initial adjusted formula count'!$A$1:$P$317,12,FALSE)</f>
        <v>0.126458731169107</v>
      </c>
      <c r="F65">
        <f>VLOOKUP(B65,'Model allocations'!$A$1:$L$317,9,FALSE)</f>
        <v>156074.81625966655</v>
      </c>
      <c r="G65" s="30">
        <f t="shared" si="7"/>
        <v>0.85</v>
      </c>
      <c r="H65">
        <f t="shared" si="8"/>
        <v>156074.81625966655</v>
      </c>
      <c r="I65">
        <f t="shared" si="0"/>
        <v>0</v>
      </c>
      <c r="J65">
        <f t="shared" si="1"/>
        <v>156074.81625966655</v>
      </c>
      <c r="K65">
        <f t="shared" si="2"/>
        <v>155943.68466817986</v>
      </c>
      <c r="L65">
        <f t="shared" si="9"/>
        <v>155943.68466817986</v>
      </c>
      <c r="M65">
        <f t="shared" si="3"/>
        <v>156074.81625966655</v>
      </c>
      <c r="N65" s="29">
        <f t="shared" si="10"/>
        <v>0</v>
      </c>
      <c r="O65" s="29">
        <f t="shared" si="4"/>
        <v>0</v>
      </c>
      <c r="P65" s="29">
        <f t="shared" si="11"/>
        <v>156074.81625966655</v>
      </c>
      <c r="Q65">
        <f t="shared" si="12"/>
        <v>0</v>
      </c>
      <c r="R65" s="29">
        <f t="shared" si="13"/>
        <v>0</v>
      </c>
      <c r="S65" s="29">
        <f t="shared" si="5"/>
        <v>0</v>
      </c>
      <c r="T65" s="29">
        <f t="shared" si="14"/>
        <v>156074.81625966655</v>
      </c>
      <c r="U65">
        <f t="shared" si="15"/>
        <v>0</v>
      </c>
      <c r="V65" s="29">
        <f t="shared" si="16"/>
        <v>0</v>
      </c>
      <c r="W65" s="29">
        <f t="shared" si="6"/>
        <v>0</v>
      </c>
      <c r="X65" s="29">
        <f t="shared" si="17"/>
        <v>156074.81625966655</v>
      </c>
      <c r="Y65">
        <f t="shared" si="18"/>
        <v>0</v>
      </c>
    </row>
    <row r="66" spans="1:25" x14ac:dyDescent="0.25">
      <c r="A66" s="4" t="s">
        <v>782</v>
      </c>
      <c r="B66" s="7" t="s">
        <v>380</v>
      </c>
      <c r="C66" s="2" t="s">
        <v>783</v>
      </c>
      <c r="D66">
        <f>VLOOKUP(B66,'Model allocations'!$A$1:$L$317,4,FALSE)</f>
        <v>0</v>
      </c>
      <c r="E66" s="31">
        <f>VLOOKUP(B66,'Initial adjusted formula count'!$A$1:$P$317,12,FALSE)</f>
        <v>0.137717818999438</v>
      </c>
      <c r="F66">
        <f>VLOOKUP(B66,'Model allocations'!$A$1:$L$317,9,FALSE)</f>
        <v>0</v>
      </c>
      <c r="G66" s="30">
        <f t="shared" si="7"/>
        <v>0.85</v>
      </c>
      <c r="H66">
        <f t="shared" si="8"/>
        <v>0</v>
      </c>
      <c r="I66">
        <f t="shared" si="0"/>
        <v>0</v>
      </c>
      <c r="J66">
        <f t="shared" si="1"/>
        <v>0</v>
      </c>
      <c r="K66">
        <f t="shared" si="2"/>
        <v>0</v>
      </c>
      <c r="L66">
        <f t="shared" si="9"/>
        <v>0</v>
      </c>
      <c r="M66">
        <f t="shared" si="3"/>
        <v>0</v>
      </c>
      <c r="N66" s="29">
        <f t="shared" si="10"/>
        <v>0</v>
      </c>
      <c r="O66" s="29">
        <f t="shared" si="4"/>
        <v>0</v>
      </c>
      <c r="P66" s="29">
        <f t="shared" si="11"/>
        <v>0</v>
      </c>
      <c r="Q66">
        <f t="shared" si="12"/>
        <v>0</v>
      </c>
      <c r="R66" s="29">
        <f t="shared" si="13"/>
        <v>0</v>
      </c>
      <c r="S66" s="29">
        <f t="shared" si="5"/>
        <v>0</v>
      </c>
      <c r="T66" s="29">
        <f t="shared" si="14"/>
        <v>0</v>
      </c>
      <c r="U66">
        <f t="shared" si="15"/>
        <v>0</v>
      </c>
      <c r="V66" s="29">
        <f t="shared" si="16"/>
        <v>0</v>
      </c>
      <c r="W66" s="29">
        <f t="shared" si="6"/>
        <v>0</v>
      </c>
      <c r="X66" s="29">
        <f t="shared" si="17"/>
        <v>0</v>
      </c>
      <c r="Y66">
        <f t="shared" si="18"/>
        <v>0</v>
      </c>
    </row>
    <row r="67" spans="1:25" x14ac:dyDescent="0.25">
      <c r="A67" s="4" t="s">
        <v>784</v>
      </c>
      <c r="B67" s="7" t="s">
        <v>382</v>
      </c>
      <c r="C67" s="2" t="s">
        <v>785</v>
      </c>
      <c r="D67">
        <f>VLOOKUP(B67,'Model allocations'!$A$1:$L$317,4,FALSE)</f>
        <v>0</v>
      </c>
      <c r="E67" s="31">
        <f>VLOOKUP(B67,'Initial adjusted formula count'!$A$1:$P$317,12,FALSE)</f>
        <v>0.138697557921102</v>
      </c>
      <c r="F67">
        <f>VLOOKUP(B67,'Model allocations'!$A$1:$L$317,9,FALSE)</f>
        <v>0</v>
      </c>
      <c r="G67" s="30">
        <f t="shared" si="7"/>
        <v>0.85</v>
      </c>
      <c r="H67">
        <f t="shared" si="8"/>
        <v>0</v>
      </c>
      <c r="I67">
        <f t="shared" si="0"/>
        <v>0</v>
      </c>
      <c r="J67">
        <f t="shared" si="1"/>
        <v>0</v>
      </c>
      <c r="K67">
        <f t="shared" si="2"/>
        <v>0</v>
      </c>
      <c r="L67">
        <f t="shared" si="9"/>
        <v>0</v>
      </c>
      <c r="M67">
        <f t="shared" si="3"/>
        <v>0</v>
      </c>
      <c r="N67" s="29">
        <f t="shared" si="10"/>
        <v>0</v>
      </c>
      <c r="O67" s="29">
        <f t="shared" si="4"/>
        <v>0</v>
      </c>
      <c r="P67" s="29">
        <f t="shared" si="11"/>
        <v>0</v>
      </c>
      <c r="Q67">
        <f t="shared" si="12"/>
        <v>0</v>
      </c>
      <c r="R67" s="29">
        <f t="shared" si="13"/>
        <v>0</v>
      </c>
      <c r="S67" s="29">
        <f t="shared" si="5"/>
        <v>0</v>
      </c>
      <c r="T67" s="29">
        <f t="shared" si="14"/>
        <v>0</v>
      </c>
      <c r="U67">
        <f t="shared" si="15"/>
        <v>0</v>
      </c>
      <c r="V67" s="29">
        <f t="shared" si="16"/>
        <v>0</v>
      </c>
      <c r="W67" s="29">
        <f t="shared" si="6"/>
        <v>0</v>
      </c>
      <c r="X67" s="29">
        <f t="shared" si="17"/>
        <v>0</v>
      </c>
      <c r="Y67">
        <f t="shared" si="18"/>
        <v>0</v>
      </c>
    </row>
    <row r="68" spans="1:25" x14ac:dyDescent="0.25">
      <c r="A68" s="4" t="s">
        <v>786</v>
      </c>
      <c r="B68" s="7" t="s">
        <v>117</v>
      </c>
      <c r="C68" s="2" t="s">
        <v>787</v>
      </c>
      <c r="D68">
        <f>VLOOKUP(B68,'Model allocations'!$A$1:$L$317,4,FALSE)</f>
        <v>0</v>
      </c>
      <c r="E68" s="31">
        <f>VLOOKUP(B68,'Initial adjusted formula count'!$A$1:$P$317,12,FALSE)</f>
        <v>0.13375796178343899</v>
      </c>
      <c r="F68">
        <f>VLOOKUP(B68,'Model allocations'!$A$1:$L$317,9,FALSE)</f>
        <v>0</v>
      </c>
      <c r="G68" s="30">
        <f t="shared" si="7"/>
        <v>0.85</v>
      </c>
      <c r="H68">
        <f t="shared" si="8"/>
        <v>0</v>
      </c>
      <c r="I68">
        <f t="shared" ref="I68:I131" si="19">IF(F68&lt;H68,H68,0)</f>
        <v>0</v>
      </c>
      <c r="J68">
        <f t="shared" ref="J68:J131" si="20">IF(I68=0,F68,0)</f>
        <v>0</v>
      </c>
      <c r="K68">
        <f t="shared" ref="K68:K131" si="21">(J68/$J$3)*($F$3-$I$3)</f>
        <v>0</v>
      </c>
      <c r="L68">
        <f t="shared" si="9"/>
        <v>0</v>
      </c>
      <c r="M68">
        <f t="shared" ref="M68:M131" si="22">IF(L68&lt;H68,H68,0)</f>
        <v>0</v>
      </c>
      <c r="N68" s="29">
        <f t="shared" si="10"/>
        <v>0</v>
      </c>
      <c r="O68" s="29">
        <f t="shared" ref="O68:O131" si="23">((N68/$N$3)*($F$3-$I$3-$M$3))</f>
        <v>0</v>
      </c>
      <c r="P68" s="29">
        <f t="shared" si="11"/>
        <v>0</v>
      </c>
      <c r="Q68">
        <f t="shared" si="12"/>
        <v>0</v>
      </c>
      <c r="R68" s="29">
        <f t="shared" si="13"/>
        <v>0</v>
      </c>
      <c r="S68" s="29">
        <f t="shared" ref="S68:S131" si="24">((R68/$R$3)*($F$3-$I$3-$M$3-$Q$3))</f>
        <v>0</v>
      </c>
      <c r="T68" s="29">
        <f t="shared" si="14"/>
        <v>0</v>
      </c>
      <c r="U68">
        <f t="shared" si="15"/>
        <v>0</v>
      </c>
      <c r="V68" s="29">
        <f t="shared" si="16"/>
        <v>0</v>
      </c>
      <c r="W68" s="29">
        <f t="shared" ref="W68:W131" si="25">((V68/$V$3)*($F$3-$I$3-$M$3-$Q$3-$U$3))</f>
        <v>0</v>
      </c>
      <c r="X68" s="29">
        <f t="shared" si="17"/>
        <v>0</v>
      </c>
      <c r="Y68">
        <f t="shared" si="18"/>
        <v>0</v>
      </c>
    </row>
    <row r="69" spans="1:25" x14ac:dyDescent="0.25">
      <c r="A69" s="4" t="s">
        <v>788</v>
      </c>
      <c r="B69" s="7" t="s">
        <v>119</v>
      </c>
      <c r="C69" s="2" t="s">
        <v>789</v>
      </c>
      <c r="D69">
        <f>VLOOKUP(B69,'Model allocations'!$A$1:$L$317,4,FALSE)</f>
        <v>0</v>
      </c>
      <c r="E69" s="31">
        <f>VLOOKUP(B69,'Initial adjusted formula count'!$A$1:$P$317,12,FALSE)</f>
        <v>7.0657065706570599E-2</v>
      </c>
      <c r="F69">
        <f>VLOOKUP(B69,'Model allocations'!$A$1:$L$317,9,FALSE)</f>
        <v>0</v>
      </c>
      <c r="G69" s="30">
        <f t="shared" ref="G69:G132" si="26">IF(E69&lt;0.15,0.85,IF(AND(E69&gt;=0.15,E69&lt;0.3),0.9,0.95))</f>
        <v>0.85</v>
      </c>
      <c r="H69">
        <f t="shared" ref="H69:H132" si="27">IF(F69 = 0, 0, D69*G69)</f>
        <v>0</v>
      </c>
      <c r="I69">
        <f t="shared" si="19"/>
        <v>0</v>
      </c>
      <c r="J69">
        <f t="shared" si="20"/>
        <v>0</v>
      </c>
      <c r="K69">
        <f t="shared" si="21"/>
        <v>0</v>
      </c>
      <c r="L69">
        <f t="shared" ref="L69:L132" si="28">I69+K69</f>
        <v>0</v>
      </c>
      <c r="M69">
        <f t="shared" si="22"/>
        <v>0</v>
      </c>
      <c r="N69" s="29">
        <f t="shared" ref="N69:N132" si="29">IF(I69+M69=0,L69,0)</f>
        <v>0</v>
      </c>
      <c r="O69" s="29">
        <f t="shared" si="23"/>
        <v>0</v>
      </c>
      <c r="P69" s="29">
        <f t="shared" ref="P69:P132" si="30">$I69+$M69+O69</f>
        <v>0</v>
      </c>
      <c r="Q69">
        <f t="shared" ref="Q69:Q132" si="31">IF(P69&lt;H69,H69,0)</f>
        <v>0</v>
      </c>
      <c r="R69" s="29">
        <f t="shared" ref="R69:R132" si="32">IF($I69+$M69+$Q69=0,P69,0)</f>
        <v>0</v>
      </c>
      <c r="S69" s="29">
        <f t="shared" si="24"/>
        <v>0</v>
      </c>
      <c r="T69" s="29">
        <f t="shared" ref="T69:T132" si="33">$I69+$M69+$Q69+S69</f>
        <v>0</v>
      </c>
      <c r="U69">
        <f t="shared" ref="U69:U132" si="34">IF(T69&lt;H69,H69,0)</f>
        <v>0</v>
      </c>
      <c r="V69" s="29">
        <f t="shared" ref="V69:V132" si="35">IF($I69+$M69+$Q69+U69=0,T69,0)</f>
        <v>0</v>
      </c>
      <c r="W69" s="29">
        <f t="shared" si="25"/>
        <v>0</v>
      </c>
      <c r="X69" s="29">
        <f t="shared" ref="X69:X132" si="36">$I69+$M69+$Q69+$U69+W69</f>
        <v>0</v>
      </c>
      <c r="Y69">
        <f t="shared" ref="Y69:Y132" si="37">IF(X69&lt;H69,H69,0)</f>
        <v>0</v>
      </c>
    </row>
    <row r="70" spans="1:25" x14ac:dyDescent="0.25">
      <c r="A70" s="4" t="s">
        <v>790</v>
      </c>
      <c r="B70" s="7" t="s">
        <v>121</v>
      </c>
      <c r="C70" s="2" t="s">
        <v>791</v>
      </c>
      <c r="D70">
        <f>VLOOKUP(B70,'Model allocations'!$A$1:$L$317,4,FALSE)</f>
        <v>0</v>
      </c>
      <c r="E70" s="31">
        <f>VLOOKUP(B70,'Initial adjusted formula count'!$A$1:$P$317,12,FALSE)</f>
        <v>9.6499488229273303E-2</v>
      </c>
      <c r="F70">
        <f>VLOOKUP(B70,'Model allocations'!$A$1:$L$317,9,FALSE)</f>
        <v>0</v>
      </c>
      <c r="G70" s="30">
        <f t="shared" si="26"/>
        <v>0.85</v>
      </c>
      <c r="H70">
        <f t="shared" si="27"/>
        <v>0</v>
      </c>
      <c r="I70">
        <f t="shared" si="19"/>
        <v>0</v>
      </c>
      <c r="J70">
        <f t="shared" si="20"/>
        <v>0</v>
      </c>
      <c r="K70">
        <f t="shared" si="21"/>
        <v>0</v>
      </c>
      <c r="L70">
        <f t="shared" si="28"/>
        <v>0</v>
      </c>
      <c r="M70">
        <f t="shared" si="22"/>
        <v>0</v>
      </c>
      <c r="N70" s="29">
        <f t="shared" si="29"/>
        <v>0</v>
      </c>
      <c r="O70" s="29">
        <f t="shared" si="23"/>
        <v>0</v>
      </c>
      <c r="P70" s="29">
        <f t="shared" si="30"/>
        <v>0</v>
      </c>
      <c r="Q70">
        <f t="shared" si="31"/>
        <v>0</v>
      </c>
      <c r="R70" s="29">
        <f t="shared" si="32"/>
        <v>0</v>
      </c>
      <c r="S70" s="29">
        <f t="shared" si="24"/>
        <v>0</v>
      </c>
      <c r="T70" s="29">
        <f t="shared" si="33"/>
        <v>0</v>
      </c>
      <c r="U70">
        <f t="shared" si="34"/>
        <v>0</v>
      </c>
      <c r="V70" s="29">
        <f t="shared" si="35"/>
        <v>0</v>
      </c>
      <c r="W70" s="29">
        <f t="shared" si="25"/>
        <v>0</v>
      </c>
      <c r="X70" s="29">
        <f t="shared" si="36"/>
        <v>0</v>
      </c>
      <c r="Y70">
        <f t="shared" si="37"/>
        <v>0</v>
      </c>
    </row>
    <row r="71" spans="1:25" x14ac:dyDescent="0.25">
      <c r="A71" s="4" t="s">
        <v>792</v>
      </c>
      <c r="B71" s="7" t="s">
        <v>384</v>
      </c>
      <c r="C71" s="2" t="s">
        <v>793</v>
      </c>
      <c r="D71">
        <f>VLOOKUP(B71,'Model allocations'!$A$1:$L$317,4,FALSE)</f>
        <v>0</v>
      </c>
      <c r="E71" s="31">
        <f>VLOOKUP(B71,'Initial adjusted formula count'!$A$1:$P$317,12,FALSE)</f>
        <v>0.12371420628301399</v>
      </c>
      <c r="F71">
        <f>VLOOKUP(B71,'Model allocations'!$A$1:$L$317,9,FALSE)</f>
        <v>0</v>
      </c>
      <c r="G71" s="30">
        <f t="shared" si="26"/>
        <v>0.85</v>
      </c>
      <c r="H71">
        <f t="shared" si="27"/>
        <v>0</v>
      </c>
      <c r="I71">
        <f t="shared" si="19"/>
        <v>0</v>
      </c>
      <c r="J71">
        <f t="shared" si="20"/>
        <v>0</v>
      </c>
      <c r="K71">
        <f t="shared" si="21"/>
        <v>0</v>
      </c>
      <c r="L71">
        <f t="shared" si="28"/>
        <v>0</v>
      </c>
      <c r="M71">
        <f t="shared" si="22"/>
        <v>0</v>
      </c>
      <c r="N71" s="29">
        <f t="shared" si="29"/>
        <v>0</v>
      </c>
      <c r="O71" s="29">
        <f t="shared" si="23"/>
        <v>0</v>
      </c>
      <c r="P71" s="29">
        <f t="shared" si="30"/>
        <v>0</v>
      </c>
      <c r="Q71">
        <f t="shared" si="31"/>
        <v>0</v>
      </c>
      <c r="R71" s="29">
        <f t="shared" si="32"/>
        <v>0</v>
      </c>
      <c r="S71" s="29">
        <f t="shared" si="24"/>
        <v>0</v>
      </c>
      <c r="T71" s="29">
        <f t="shared" si="33"/>
        <v>0</v>
      </c>
      <c r="U71">
        <f t="shared" si="34"/>
        <v>0</v>
      </c>
      <c r="V71" s="29">
        <f t="shared" si="35"/>
        <v>0</v>
      </c>
      <c r="W71" s="29">
        <f t="shared" si="25"/>
        <v>0</v>
      </c>
      <c r="X71" s="29">
        <f t="shared" si="36"/>
        <v>0</v>
      </c>
      <c r="Y71">
        <f t="shared" si="37"/>
        <v>0</v>
      </c>
    </row>
    <row r="72" spans="1:25" x14ac:dyDescent="0.25">
      <c r="A72" s="4" t="s">
        <v>794</v>
      </c>
      <c r="B72" s="7" t="s">
        <v>386</v>
      </c>
      <c r="C72" s="2" t="s">
        <v>795</v>
      </c>
      <c r="D72">
        <f>VLOOKUP(B72,'Model allocations'!$A$1:$L$317,4,FALSE)</f>
        <v>74353.725102644399</v>
      </c>
      <c r="E72" s="31">
        <f>VLOOKUP(B72,'Initial adjusted formula count'!$A$1:$P$317,12,FALSE)</f>
        <v>0.15379786566227199</v>
      </c>
      <c r="F72">
        <f>VLOOKUP(B72,'Model allocations'!$A$1:$L$317,9,FALSE)</f>
        <v>66918.352592379961</v>
      </c>
      <c r="G72" s="30">
        <f t="shared" si="26"/>
        <v>0.9</v>
      </c>
      <c r="H72">
        <f t="shared" si="27"/>
        <v>66918.352592379961</v>
      </c>
      <c r="I72">
        <f t="shared" si="19"/>
        <v>0</v>
      </c>
      <c r="J72">
        <f t="shared" si="20"/>
        <v>66918.352592379961</v>
      </c>
      <c r="K72">
        <f t="shared" si="21"/>
        <v>66862.128851193498</v>
      </c>
      <c r="L72">
        <f t="shared" si="28"/>
        <v>66862.128851193498</v>
      </c>
      <c r="M72">
        <f t="shared" si="22"/>
        <v>66918.352592379961</v>
      </c>
      <c r="N72" s="29">
        <f t="shared" si="29"/>
        <v>0</v>
      </c>
      <c r="O72" s="29">
        <f t="shared" si="23"/>
        <v>0</v>
      </c>
      <c r="P72" s="29">
        <f t="shared" si="30"/>
        <v>66918.352592379961</v>
      </c>
      <c r="Q72">
        <f t="shared" si="31"/>
        <v>0</v>
      </c>
      <c r="R72" s="29">
        <f t="shared" si="32"/>
        <v>0</v>
      </c>
      <c r="S72" s="29">
        <f t="shared" si="24"/>
        <v>0</v>
      </c>
      <c r="T72" s="29">
        <f t="shared" si="33"/>
        <v>66918.352592379961</v>
      </c>
      <c r="U72">
        <f t="shared" si="34"/>
        <v>0</v>
      </c>
      <c r="V72" s="29">
        <f t="shared" si="35"/>
        <v>0</v>
      </c>
      <c r="W72" s="29">
        <f t="shared" si="25"/>
        <v>0</v>
      </c>
      <c r="X72" s="29">
        <f t="shared" si="36"/>
        <v>66918.352592379961</v>
      </c>
      <c r="Y72">
        <f t="shared" si="37"/>
        <v>0</v>
      </c>
    </row>
    <row r="73" spans="1:25" x14ac:dyDescent="0.25">
      <c r="A73" s="4" t="s">
        <v>796</v>
      </c>
      <c r="B73" s="7" t="s">
        <v>388</v>
      </c>
      <c r="C73" s="2" t="s">
        <v>797</v>
      </c>
      <c r="D73">
        <f>VLOOKUP(B73,'Model allocations'!$A$1:$L$317,4,FALSE)</f>
        <v>4186.1103992758553</v>
      </c>
      <c r="E73" s="31">
        <f>VLOOKUP(B73,'Initial adjusted formula count'!$A$1:$P$317,12,FALSE)</f>
        <v>0.24444444444444399</v>
      </c>
      <c r="F73">
        <f>VLOOKUP(B73,'Model allocations'!$A$1:$L$317,9,FALSE)</f>
        <v>5147.8577687183342</v>
      </c>
      <c r="G73" s="30">
        <f t="shared" si="26"/>
        <v>0.9</v>
      </c>
      <c r="H73">
        <f t="shared" si="27"/>
        <v>3767.49935934827</v>
      </c>
      <c r="I73">
        <f t="shared" si="19"/>
        <v>0</v>
      </c>
      <c r="J73">
        <f t="shared" si="20"/>
        <v>5147.8577687183342</v>
      </c>
      <c r="K73">
        <f t="shared" si="21"/>
        <v>5143.5326200611917</v>
      </c>
      <c r="L73">
        <f t="shared" si="28"/>
        <v>5143.5326200611917</v>
      </c>
      <c r="M73">
        <f t="shared" si="22"/>
        <v>0</v>
      </c>
      <c r="N73" s="29">
        <f t="shared" si="29"/>
        <v>5143.5326200611917</v>
      </c>
      <c r="O73" s="29">
        <f t="shared" si="23"/>
        <v>5142.2422648754073</v>
      </c>
      <c r="P73" s="29">
        <f t="shared" si="30"/>
        <v>5142.2422648754073</v>
      </c>
      <c r="Q73">
        <f t="shared" si="31"/>
        <v>0</v>
      </c>
      <c r="R73" s="29">
        <f t="shared" si="32"/>
        <v>5142.2422648754073</v>
      </c>
      <c r="S73" s="29">
        <f t="shared" si="24"/>
        <v>5142.2422648754064</v>
      </c>
      <c r="T73" s="29">
        <f t="shared" si="33"/>
        <v>5142.2422648754064</v>
      </c>
      <c r="U73">
        <f t="shared" si="34"/>
        <v>0</v>
      </c>
      <c r="V73" s="29">
        <f t="shared" si="35"/>
        <v>5142.2422648754064</v>
      </c>
      <c r="W73" s="29">
        <f t="shared" si="25"/>
        <v>5142.2422648754064</v>
      </c>
      <c r="X73" s="29">
        <f t="shared" si="36"/>
        <v>5142.2422648754064</v>
      </c>
      <c r="Y73">
        <f t="shared" si="37"/>
        <v>0</v>
      </c>
    </row>
    <row r="74" spans="1:25" x14ac:dyDescent="0.25">
      <c r="A74" s="4" t="s">
        <v>798</v>
      </c>
      <c r="B74" s="7" t="s">
        <v>390</v>
      </c>
      <c r="C74" s="2" t="s">
        <v>799</v>
      </c>
      <c r="D74">
        <f>VLOOKUP(B74,'Model allocations'!$A$1:$L$317,4,FALSE)</f>
        <v>15868.173040198501</v>
      </c>
      <c r="E74" s="31">
        <f>VLOOKUP(B74,'Initial adjusted formula count'!$A$1:$P$317,12,FALSE)</f>
        <v>0.17114914425427899</v>
      </c>
      <c r="F74">
        <f>VLOOKUP(B74,'Model allocations'!$A$1:$L$317,9,FALSE)</f>
        <v>16379.54744592198</v>
      </c>
      <c r="G74" s="30">
        <f t="shared" si="26"/>
        <v>0.9</v>
      </c>
      <c r="H74">
        <f t="shared" si="27"/>
        <v>14281.355736178652</v>
      </c>
      <c r="I74">
        <f t="shared" si="19"/>
        <v>0</v>
      </c>
      <c r="J74">
        <f t="shared" si="20"/>
        <v>16379.54744592198</v>
      </c>
      <c r="K74">
        <f t="shared" si="21"/>
        <v>16365.785609285618</v>
      </c>
      <c r="L74">
        <f t="shared" si="28"/>
        <v>16365.785609285618</v>
      </c>
      <c r="M74">
        <f t="shared" si="22"/>
        <v>0</v>
      </c>
      <c r="N74" s="29">
        <f t="shared" si="29"/>
        <v>16365.785609285618</v>
      </c>
      <c r="O74" s="29">
        <f t="shared" si="23"/>
        <v>16361.679933694484</v>
      </c>
      <c r="P74" s="29">
        <f t="shared" si="30"/>
        <v>16361.679933694484</v>
      </c>
      <c r="Q74">
        <f t="shared" si="31"/>
        <v>0</v>
      </c>
      <c r="R74" s="29">
        <f t="shared" si="32"/>
        <v>16361.679933694484</v>
      </c>
      <c r="S74" s="29">
        <f t="shared" si="24"/>
        <v>16361.67993369448</v>
      </c>
      <c r="T74" s="29">
        <f t="shared" si="33"/>
        <v>16361.67993369448</v>
      </c>
      <c r="U74">
        <f t="shared" si="34"/>
        <v>0</v>
      </c>
      <c r="V74" s="29">
        <f t="shared" si="35"/>
        <v>16361.67993369448</v>
      </c>
      <c r="W74" s="29">
        <f t="shared" si="25"/>
        <v>16361.67993369448</v>
      </c>
      <c r="X74" s="29">
        <f t="shared" si="36"/>
        <v>16361.67993369448</v>
      </c>
      <c r="Y74">
        <f t="shared" si="37"/>
        <v>0</v>
      </c>
    </row>
    <row r="75" spans="1:25" x14ac:dyDescent="0.25">
      <c r="A75" s="4" t="s">
        <v>800</v>
      </c>
      <c r="B75" s="7" t="s">
        <v>123</v>
      </c>
      <c r="C75" s="2" t="s">
        <v>801</v>
      </c>
      <c r="D75">
        <f>VLOOKUP(B75,'Model allocations'!$A$1:$L$317,4,FALSE)</f>
        <v>0</v>
      </c>
      <c r="E75" s="31">
        <f>VLOOKUP(B75,'Initial adjusted formula count'!$A$1:$P$317,12,FALSE)</f>
        <v>6.2126387702818101E-2</v>
      </c>
      <c r="F75">
        <f>VLOOKUP(B75,'Model allocations'!$A$1:$L$317,9,FALSE)</f>
        <v>0</v>
      </c>
      <c r="G75" s="30">
        <f t="shared" si="26"/>
        <v>0.85</v>
      </c>
      <c r="H75">
        <f t="shared" si="27"/>
        <v>0</v>
      </c>
      <c r="I75">
        <f t="shared" si="19"/>
        <v>0</v>
      </c>
      <c r="J75">
        <f t="shared" si="20"/>
        <v>0</v>
      </c>
      <c r="K75">
        <f t="shared" si="21"/>
        <v>0</v>
      </c>
      <c r="L75">
        <f t="shared" si="28"/>
        <v>0</v>
      </c>
      <c r="M75">
        <f t="shared" si="22"/>
        <v>0</v>
      </c>
      <c r="N75" s="29">
        <f t="shared" si="29"/>
        <v>0</v>
      </c>
      <c r="O75" s="29">
        <f t="shared" si="23"/>
        <v>0</v>
      </c>
      <c r="P75" s="29">
        <f t="shared" si="30"/>
        <v>0</v>
      </c>
      <c r="Q75">
        <f t="shared" si="31"/>
        <v>0</v>
      </c>
      <c r="R75" s="29">
        <f t="shared" si="32"/>
        <v>0</v>
      </c>
      <c r="S75" s="29">
        <f t="shared" si="24"/>
        <v>0</v>
      </c>
      <c r="T75" s="29">
        <f t="shared" si="33"/>
        <v>0</v>
      </c>
      <c r="U75">
        <f t="shared" si="34"/>
        <v>0</v>
      </c>
      <c r="V75" s="29">
        <f t="shared" si="35"/>
        <v>0</v>
      </c>
      <c r="W75" s="29">
        <f t="shared" si="25"/>
        <v>0</v>
      </c>
      <c r="X75" s="29">
        <f t="shared" si="36"/>
        <v>0</v>
      </c>
      <c r="Y75">
        <f t="shared" si="37"/>
        <v>0</v>
      </c>
    </row>
    <row r="76" spans="1:25" x14ac:dyDescent="0.25">
      <c r="A76" s="4" t="s">
        <v>802</v>
      </c>
      <c r="B76" s="7" t="s">
        <v>392</v>
      </c>
      <c r="C76" s="2" t="s">
        <v>803</v>
      </c>
      <c r="D76">
        <f>VLOOKUP(B76,'Model allocations'!$A$1:$L$317,4,FALSE)</f>
        <v>105410.00662417576</v>
      </c>
      <c r="E76" s="31">
        <f>VLOOKUP(B76,'Initial adjusted formula count'!$A$1:$P$317,12,FALSE)</f>
        <v>0.147867950481431</v>
      </c>
      <c r="F76">
        <f>VLOOKUP(B76,'Model allocations'!$A$1:$L$317,9,FALSE)</f>
        <v>89598.505630549393</v>
      </c>
      <c r="G76" s="30">
        <f t="shared" si="26"/>
        <v>0.85</v>
      </c>
      <c r="H76">
        <f t="shared" si="27"/>
        <v>89598.505630549393</v>
      </c>
      <c r="I76">
        <f t="shared" si="19"/>
        <v>0</v>
      </c>
      <c r="J76">
        <f t="shared" si="20"/>
        <v>89598.505630549393</v>
      </c>
      <c r="K76">
        <f t="shared" si="21"/>
        <v>89523.226383584813</v>
      </c>
      <c r="L76">
        <f t="shared" si="28"/>
        <v>89523.226383584813</v>
      </c>
      <c r="M76">
        <f t="shared" si="22"/>
        <v>89598.505630549393</v>
      </c>
      <c r="N76" s="29">
        <f t="shared" si="29"/>
        <v>0</v>
      </c>
      <c r="O76" s="29">
        <f t="shared" si="23"/>
        <v>0</v>
      </c>
      <c r="P76" s="29">
        <f t="shared" si="30"/>
        <v>89598.505630549393</v>
      </c>
      <c r="Q76">
        <f t="shared" si="31"/>
        <v>0</v>
      </c>
      <c r="R76" s="29">
        <f t="shared" si="32"/>
        <v>0</v>
      </c>
      <c r="S76" s="29">
        <f t="shared" si="24"/>
        <v>0</v>
      </c>
      <c r="T76" s="29">
        <f t="shared" si="33"/>
        <v>89598.505630549393</v>
      </c>
      <c r="U76">
        <f t="shared" si="34"/>
        <v>0</v>
      </c>
      <c r="V76" s="29">
        <f t="shared" si="35"/>
        <v>0</v>
      </c>
      <c r="W76" s="29">
        <f t="shared" si="25"/>
        <v>0</v>
      </c>
      <c r="X76" s="29">
        <f t="shared" si="36"/>
        <v>89598.505630549393</v>
      </c>
      <c r="Y76">
        <f t="shared" si="37"/>
        <v>0</v>
      </c>
    </row>
    <row r="77" spans="1:25" x14ac:dyDescent="0.25">
      <c r="A77" s="4" t="s">
        <v>804</v>
      </c>
      <c r="B77" s="7" t="s">
        <v>394</v>
      </c>
      <c r="C77" s="2" t="s">
        <v>805</v>
      </c>
      <c r="D77">
        <f>VLOOKUP(B77,'Model allocations'!$A$1:$L$317,4,FALSE)</f>
        <v>6961.0195847650912</v>
      </c>
      <c r="E77" s="31">
        <f>VLOOKUP(B77,'Initial adjusted formula count'!$A$1:$P$317,12,FALSE)</f>
        <v>0.130769230769231</v>
      </c>
      <c r="F77">
        <f>VLOOKUP(B77,'Model allocations'!$A$1:$L$317,9,FALSE)</f>
        <v>5916.8666470503276</v>
      </c>
      <c r="G77" s="30">
        <f t="shared" si="26"/>
        <v>0.85</v>
      </c>
      <c r="H77">
        <f t="shared" si="27"/>
        <v>5916.8666470503276</v>
      </c>
      <c r="I77">
        <f t="shared" si="19"/>
        <v>0</v>
      </c>
      <c r="J77">
        <f t="shared" si="20"/>
        <v>5916.8666470503276</v>
      </c>
      <c r="K77">
        <f t="shared" si="21"/>
        <v>5911.895389299485</v>
      </c>
      <c r="L77">
        <f t="shared" si="28"/>
        <v>5911.895389299485</v>
      </c>
      <c r="M77">
        <f t="shared" si="22"/>
        <v>5916.8666470503276</v>
      </c>
      <c r="N77" s="29">
        <f t="shared" si="29"/>
        <v>0</v>
      </c>
      <c r="O77" s="29">
        <f t="shared" si="23"/>
        <v>0</v>
      </c>
      <c r="P77" s="29">
        <f t="shared" si="30"/>
        <v>5916.8666470503276</v>
      </c>
      <c r="Q77">
        <f t="shared" si="31"/>
        <v>0</v>
      </c>
      <c r="R77" s="29">
        <f t="shared" si="32"/>
        <v>0</v>
      </c>
      <c r="S77" s="29">
        <f t="shared" si="24"/>
        <v>0</v>
      </c>
      <c r="T77" s="29">
        <f t="shared" si="33"/>
        <v>5916.8666470503276</v>
      </c>
      <c r="U77">
        <f t="shared" si="34"/>
        <v>0</v>
      </c>
      <c r="V77" s="29">
        <f t="shared" si="35"/>
        <v>0</v>
      </c>
      <c r="W77" s="29">
        <f t="shared" si="25"/>
        <v>0</v>
      </c>
      <c r="X77" s="29">
        <f t="shared" si="36"/>
        <v>5916.8666470503276</v>
      </c>
      <c r="Y77">
        <f t="shared" si="37"/>
        <v>0</v>
      </c>
    </row>
    <row r="78" spans="1:25" x14ac:dyDescent="0.25">
      <c r="A78" s="4" t="s">
        <v>806</v>
      </c>
      <c r="B78" s="7" t="s">
        <v>125</v>
      </c>
      <c r="C78" s="2" t="s">
        <v>807</v>
      </c>
      <c r="D78">
        <f>VLOOKUP(B78,'Model allocations'!$A$1:$L$317,4,FALSE)</f>
        <v>0</v>
      </c>
      <c r="E78" s="31">
        <f>VLOOKUP(B78,'Initial adjusted formula count'!$A$1:$P$317,12,FALSE)</f>
        <v>0.106415389972145</v>
      </c>
      <c r="F78">
        <f>VLOOKUP(B78,'Model allocations'!$A$1:$L$317,9,FALSE)</f>
        <v>0</v>
      </c>
      <c r="G78" s="30">
        <f t="shared" si="26"/>
        <v>0.85</v>
      </c>
      <c r="H78">
        <f t="shared" si="27"/>
        <v>0</v>
      </c>
      <c r="I78">
        <f t="shared" si="19"/>
        <v>0</v>
      </c>
      <c r="J78">
        <f t="shared" si="20"/>
        <v>0</v>
      </c>
      <c r="K78">
        <f t="shared" si="21"/>
        <v>0</v>
      </c>
      <c r="L78">
        <f t="shared" si="28"/>
        <v>0</v>
      </c>
      <c r="M78">
        <f t="shared" si="22"/>
        <v>0</v>
      </c>
      <c r="N78" s="29">
        <f t="shared" si="29"/>
        <v>0</v>
      </c>
      <c r="O78" s="29">
        <f t="shared" si="23"/>
        <v>0</v>
      </c>
      <c r="P78" s="29">
        <f t="shared" si="30"/>
        <v>0</v>
      </c>
      <c r="Q78">
        <f t="shared" si="31"/>
        <v>0</v>
      </c>
      <c r="R78" s="29">
        <f t="shared" si="32"/>
        <v>0</v>
      </c>
      <c r="S78" s="29">
        <f t="shared" si="24"/>
        <v>0</v>
      </c>
      <c r="T78" s="29">
        <f t="shared" si="33"/>
        <v>0</v>
      </c>
      <c r="U78">
        <f t="shared" si="34"/>
        <v>0</v>
      </c>
      <c r="V78" s="29">
        <f t="shared" si="35"/>
        <v>0</v>
      </c>
      <c r="W78" s="29">
        <f t="shared" si="25"/>
        <v>0</v>
      </c>
      <c r="X78" s="29">
        <f t="shared" si="36"/>
        <v>0</v>
      </c>
      <c r="Y78">
        <f t="shared" si="37"/>
        <v>0</v>
      </c>
    </row>
    <row r="79" spans="1:25" x14ac:dyDescent="0.25">
      <c r="A79" s="4" t="s">
        <v>808</v>
      </c>
      <c r="B79" s="7" t="s">
        <v>276</v>
      </c>
      <c r="C79" s="2" t="s">
        <v>809</v>
      </c>
      <c r="D79">
        <f>VLOOKUP(B79,'Model allocations'!$A$1:$L$317,4,FALSE)</f>
        <v>0</v>
      </c>
      <c r="E79" s="31">
        <f>VLOOKUP(B79,'Initial adjusted formula count'!$A$1:$P$317,12,FALSE)</f>
        <v>9.8521250046560094E-2</v>
      </c>
      <c r="F79">
        <f>VLOOKUP(B79,'Model allocations'!$A$1:$L$317,9,FALSE)</f>
        <v>0</v>
      </c>
      <c r="G79" s="30">
        <f t="shared" si="26"/>
        <v>0.85</v>
      </c>
      <c r="H79">
        <f t="shared" si="27"/>
        <v>0</v>
      </c>
      <c r="I79">
        <f t="shared" si="19"/>
        <v>0</v>
      </c>
      <c r="J79">
        <f t="shared" si="20"/>
        <v>0</v>
      </c>
      <c r="K79">
        <f t="shared" si="21"/>
        <v>0</v>
      </c>
      <c r="L79">
        <f t="shared" si="28"/>
        <v>0</v>
      </c>
      <c r="M79">
        <f t="shared" si="22"/>
        <v>0</v>
      </c>
      <c r="N79" s="29">
        <f t="shared" si="29"/>
        <v>0</v>
      </c>
      <c r="O79" s="29">
        <f t="shared" si="23"/>
        <v>0</v>
      </c>
      <c r="P79" s="29">
        <f t="shared" si="30"/>
        <v>0</v>
      </c>
      <c r="Q79">
        <f t="shared" si="31"/>
        <v>0</v>
      </c>
      <c r="R79" s="29">
        <f t="shared" si="32"/>
        <v>0</v>
      </c>
      <c r="S79" s="29">
        <f t="shared" si="24"/>
        <v>0</v>
      </c>
      <c r="T79" s="29">
        <f t="shared" si="33"/>
        <v>0</v>
      </c>
      <c r="U79">
        <f t="shared" si="34"/>
        <v>0</v>
      </c>
      <c r="V79" s="29">
        <f t="shared" si="35"/>
        <v>0</v>
      </c>
      <c r="W79" s="29">
        <f t="shared" si="25"/>
        <v>0</v>
      </c>
      <c r="X79" s="29">
        <f t="shared" si="36"/>
        <v>0</v>
      </c>
      <c r="Y79">
        <f t="shared" si="37"/>
        <v>0</v>
      </c>
    </row>
    <row r="80" spans="1:25" x14ac:dyDescent="0.25">
      <c r="A80" s="4" t="s">
        <v>810</v>
      </c>
      <c r="B80" s="7" t="s">
        <v>396</v>
      </c>
      <c r="C80" s="2" t="s">
        <v>811</v>
      </c>
      <c r="D80">
        <f>VLOOKUP(B80,'Model allocations'!$A$1:$L$317,4,FALSE)</f>
        <v>3615.2771630109637</v>
      </c>
      <c r="E80" s="31">
        <f>VLOOKUP(B80,'Initial adjusted formula count'!$A$1:$P$317,12,FALSE)</f>
        <v>0.31578947368421001</v>
      </c>
      <c r="F80">
        <f>VLOOKUP(B80,'Model allocations'!$A$1:$L$317,9,FALSE)</f>
        <v>4211.8836289513656</v>
      </c>
      <c r="G80" s="30">
        <f t="shared" si="26"/>
        <v>0.95</v>
      </c>
      <c r="H80">
        <f t="shared" si="27"/>
        <v>3434.5133048604152</v>
      </c>
      <c r="I80">
        <f t="shared" si="19"/>
        <v>0</v>
      </c>
      <c r="J80">
        <f t="shared" si="20"/>
        <v>4211.8836289513656</v>
      </c>
      <c r="K80">
        <f t="shared" si="21"/>
        <v>4208.3448709591585</v>
      </c>
      <c r="L80">
        <f t="shared" si="28"/>
        <v>4208.3448709591585</v>
      </c>
      <c r="M80">
        <f t="shared" si="22"/>
        <v>0</v>
      </c>
      <c r="N80" s="29">
        <f t="shared" si="29"/>
        <v>4208.3448709591585</v>
      </c>
      <c r="O80" s="29">
        <f t="shared" si="23"/>
        <v>4207.2891258071522</v>
      </c>
      <c r="P80" s="29">
        <f t="shared" si="30"/>
        <v>4207.2891258071522</v>
      </c>
      <c r="Q80">
        <f t="shared" si="31"/>
        <v>0</v>
      </c>
      <c r="R80" s="29">
        <f t="shared" si="32"/>
        <v>4207.2891258071522</v>
      </c>
      <c r="S80" s="29">
        <f t="shared" si="24"/>
        <v>4207.2891258071513</v>
      </c>
      <c r="T80" s="29">
        <f t="shared" si="33"/>
        <v>4207.2891258071513</v>
      </c>
      <c r="U80">
        <f t="shared" si="34"/>
        <v>0</v>
      </c>
      <c r="V80" s="29">
        <f t="shared" si="35"/>
        <v>4207.2891258071513</v>
      </c>
      <c r="W80" s="29">
        <f t="shared" si="25"/>
        <v>4207.2891258071513</v>
      </c>
      <c r="X80" s="29">
        <f t="shared" si="36"/>
        <v>4207.2891258071513</v>
      </c>
      <c r="Y80">
        <f t="shared" si="37"/>
        <v>0</v>
      </c>
    </row>
    <row r="81" spans="1:25" x14ac:dyDescent="0.25">
      <c r="A81" s="4" t="s">
        <v>812</v>
      </c>
      <c r="B81" s="7" t="s">
        <v>398</v>
      </c>
      <c r="C81" s="2" t="s">
        <v>813</v>
      </c>
      <c r="D81">
        <f>VLOOKUP(B81,'Model allocations'!$A$1:$L$317,4,FALSE)</f>
        <v>964104.85628520336</v>
      </c>
      <c r="E81" s="31">
        <f>VLOOKUP(B81,'Initial adjusted formula count'!$A$1:$P$317,12,FALSE)</f>
        <v>0.17547778605112899</v>
      </c>
      <c r="F81">
        <f>VLOOKUP(B81,'Model allocations'!$A$1:$L$317,9,FALSE)</f>
        <v>992600.57522287173</v>
      </c>
      <c r="G81" s="30">
        <f t="shared" si="26"/>
        <v>0.9</v>
      </c>
      <c r="H81">
        <f t="shared" si="27"/>
        <v>867694.37065668299</v>
      </c>
      <c r="I81">
        <f t="shared" si="19"/>
        <v>0</v>
      </c>
      <c r="J81">
        <f t="shared" si="20"/>
        <v>992600.57522287173</v>
      </c>
      <c r="K81">
        <f t="shared" si="21"/>
        <v>991766.60792270838</v>
      </c>
      <c r="L81">
        <f t="shared" si="28"/>
        <v>991766.60792270838</v>
      </c>
      <c r="M81">
        <f t="shared" si="22"/>
        <v>0</v>
      </c>
      <c r="N81" s="29">
        <f t="shared" si="29"/>
        <v>991766.60792270838</v>
      </c>
      <c r="O81" s="29">
        <f t="shared" si="23"/>
        <v>991517.80398188555</v>
      </c>
      <c r="P81" s="29">
        <f t="shared" si="30"/>
        <v>991517.80398188555</v>
      </c>
      <c r="Q81">
        <f t="shared" si="31"/>
        <v>0</v>
      </c>
      <c r="R81" s="29">
        <f t="shared" si="32"/>
        <v>991517.80398188555</v>
      </c>
      <c r="S81" s="29">
        <f t="shared" si="24"/>
        <v>991517.80398188543</v>
      </c>
      <c r="T81" s="29">
        <f t="shared" si="33"/>
        <v>991517.80398188543</v>
      </c>
      <c r="U81">
        <f t="shared" si="34"/>
        <v>0</v>
      </c>
      <c r="V81" s="29">
        <f t="shared" si="35"/>
        <v>991517.80398188543</v>
      </c>
      <c r="W81" s="29">
        <f t="shared" si="25"/>
        <v>991517.80398188543</v>
      </c>
      <c r="X81" s="29">
        <f t="shared" si="36"/>
        <v>991517.80398188543</v>
      </c>
      <c r="Y81">
        <f t="shared" si="37"/>
        <v>0</v>
      </c>
    </row>
    <row r="82" spans="1:25" x14ac:dyDescent="0.25">
      <c r="A82" s="4" t="s">
        <v>814</v>
      </c>
      <c r="B82" s="7" t="s">
        <v>127</v>
      </c>
      <c r="C82" s="2" t="s">
        <v>815</v>
      </c>
      <c r="D82">
        <f>VLOOKUP(B82,'Model allocations'!$A$1:$L$317,4,FALSE)</f>
        <v>185434.09515999569</v>
      </c>
      <c r="E82" s="31">
        <f>VLOOKUP(B82,'Initial adjusted formula count'!$A$1:$P$317,12,FALSE)</f>
        <v>0.12687893971229999</v>
      </c>
      <c r="F82">
        <f>VLOOKUP(B82,'Model allocations'!$A$1:$L$317,9,FALSE)</f>
        <v>157618.98088599634</v>
      </c>
      <c r="G82" s="30">
        <f t="shared" si="26"/>
        <v>0.85</v>
      </c>
      <c r="H82">
        <f t="shared" si="27"/>
        <v>157618.98088599634</v>
      </c>
      <c r="I82">
        <f t="shared" si="19"/>
        <v>0</v>
      </c>
      <c r="J82">
        <f t="shared" si="20"/>
        <v>157618.98088599634</v>
      </c>
      <c r="K82">
        <f t="shared" si="21"/>
        <v>157486.55191181958</v>
      </c>
      <c r="L82">
        <f t="shared" si="28"/>
        <v>157486.55191181958</v>
      </c>
      <c r="M82">
        <f t="shared" si="22"/>
        <v>157618.98088599634</v>
      </c>
      <c r="N82" s="29">
        <f t="shared" si="29"/>
        <v>0</v>
      </c>
      <c r="O82" s="29">
        <f t="shared" si="23"/>
        <v>0</v>
      </c>
      <c r="P82" s="29">
        <f t="shared" si="30"/>
        <v>157618.98088599634</v>
      </c>
      <c r="Q82">
        <f t="shared" si="31"/>
        <v>0</v>
      </c>
      <c r="R82" s="29">
        <f t="shared" si="32"/>
        <v>0</v>
      </c>
      <c r="S82" s="29">
        <f t="shared" si="24"/>
        <v>0</v>
      </c>
      <c r="T82" s="29">
        <f t="shared" si="33"/>
        <v>157618.98088599634</v>
      </c>
      <c r="U82">
        <f t="shared" si="34"/>
        <v>0</v>
      </c>
      <c r="V82" s="29">
        <f t="shared" si="35"/>
        <v>0</v>
      </c>
      <c r="W82" s="29">
        <f t="shared" si="25"/>
        <v>0</v>
      </c>
      <c r="X82" s="29">
        <f t="shared" si="36"/>
        <v>157618.98088599634</v>
      </c>
      <c r="Y82">
        <f t="shared" si="37"/>
        <v>0</v>
      </c>
    </row>
    <row r="83" spans="1:25" x14ac:dyDescent="0.25">
      <c r="A83" s="4" t="s">
        <v>816</v>
      </c>
      <c r="B83" s="7" t="s">
        <v>129</v>
      </c>
      <c r="C83" s="2" t="s">
        <v>817</v>
      </c>
      <c r="D83">
        <f>VLOOKUP(B83,'Model allocations'!$A$1:$L$317,4,FALSE)</f>
        <v>0</v>
      </c>
      <c r="E83" s="31">
        <f>VLOOKUP(B83,'Initial adjusted formula count'!$A$1:$P$317,12,FALSE)</f>
        <v>9.7215437225207604E-2</v>
      </c>
      <c r="F83">
        <f>VLOOKUP(B83,'Model allocations'!$A$1:$L$317,9,FALSE)</f>
        <v>0</v>
      </c>
      <c r="G83" s="30">
        <f t="shared" si="26"/>
        <v>0.85</v>
      </c>
      <c r="H83">
        <f t="shared" si="27"/>
        <v>0</v>
      </c>
      <c r="I83">
        <f t="shared" si="19"/>
        <v>0</v>
      </c>
      <c r="J83">
        <f t="shared" si="20"/>
        <v>0</v>
      </c>
      <c r="K83">
        <f t="shared" si="21"/>
        <v>0</v>
      </c>
      <c r="L83">
        <f t="shared" si="28"/>
        <v>0</v>
      </c>
      <c r="M83">
        <f t="shared" si="22"/>
        <v>0</v>
      </c>
      <c r="N83" s="29">
        <f t="shared" si="29"/>
        <v>0</v>
      </c>
      <c r="O83" s="29">
        <f t="shared" si="23"/>
        <v>0</v>
      </c>
      <c r="P83" s="29">
        <f t="shared" si="30"/>
        <v>0</v>
      </c>
      <c r="Q83">
        <f t="shared" si="31"/>
        <v>0</v>
      </c>
      <c r="R83" s="29">
        <f t="shared" si="32"/>
        <v>0</v>
      </c>
      <c r="S83" s="29">
        <f t="shared" si="24"/>
        <v>0</v>
      </c>
      <c r="T83" s="29">
        <f t="shared" si="33"/>
        <v>0</v>
      </c>
      <c r="U83">
        <f t="shared" si="34"/>
        <v>0</v>
      </c>
      <c r="V83" s="29">
        <f t="shared" si="35"/>
        <v>0</v>
      </c>
      <c r="W83" s="29">
        <f t="shared" si="25"/>
        <v>0</v>
      </c>
      <c r="X83" s="29">
        <f t="shared" si="36"/>
        <v>0</v>
      </c>
      <c r="Y83">
        <f t="shared" si="37"/>
        <v>0</v>
      </c>
    </row>
    <row r="84" spans="1:25" x14ac:dyDescent="0.25">
      <c r="A84" s="4" t="s">
        <v>818</v>
      </c>
      <c r="B84" s="7" t="s">
        <v>400</v>
      </c>
      <c r="C84" s="2" t="s">
        <v>819</v>
      </c>
      <c r="D84">
        <f>VLOOKUP(B84,'Model allocations'!$A$1:$L$317,4,FALSE)</f>
        <v>31332.816286980466</v>
      </c>
      <c r="E84" s="31">
        <f>VLOOKUP(B84,'Initial adjusted formula count'!$A$1:$P$317,12,FALSE)</f>
        <v>0.13369565217391299</v>
      </c>
      <c r="F84">
        <f>VLOOKUP(B84,'Model allocations'!$A$1:$L$317,9,FALSE)</f>
        <v>26632.893843933394</v>
      </c>
      <c r="G84" s="30">
        <f t="shared" si="26"/>
        <v>0.85</v>
      </c>
      <c r="H84">
        <f t="shared" si="27"/>
        <v>26632.893843933394</v>
      </c>
      <c r="I84">
        <f t="shared" si="19"/>
        <v>0</v>
      </c>
      <c r="J84">
        <f t="shared" si="20"/>
        <v>26632.893843933394</v>
      </c>
      <c r="K84">
        <f t="shared" si="21"/>
        <v>26610.517307863407</v>
      </c>
      <c r="L84">
        <f t="shared" si="28"/>
        <v>26610.517307863407</v>
      </c>
      <c r="M84">
        <f t="shared" si="22"/>
        <v>26632.893843933394</v>
      </c>
      <c r="N84" s="29">
        <f t="shared" si="29"/>
        <v>0</v>
      </c>
      <c r="O84" s="29">
        <f t="shared" si="23"/>
        <v>0</v>
      </c>
      <c r="P84" s="29">
        <f t="shared" si="30"/>
        <v>26632.893843933394</v>
      </c>
      <c r="Q84">
        <f t="shared" si="31"/>
        <v>0</v>
      </c>
      <c r="R84" s="29">
        <f t="shared" si="32"/>
        <v>0</v>
      </c>
      <c r="S84" s="29">
        <f t="shared" si="24"/>
        <v>0</v>
      </c>
      <c r="T84" s="29">
        <f t="shared" si="33"/>
        <v>26632.893843933394</v>
      </c>
      <c r="U84">
        <f t="shared" si="34"/>
        <v>0</v>
      </c>
      <c r="V84" s="29">
        <f t="shared" si="35"/>
        <v>0</v>
      </c>
      <c r="W84" s="29">
        <f t="shared" si="25"/>
        <v>0</v>
      </c>
      <c r="X84" s="29">
        <f t="shared" si="36"/>
        <v>26632.893843933394</v>
      </c>
      <c r="Y84">
        <f t="shared" si="37"/>
        <v>0</v>
      </c>
    </row>
    <row r="85" spans="1:25" x14ac:dyDescent="0.25">
      <c r="A85" s="4" t="s">
        <v>820</v>
      </c>
      <c r="B85" s="7" t="s">
        <v>402</v>
      </c>
      <c r="C85" s="2" t="s">
        <v>821</v>
      </c>
      <c r="D85">
        <f>VLOOKUP(B85,'Model allocations'!$A$1:$L$317,4,FALSE)</f>
        <v>208730.02119749374</v>
      </c>
      <c r="E85" s="31">
        <f>VLOOKUP(B85,'Initial adjusted formula count'!$A$1:$P$317,12,FALSE)</f>
        <v>0.15117773019271999</v>
      </c>
      <c r="F85">
        <f>VLOOKUP(B85,'Model allocations'!$A$1:$L$317,9,FALSE)</f>
        <v>330398.87133774039</v>
      </c>
      <c r="G85" s="30">
        <f t="shared" si="26"/>
        <v>0.9</v>
      </c>
      <c r="H85">
        <f t="shared" si="27"/>
        <v>187857.01907774436</v>
      </c>
      <c r="I85">
        <f t="shared" si="19"/>
        <v>0</v>
      </c>
      <c r="J85">
        <f t="shared" si="20"/>
        <v>330398.87133774039</v>
      </c>
      <c r="K85">
        <f t="shared" si="21"/>
        <v>330121.27543301834</v>
      </c>
      <c r="L85">
        <f t="shared" si="28"/>
        <v>330121.27543301834</v>
      </c>
      <c r="M85">
        <f t="shared" si="22"/>
        <v>0</v>
      </c>
      <c r="N85" s="29">
        <f t="shared" si="29"/>
        <v>330121.27543301834</v>
      </c>
      <c r="O85" s="29">
        <f t="shared" si="23"/>
        <v>330038.45809109433</v>
      </c>
      <c r="P85" s="29">
        <f t="shared" si="30"/>
        <v>330038.45809109433</v>
      </c>
      <c r="Q85">
        <f t="shared" si="31"/>
        <v>0</v>
      </c>
      <c r="R85" s="29">
        <f t="shared" si="32"/>
        <v>330038.45809109433</v>
      </c>
      <c r="S85" s="29">
        <f t="shared" si="24"/>
        <v>330038.45809109428</v>
      </c>
      <c r="T85" s="29">
        <f t="shared" si="33"/>
        <v>330038.45809109428</v>
      </c>
      <c r="U85">
        <f t="shared" si="34"/>
        <v>0</v>
      </c>
      <c r="V85" s="29">
        <f t="shared" si="35"/>
        <v>330038.45809109428</v>
      </c>
      <c r="W85" s="29">
        <f t="shared" si="25"/>
        <v>330038.45809109428</v>
      </c>
      <c r="X85" s="29">
        <f t="shared" si="36"/>
        <v>330038.45809109428</v>
      </c>
      <c r="Y85">
        <f t="shared" si="37"/>
        <v>0</v>
      </c>
    </row>
    <row r="86" spans="1:25" x14ac:dyDescent="0.25">
      <c r="A86" s="4" t="s">
        <v>822</v>
      </c>
      <c r="B86" s="7" t="s">
        <v>131</v>
      </c>
      <c r="C86" s="2" t="s">
        <v>823</v>
      </c>
      <c r="D86">
        <f>VLOOKUP(B86,'Model allocations'!$A$1:$L$317,4,FALSE)</f>
        <v>0</v>
      </c>
      <c r="E86" s="31">
        <f>VLOOKUP(B86,'Initial adjusted formula count'!$A$1:$P$317,12,FALSE)</f>
        <v>3.5964035964036002E-2</v>
      </c>
      <c r="F86">
        <f>VLOOKUP(B86,'Model allocations'!$A$1:$L$317,9,FALSE)</f>
        <v>0</v>
      </c>
      <c r="G86" s="30">
        <f t="shared" si="26"/>
        <v>0.85</v>
      </c>
      <c r="H86">
        <f t="shared" si="27"/>
        <v>0</v>
      </c>
      <c r="I86">
        <f t="shared" si="19"/>
        <v>0</v>
      </c>
      <c r="J86">
        <f t="shared" si="20"/>
        <v>0</v>
      </c>
      <c r="K86">
        <f t="shared" si="21"/>
        <v>0</v>
      </c>
      <c r="L86">
        <f t="shared" si="28"/>
        <v>0</v>
      </c>
      <c r="M86">
        <f t="shared" si="22"/>
        <v>0</v>
      </c>
      <c r="N86" s="29">
        <f t="shared" si="29"/>
        <v>0</v>
      </c>
      <c r="O86" s="29">
        <f t="shared" si="23"/>
        <v>0</v>
      </c>
      <c r="P86" s="29">
        <f t="shared" si="30"/>
        <v>0</v>
      </c>
      <c r="Q86">
        <f t="shared" si="31"/>
        <v>0</v>
      </c>
      <c r="R86" s="29">
        <f t="shared" si="32"/>
        <v>0</v>
      </c>
      <c r="S86" s="29">
        <f t="shared" si="24"/>
        <v>0</v>
      </c>
      <c r="T86" s="29">
        <f t="shared" si="33"/>
        <v>0</v>
      </c>
      <c r="U86">
        <f t="shared" si="34"/>
        <v>0</v>
      </c>
      <c r="V86" s="29">
        <f t="shared" si="35"/>
        <v>0</v>
      </c>
      <c r="W86" s="29">
        <f t="shared" si="25"/>
        <v>0</v>
      </c>
      <c r="X86" s="29">
        <f t="shared" si="36"/>
        <v>0</v>
      </c>
      <c r="Y86">
        <f t="shared" si="37"/>
        <v>0</v>
      </c>
    </row>
    <row r="87" spans="1:25" x14ac:dyDescent="0.25">
      <c r="A87" s="4" t="s">
        <v>824</v>
      </c>
      <c r="B87" s="7" t="s">
        <v>404</v>
      </c>
      <c r="C87" s="2" t="s">
        <v>825</v>
      </c>
      <c r="D87">
        <f>VLOOKUP(B87,'Model allocations'!$A$1:$L$317,4,FALSE)</f>
        <v>7934.0865200992503</v>
      </c>
      <c r="E87" s="31">
        <f>VLOOKUP(B87,'Initial adjusted formula count'!$A$1:$P$317,12,FALSE)</f>
        <v>0.25</v>
      </c>
      <c r="F87">
        <f>VLOOKUP(B87,'Model allocations'!$A$1:$L$317,9,FALSE)</f>
        <v>7721.7866530775009</v>
      </c>
      <c r="G87" s="30">
        <f t="shared" si="26"/>
        <v>0.9</v>
      </c>
      <c r="H87">
        <f t="shared" si="27"/>
        <v>7140.6778680893258</v>
      </c>
      <c r="I87">
        <f t="shared" si="19"/>
        <v>0</v>
      </c>
      <c r="J87">
        <f t="shared" si="20"/>
        <v>7721.7866530775009</v>
      </c>
      <c r="K87">
        <f t="shared" si="21"/>
        <v>7715.2989300917889</v>
      </c>
      <c r="L87">
        <f t="shared" si="28"/>
        <v>7715.2989300917889</v>
      </c>
      <c r="M87">
        <f t="shared" si="22"/>
        <v>0</v>
      </c>
      <c r="N87" s="29">
        <f t="shared" si="29"/>
        <v>7715.2989300917889</v>
      </c>
      <c r="O87" s="29">
        <f t="shared" si="23"/>
        <v>7713.3633973131118</v>
      </c>
      <c r="P87" s="29">
        <f t="shared" si="30"/>
        <v>7713.3633973131118</v>
      </c>
      <c r="Q87">
        <f t="shared" si="31"/>
        <v>0</v>
      </c>
      <c r="R87" s="29">
        <f t="shared" si="32"/>
        <v>7713.3633973131118</v>
      </c>
      <c r="S87" s="29">
        <f t="shared" si="24"/>
        <v>7713.36339731311</v>
      </c>
      <c r="T87" s="29">
        <f t="shared" si="33"/>
        <v>7713.36339731311</v>
      </c>
      <c r="U87">
        <f t="shared" si="34"/>
        <v>0</v>
      </c>
      <c r="V87" s="29">
        <f t="shared" si="35"/>
        <v>7713.36339731311</v>
      </c>
      <c r="W87" s="29">
        <f t="shared" si="25"/>
        <v>7713.36339731311</v>
      </c>
      <c r="X87" s="29">
        <f t="shared" si="36"/>
        <v>7713.36339731311</v>
      </c>
      <c r="Y87">
        <f t="shared" si="37"/>
        <v>0</v>
      </c>
    </row>
    <row r="88" spans="1:25" x14ac:dyDescent="0.25">
      <c r="A88" s="4" t="s">
        <v>826</v>
      </c>
      <c r="B88" s="7" t="s">
        <v>133</v>
      </c>
      <c r="C88" s="2" t="s">
        <v>827</v>
      </c>
      <c r="D88">
        <f>VLOOKUP(B88,'Model allocations'!$A$1:$L$317,4,FALSE)</f>
        <v>3047.0142868761773</v>
      </c>
      <c r="E88" s="31">
        <f>VLOOKUP(B88,'Initial adjusted formula count'!$A$1:$P$317,12,FALSE)</f>
        <v>0.16129032258064499</v>
      </c>
      <c r="F88">
        <f>VLOOKUP(B88,'Model allocations'!$A$1:$L$317,9,FALSE)</f>
        <v>2742.3128581885594</v>
      </c>
      <c r="G88" s="30">
        <f t="shared" si="26"/>
        <v>0.9</v>
      </c>
      <c r="H88">
        <f t="shared" si="27"/>
        <v>2742.3128581885594</v>
      </c>
      <c r="I88">
        <f t="shared" si="19"/>
        <v>0</v>
      </c>
      <c r="J88">
        <f t="shared" si="20"/>
        <v>2742.3128581885594</v>
      </c>
      <c r="K88">
        <f t="shared" si="21"/>
        <v>2740.0088103090452</v>
      </c>
      <c r="L88">
        <f t="shared" si="28"/>
        <v>2740.0088103090452</v>
      </c>
      <c r="M88">
        <f t="shared" si="22"/>
        <v>2742.3128581885594</v>
      </c>
      <c r="N88" s="29">
        <f t="shared" si="29"/>
        <v>0</v>
      </c>
      <c r="O88" s="29">
        <f t="shared" si="23"/>
        <v>0</v>
      </c>
      <c r="P88" s="29">
        <f t="shared" si="30"/>
        <v>2742.3128581885594</v>
      </c>
      <c r="Q88">
        <f t="shared" si="31"/>
        <v>0</v>
      </c>
      <c r="R88" s="29">
        <f t="shared" si="32"/>
        <v>0</v>
      </c>
      <c r="S88" s="29">
        <f t="shared" si="24"/>
        <v>0</v>
      </c>
      <c r="T88" s="29">
        <f t="shared" si="33"/>
        <v>2742.3128581885594</v>
      </c>
      <c r="U88">
        <f t="shared" si="34"/>
        <v>0</v>
      </c>
      <c r="V88" s="29">
        <f t="shared" si="35"/>
        <v>0</v>
      </c>
      <c r="W88" s="29">
        <f t="shared" si="25"/>
        <v>0</v>
      </c>
      <c r="X88" s="29">
        <f t="shared" si="36"/>
        <v>2742.3128581885594</v>
      </c>
      <c r="Y88">
        <f t="shared" si="37"/>
        <v>0</v>
      </c>
    </row>
    <row r="89" spans="1:25" x14ac:dyDescent="0.25">
      <c r="A89" s="4" t="s">
        <v>828</v>
      </c>
      <c r="B89" s="7" t="s">
        <v>406</v>
      </c>
      <c r="C89" s="2" t="s">
        <v>829</v>
      </c>
      <c r="D89">
        <f>VLOOKUP(B89,'Model allocations'!$A$1:$L$317,4,FALSE)</f>
        <v>49871.400983481006</v>
      </c>
      <c r="E89" s="31">
        <f>VLOOKUP(B89,'Initial adjusted formula count'!$A$1:$P$317,12,FALSE)</f>
        <v>0.151627906976744</v>
      </c>
      <c r="F89">
        <f>VLOOKUP(B89,'Model allocations'!$A$1:$L$317,9,FALSE)</f>
        <v>44884.260885132906</v>
      </c>
      <c r="G89" s="30">
        <f t="shared" si="26"/>
        <v>0.9</v>
      </c>
      <c r="H89">
        <f t="shared" si="27"/>
        <v>44884.260885132906</v>
      </c>
      <c r="I89">
        <f t="shared" si="19"/>
        <v>0</v>
      </c>
      <c r="J89">
        <f t="shared" si="20"/>
        <v>44884.260885132906</v>
      </c>
      <c r="K89">
        <f t="shared" si="21"/>
        <v>44846.549839215164</v>
      </c>
      <c r="L89">
        <f t="shared" si="28"/>
        <v>44846.549839215164</v>
      </c>
      <c r="M89">
        <f t="shared" si="22"/>
        <v>44884.260885132906</v>
      </c>
      <c r="N89" s="29">
        <f t="shared" si="29"/>
        <v>0</v>
      </c>
      <c r="O89" s="29">
        <f t="shared" si="23"/>
        <v>0</v>
      </c>
      <c r="P89" s="29">
        <f t="shared" si="30"/>
        <v>44884.260885132906</v>
      </c>
      <c r="Q89">
        <f t="shared" si="31"/>
        <v>0</v>
      </c>
      <c r="R89" s="29">
        <f t="shared" si="32"/>
        <v>0</v>
      </c>
      <c r="S89" s="29">
        <f t="shared" si="24"/>
        <v>0</v>
      </c>
      <c r="T89" s="29">
        <f t="shared" si="33"/>
        <v>44884.260885132906</v>
      </c>
      <c r="U89">
        <f t="shared" si="34"/>
        <v>0</v>
      </c>
      <c r="V89" s="29">
        <f t="shared" si="35"/>
        <v>0</v>
      </c>
      <c r="W89" s="29">
        <f t="shared" si="25"/>
        <v>0</v>
      </c>
      <c r="X89" s="29">
        <f t="shared" si="36"/>
        <v>44884.260885132906</v>
      </c>
      <c r="Y89">
        <f t="shared" si="37"/>
        <v>0</v>
      </c>
    </row>
    <row r="90" spans="1:25" x14ac:dyDescent="0.25">
      <c r="A90" s="4" t="s">
        <v>830</v>
      </c>
      <c r="B90" s="7" t="s">
        <v>408</v>
      </c>
      <c r="C90" s="2" t="s">
        <v>831</v>
      </c>
      <c r="D90">
        <f>VLOOKUP(B90,'Model allocations'!$A$1:$L$317,4,FALSE)</f>
        <v>25615.765050606151</v>
      </c>
      <c r="E90" s="31">
        <f>VLOOKUP(B90,'Initial adjusted formula count'!$A$1:$P$317,12,FALSE)</f>
        <v>0.16964285714285701</v>
      </c>
      <c r="F90">
        <f>VLOOKUP(B90,'Model allocations'!$A$1:$L$317,9,FALSE)</f>
        <v>26675.262983358647</v>
      </c>
      <c r="G90" s="30">
        <f t="shared" si="26"/>
        <v>0.9</v>
      </c>
      <c r="H90">
        <f t="shared" si="27"/>
        <v>23054.188545545538</v>
      </c>
      <c r="I90">
        <f t="shared" si="19"/>
        <v>0</v>
      </c>
      <c r="J90">
        <f t="shared" si="20"/>
        <v>26675.262983358647</v>
      </c>
      <c r="K90">
        <f t="shared" si="21"/>
        <v>26652.850849408002</v>
      </c>
      <c r="L90">
        <f t="shared" si="28"/>
        <v>26652.850849408002</v>
      </c>
      <c r="M90">
        <f t="shared" si="22"/>
        <v>0</v>
      </c>
      <c r="N90" s="29">
        <f t="shared" si="29"/>
        <v>26652.850849408002</v>
      </c>
      <c r="O90" s="29">
        <f t="shared" si="23"/>
        <v>26646.1644634453</v>
      </c>
      <c r="P90" s="29">
        <f t="shared" si="30"/>
        <v>26646.1644634453</v>
      </c>
      <c r="Q90">
        <f t="shared" si="31"/>
        <v>0</v>
      </c>
      <c r="R90" s="29">
        <f t="shared" si="32"/>
        <v>26646.1644634453</v>
      </c>
      <c r="S90" s="29">
        <f t="shared" si="24"/>
        <v>26646.164463445293</v>
      </c>
      <c r="T90" s="29">
        <f t="shared" si="33"/>
        <v>26646.164463445293</v>
      </c>
      <c r="U90">
        <f t="shared" si="34"/>
        <v>0</v>
      </c>
      <c r="V90" s="29">
        <f t="shared" si="35"/>
        <v>26646.164463445293</v>
      </c>
      <c r="W90" s="29">
        <f t="shared" si="25"/>
        <v>26646.164463445293</v>
      </c>
      <c r="X90" s="29">
        <f t="shared" si="36"/>
        <v>26646.164463445293</v>
      </c>
      <c r="Y90">
        <f t="shared" si="37"/>
        <v>0</v>
      </c>
    </row>
    <row r="91" spans="1:25" x14ac:dyDescent="0.25">
      <c r="A91" s="4" t="s">
        <v>832</v>
      </c>
      <c r="B91" s="7" t="s">
        <v>410</v>
      </c>
      <c r="C91" s="2" t="s">
        <v>833</v>
      </c>
      <c r="D91">
        <f>VLOOKUP(B91,'Model allocations'!$A$1:$L$317,4,FALSE)</f>
        <v>151427.7084407513</v>
      </c>
      <c r="E91" s="31">
        <f>VLOOKUP(B91,'Initial adjusted formula count'!$A$1:$P$317,12,FALSE)</f>
        <v>0.219871451526513</v>
      </c>
      <c r="F91">
        <f>VLOOKUP(B91,'Model allocations'!$A$1:$L$317,9,FALSE)</f>
        <v>192108.69218717064</v>
      </c>
      <c r="G91" s="30">
        <f t="shared" si="26"/>
        <v>0.9</v>
      </c>
      <c r="H91">
        <f t="shared" si="27"/>
        <v>136284.93759667617</v>
      </c>
      <c r="I91">
        <f t="shared" si="19"/>
        <v>0</v>
      </c>
      <c r="J91">
        <f t="shared" si="20"/>
        <v>192108.69218717064</v>
      </c>
      <c r="K91">
        <f t="shared" si="21"/>
        <v>191947.28550319275</v>
      </c>
      <c r="L91">
        <f t="shared" si="28"/>
        <v>191947.28550319275</v>
      </c>
      <c r="M91">
        <f t="shared" si="22"/>
        <v>0</v>
      </c>
      <c r="N91" s="29">
        <f t="shared" si="29"/>
        <v>191947.28550319275</v>
      </c>
      <c r="O91" s="29">
        <f t="shared" si="23"/>
        <v>191899.13179375956</v>
      </c>
      <c r="P91" s="29">
        <f t="shared" si="30"/>
        <v>191899.13179375956</v>
      </c>
      <c r="Q91">
        <f t="shared" si="31"/>
        <v>0</v>
      </c>
      <c r="R91" s="29">
        <f t="shared" si="32"/>
        <v>191899.13179375956</v>
      </c>
      <c r="S91" s="29">
        <f t="shared" si="24"/>
        <v>191899.13179375953</v>
      </c>
      <c r="T91" s="29">
        <f t="shared" si="33"/>
        <v>191899.13179375953</v>
      </c>
      <c r="U91">
        <f t="shared" si="34"/>
        <v>0</v>
      </c>
      <c r="V91" s="29">
        <f t="shared" si="35"/>
        <v>191899.13179375953</v>
      </c>
      <c r="W91" s="29">
        <f t="shared" si="25"/>
        <v>191899.13179375953</v>
      </c>
      <c r="X91" s="29">
        <f t="shared" si="36"/>
        <v>191899.13179375953</v>
      </c>
      <c r="Y91">
        <f t="shared" si="37"/>
        <v>0</v>
      </c>
    </row>
    <row r="92" spans="1:25" x14ac:dyDescent="0.25">
      <c r="A92" s="4" t="s">
        <v>834</v>
      </c>
      <c r="B92" s="7" t="s">
        <v>412</v>
      </c>
      <c r="C92" s="2" t="s">
        <v>835</v>
      </c>
      <c r="D92">
        <f>VLOOKUP(B92,'Model allocations'!$A$1:$L$317,4,FALSE)</f>
        <v>84101.31711305202</v>
      </c>
      <c r="E92" s="31">
        <f>VLOOKUP(B92,'Initial adjusted formula count'!$A$1:$P$317,12,FALSE)</f>
        <v>0.15942028985507201</v>
      </c>
      <c r="F92">
        <f>VLOOKUP(B92,'Model allocations'!$A$1:$L$317,9,FALSE)</f>
        <v>75691.185401746814</v>
      </c>
      <c r="G92" s="30">
        <f t="shared" si="26"/>
        <v>0.9</v>
      </c>
      <c r="H92">
        <f t="shared" si="27"/>
        <v>75691.185401746814</v>
      </c>
      <c r="I92">
        <f t="shared" si="19"/>
        <v>0</v>
      </c>
      <c r="J92">
        <f t="shared" si="20"/>
        <v>75691.185401746814</v>
      </c>
      <c r="K92">
        <f t="shared" si="21"/>
        <v>75627.590865221893</v>
      </c>
      <c r="L92">
        <f t="shared" si="28"/>
        <v>75627.590865221893</v>
      </c>
      <c r="M92">
        <f t="shared" si="22"/>
        <v>75691.185401746814</v>
      </c>
      <c r="N92" s="29">
        <f t="shared" si="29"/>
        <v>0</v>
      </c>
      <c r="O92" s="29">
        <f t="shared" si="23"/>
        <v>0</v>
      </c>
      <c r="P92" s="29">
        <f t="shared" si="30"/>
        <v>75691.185401746814</v>
      </c>
      <c r="Q92">
        <f t="shared" si="31"/>
        <v>0</v>
      </c>
      <c r="R92" s="29">
        <f t="shared" si="32"/>
        <v>0</v>
      </c>
      <c r="S92" s="29">
        <f t="shared" si="24"/>
        <v>0</v>
      </c>
      <c r="T92" s="29">
        <f t="shared" si="33"/>
        <v>75691.185401746814</v>
      </c>
      <c r="U92">
        <f t="shared" si="34"/>
        <v>0</v>
      </c>
      <c r="V92" s="29">
        <f t="shared" si="35"/>
        <v>0</v>
      </c>
      <c r="W92" s="29">
        <f t="shared" si="25"/>
        <v>0</v>
      </c>
      <c r="X92" s="29">
        <f t="shared" si="36"/>
        <v>75691.185401746814</v>
      </c>
      <c r="Y92">
        <f t="shared" si="37"/>
        <v>0</v>
      </c>
    </row>
    <row r="93" spans="1:25" x14ac:dyDescent="0.25">
      <c r="A93" s="4" t="s">
        <v>836</v>
      </c>
      <c r="B93" s="7" t="s">
        <v>135</v>
      </c>
      <c r="C93" s="2" t="s">
        <v>837</v>
      </c>
      <c r="D93">
        <f>VLOOKUP(B93,'Model allocations'!$A$1:$L$317,4,FALSE)</f>
        <v>0</v>
      </c>
      <c r="E93" s="31">
        <f>VLOOKUP(B93,'Initial adjusted formula count'!$A$1:$P$317,12,FALSE)</f>
        <v>6.4561901383469303E-2</v>
      </c>
      <c r="F93">
        <f>VLOOKUP(B93,'Model allocations'!$A$1:$L$317,9,FALSE)</f>
        <v>0</v>
      </c>
      <c r="G93" s="30">
        <f t="shared" si="26"/>
        <v>0.85</v>
      </c>
      <c r="H93">
        <f t="shared" si="27"/>
        <v>0</v>
      </c>
      <c r="I93">
        <f t="shared" si="19"/>
        <v>0</v>
      </c>
      <c r="J93">
        <f t="shared" si="20"/>
        <v>0</v>
      </c>
      <c r="K93">
        <f t="shared" si="21"/>
        <v>0</v>
      </c>
      <c r="L93">
        <f t="shared" si="28"/>
        <v>0</v>
      </c>
      <c r="M93">
        <f t="shared" si="22"/>
        <v>0</v>
      </c>
      <c r="N93" s="29">
        <f t="shared" si="29"/>
        <v>0</v>
      </c>
      <c r="O93" s="29">
        <f t="shared" si="23"/>
        <v>0</v>
      </c>
      <c r="P93" s="29">
        <f t="shared" si="30"/>
        <v>0</v>
      </c>
      <c r="Q93">
        <f t="shared" si="31"/>
        <v>0</v>
      </c>
      <c r="R93" s="29">
        <f t="shared" si="32"/>
        <v>0</v>
      </c>
      <c r="S93" s="29">
        <f t="shared" si="24"/>
        <v>0</v>
      </c>
      <c r="T93" s="29">
        <f t="shared" si="33"/>
        <v>0</v>
      </c>
      <c r="U93">
        <f t="shared" si="34"/>
        <v>0</v>
      </c>
      <c r="V93" s="29">
        <f t="shared" si="35"/>
        <v>0</v>
      </c>
      <c r="W93" s="29">
        <f t="shared" si="25"/>
        <v>0</v>
      </c>
      <c r="X93" s="29">
        <f t="shared" si="36"/>
        <v>0</v>
      </c>
      <c r="Y93">
        <f t="shared" si="37"/>
        <v>0</v>
      </c>
    </row>
    <row r="94" spans="1:25" x14ac:dyDescent="0.25">
      <c r="A94" s="4" t="s">
        <v>838</v>
      </c>
      <c r="B94" s="7" t="s">
        <v>414</v>
      </c>
      <c r="C94" s="2" t="s">
        <v>839</v>
      </c>
      <c r="D94">
        <f>VLOOKUP(B94,'Model allocations'!$A$1:$L$317,4,FALSE)</f>
        <v>6737.4880259950523</v>
      </c>
      <c r="E94" s="31">
        <f>VLOOKUP(B94,'Initial adjusted formula count'!$A$1:$P$317,12,FALSE)</f>
        <v>0.10233918128654999</v>
      </c>
      <c r="F94">
        <f>VLOOKUP(B94,'Model allocations'!$A$1:$L$317,9,FALSE)</f>
        <v>5726.8648220957939</v>
      </c>
      <c r="G94" s="30">
        <f t="shared" si="26"/>
        <v>0.85</v>
      </c>
      <c r="H94">
        <f t="shared" si="27"/>
        <v>5726.8648220957939</v>
      </c>
      <c r="I94">
        <f t="shared" si="19"/>
        <v>0</v>
      </c>
      <c r="J94">
        <f t="shared" si="20"/>
        <v>5726.8648220957939</v>
      </c>
      <c r="K94">
        <f t="shared" si="21"/>
        <v>5722.0532008724113</v>
      </c>
      <c r="L94">
        <f t="shared" si="28"/>
        <v>5722.0532008724113</v>
      </c>
      <c r="M94">
        <f t="shared" si="22"/>
        <v>5726.8648220957939</v>
      </c>
      <c r="N94" s="29">
        <f t="shared" si="29"/>
        <v>0</v>
      </c>
      <c r="O94" s="29">
        <f t="shared" si="23"/>
        <v>0</v>
      </c>
      <c r="P94" s="29">
        <f t="shared" si="30"/>
        <v>5726.8648220957939</v>
      </c>
      <c r="Q94">
        <f t="shared" si="31"/>
        <v>0</v>
      </c>
      <c r="R94" s="29">
        <f t="shared" si="32"/>
        <v>0</v>
      </c>
      <c r="S94" s="29">
        <f t="shared" si="24"/>
        <v>0</v>
      </c>
      <c r="T94" s="29">
        <f t="shared" si="33"/>
        <v>5726.8648220957939</v>
      </c>
      <c r="U94">
        <f t="shared" si="34"/>
        <v>0</v>
      </c>
      <c r="V94" s="29">
        <f t="shared" si="35"/>
        <v>0</v>
      </c>
      <c r="W94" s="29">
        <f t="shared" si="25"/>
        <v>0</v>
      </c>
      <c r="X94" s="29">
        <f t="shared" si="36"/>
        <v>5726.8648220957939</v>
      </c>
      <c r="Y94">
        <f t="shared" si="37"/>
        <v>0</v>
      </c>
    </row>
    <row r="95" spans="1:25" x14ac:dyDescent="0.25">
      <c r="A95" s="4" t="s">
        <v>840</v>
      </c>
      <c r="B95" s="7" t="s">
        <v>416</v>
      </c>
      <c r="C95" s="2" t="s">
        <v>841</v>
      </c>
      <c r="D95">
        <f>VLOOKUP(B95,'Model allocations'!$A$1:$L$317,4,FALSE)</f>
        <v>9747.5920104076504</v>
      </c>
      <c r="E95" s="31">
        <f>VLOOKUP(B95,'Initial adjusted formula count'!$A$1:$P$317,12,FALSE)</f>
        <v>0.19148936170212799</v>
      </c>
      <c r="F95">
        <f>VLOOKUP(B95,'Model allocations'!$A$1:$L$317,9,FALSE)</f>
        <v>8772.8328093668861</v>
      </c>
      <c r="G95" s="30">
        <f t="shared" si="26"/>
        <v>0.9</v>
      </c>
      <c r="H95">
        <f t="shared" si="27"/>
        <v>8772.8328093668861</v>
      </c>
      <c r="I95">
        <f t="shared" si="19"/>
        <v>0</v>
      </c>
      <c r="J95">
        <f t="shared" si="20"/>
        <v>8772.8328093668861</v>
      </c>
      <c r="K95">
        <f t="shared" si="21"/>
        <v>8765.4620140284169</v>
      </c>
      <c r="L95">
        <f t="shared" si="28"/>
        <v>8765.4620140284169</v>
      </c>
      <c r="M95">
        <f t="shared" si="22"/>
        <v>8772.8328093668861</v>
      </c>
      <c r="N95" s="29">
        <f t="shared" si="29"/>
        <v>0</v>
      </c>
      <c r="O95" s="29">
        <f t="shared" si="23"/>
        <v>0</v>
      </c>
      <c r="P95" s="29">
        <f t="shared" si="30"/>
        <v>8772.8328093668861</v>
      </c>
      <c r="Q95">
        <f t="shared" si="31"/>
        <v>0</v>
      </c>
      <c r="R95" s="29">
        <f t="shared" si="32"/>
        <v>0</v>
      </c>
      <c r="S95" s="29">
        <f t="shared" si="24"/>
        <v>0</v>
      </c>
      <c r="T95" s="29">
        <f t="shared" si="33"/>
        <v>8772.8328093668861</v>
      </c>
      <c r="U95">
        <f t="shared" si="34"/>
        <v>0</v>
      </c>
      <c r="V95" s="29">
        <f t="shared" si="35"/>
        <v>0</v>
      </c>
      <c r="W95" s="29">
        <f t="shared" si="25"/>
        <v>0</v>
      </c>
      <c r="X95" s="29">
        <f t="shared" si="36"/>
        <v>8772.8328093668861</v>
      </c>
      <c r="Y95">
        <f t="shared" si="37"/>
        <v>0</v>
      </c>
    </row>
    <row r="96" spans="1:25" x14ac:dyDescent="0.25">
      <c r="A96" s="4" t="s">
        <v>842</v>
      </c>
      <c r="B96" s="7" t="s">
        <v>137</v>
      </c>
      <c r="C96" s="2" t="s">
        <v>843</v>
      </c>
      <c r="D96">
        <f>VLOOKUP(B96,'Model allocations'!$A$1:$L$317,4,FALSE)</f>
        <v>0</v>
      </c>
      <c r="E96" s="31">
        <f>VLOOKUP(B96,'Initial adjusted formula count'!$A$1:$P$317,12,FALSE)</f>
        <v>5.8252427184466E-2</v>
      </c>
      <c r="F96">
        <f>VLOOKUP(B96,'Model allocations'!$A$1:$L$317,9,FALSE)</f>
        <v>0</v>
      </c>
      <c r="G96" s="30">
        <f t="shared" si="26"/>
        <v>0.85</v>
      </c>
      <c r="H96">
        <f t="shared" si="27"/>
        <v>0</v>
      </c>
      <c r="I96">
        <f t="shared" si="19"/>
        <v>0</v>
      </c>
      <c r="J96">
        <f t="shared" si="20"/>
        <v>0</v>
      </c>
      <c r="K96">
        <f t="shared" si="21"/>
        <v>0</v>
      </c>
      <c r="L96">
        <f t="shared" si="28"/>
        <v>0</v>
      </c>
      <c r="M96">
        <f t="shared" si="22"/>
        <v>0</v>
      </c>
      <c r="N96" s="29">
        <f t="shared" si="29"/>
        <v>0</v>
      </c>
      <c r="O96" s="29">
        <f t="shared" si="23"/>
        <v>0</v>
      </c>
      <c r="P96" s="29">
        <f t="shared" si="30"/>
        <v>0</v>
      </c>
      <c r="Q96">
        <f t="shared" si="31"/>
        <v>0</v>
      </c>
      <c r="R96" s="29">
        <f t="shared" si="32"/>
        <v>0</v>
      </c>
      <c r="S96" s="29">
        <f t="shared" si="24"/>
        <v>0</v>
      </c>
      <c r="T96" s="29">
        <f t="shared" si="33"/>
        <v>0</v>
      </c>
      <c r="U96">
        <f t="shared" si="34"/>
        <v>0</v>
      </c>
      <c r="V96" s="29">
        <f t="shared" si="35"/>
        <v>0</v>
      </c>
      <c r="W96" s="29">
        <f t="shared" si="25"/>
        <v>0</v>
      </c>
      <c r="X96" s="29">
        <f t="shared" si="36"/>
        <v>0</v>
      </c>
      <c r="Y96">
        <f t="shared" si="37"/>
        <v>0</v>
      </c>
    </row>
    <row r="97" spans="1:25" x14ac:dyDescent="0.25">
      <c r="A97" s="4" t="s">
        <v>844</v>
      </c>
      <c r="B97" s="7" t="s">
        <v>139</v>
      </c>
      <c r="C97" s="2" t="s">
        <v>845</v>
      </c>
      <c r="D97">
        <f>VLOOKUP(B97,'Model allocations'!$A$1:$L$317,4,FALSE)</f>
        <v>0</v>
      </c>
      <c r="E97" s="31">
        <f>VLOOKUP(B97,'Initial adjusted formula count'!$A$1:$P$317,12,FALSE)</f>
        <v>5.2338530066815103E-2</v>
      </c>
      <c r="F97">
        <f>VLOOKUP(B97,'Model allocations'!$A$1:$L$317,9,FALSE)</f>
        <v>0</v>
      </c>
      <c r="G97" s="30">
        <f t="shared" si="26"/>
        <v>0.85</v>
      </c>
      <c r="H97">
        <f t="shared" si="27"/>
        <v>0</v>
      </c>
      <c r="I97">
        <f t="shared" si="19"/>
        <v>0</v>
      </c>
      <c r="J97">
        <f t="shared" si="20"/>
        <v>0</v>
      </c>
      <c r="K97">
        <f t="shared" si="21"/>
        <v>0</v>
      </c>
      <c r="L97">
        <f t="shared" si="28"/>
        <v>0</v>
      </c>
      <c r="M97">
        <f t="shared" si="22"/>
        <v>0</v>
      </c>
      <c r="N97" s="29">
        <f t="shared" si="29"/>
        <v>0</v>
      </c>
      <c r="O97" s="29">
        <f t="shared" si="23"/>
        <v>0</v>
      </c>
      <c r="P97" s="29">
        <f t="shared" si="30"/>
        <v>0</v>
      </c>
      <c r="Q97">
        <f t="shared" si="31"/>
        <v>0</v>
      </c>
      <c r="R97" s="29">
        <f t="shared" si="32"/>
        <v>0</v>
      </c>
      <c r="S97" s="29">
        <f t="shared" si="24"/>
        <v>0</v>
      </c>
      <c r="T97" s="29">
        <f t="shared" si="33"/>
        <v>0</v>
      </c>
      <c r="U97">
        <f t="shared" si="34"/>
        <v>0</v>
      </c>
      <c r="V97" s="29">
        <f t="shared" si="35"/>
        <v>0</v>
      </c>
      <c r="W97" s="29">
        <f t="shared" si="25"/>
        <v>0</v>
      </c>
      <c r="X97" s="29">
        <f t="shared" si="36"/>
        <v>0</v>
      </c>
      <c r="Y97">
        <f t="shared" si="37"/>
        <v>0</v>
      </c>
    </row>
    <row r="98" spans="1:25" x14ac:dyDescent="0.25">
      <c r="A98" s="4" t="s">
        <v>846</v>
      </c>
      <c r="B98" s="7" t="s">
        <v>418</v>
      </c>
      <c r="C98" s="2" t="s">
        <v>847</v>
      </c>
      <c r="D98">
        <f>VLOOKUP(B98,'Model allocations'!$A$1:$L$317,4,FALSE)</f>
        <v>5431.1376224050373</v>
      </c>
      <c r="E98" s="31">
        <f>VLOOKUP(B98,'Initial adjusted formula count'!$A$1:$P$317,12,FALSE)</f>
        <v>0.17241379310344801</v>
      </c>
      <c r="F98">
        <f>VLOOKUP(B98,'Model allocations'!$A$1:$L$317,9,FALSE)</f>
        <v>5849.8383735435636</v>
      </c>
      <c r="G98" s="30">
        <f t="shared" si="26"/>
        <v>0.9</v>
      </c>
      <c r="H98">
        <f t="shared" si="27"/>
        <v>4888.0238601645333</v>
      </c>
      <c r="I98">
        <f t="shared" si="19"/>
        <v>0</v>
      </c>
      <c r="J98">
        <f t="shared" si="20"/>
        <v>5849.8383735435636</v>
      </c>
      <c r="K98">
        <f t="shared" si="21"/>
        <v>5844.9234318877207</v>
      </c>
      <c r="L98">
        <f t="shared" si="28"/>
        <v>5844.9234318877207</v>
      </c>
      <c r="M98">
        <f t="shared" si="22"/>
        <v>0</v>
      </c>
      <c r="N98" s="29">
        <f t="shared" si="29"/>
        <v>5844.9234318877207</v>
      </c>
      <c r="O98" s="29">
        <f t="shared" si="23"/>
        <v>5843.4571191766008</v>
      </c>
      <c r="P98" s="29">
        <f t="shared" si="30"/>
        <v>5843.4571191766008</v>
      </c>
      <c r="Q98">
        <f t="shared" si="31"/>
        <v>0</v>
      </c>
      <c r="R98" s="29">
        <f t="shared" si="32"/>
        <v>5843.4571191766008</v>
      </c>
      <c r="S98" s="29">
        <f t="shared" si="24"/>
        <v>5843.4571191765999</v>
      </c>
      <c r="T98" s="29">
        <f t="shared" si="33"/>
        <v>5843.4571191765999</v>
      </c>
      <c r="U98">
        <f t="shared" si="34"/>
        <v>0</v>
      </c>
      <c r="V98" s="29">
        <f t="shared" si="35"/>
        <v>5843.4571191765999</v>
      </c>
      <c r="W98" s="29">
        <f t="shared" si="25"/>
        <v>5843.4571191765999</v>
      </c>
      <c r="X98" s="29">
        <f t="shared" si="36"/>
        <v>5843.4571191765999</v>
      </c>
      <c r="Y98">
        <f t="shared" si="37"/>
        <v>0</v>
      </c>
    </row>
    <row r="99" spans="1:25" x14ac:dyDescent="0.25">
      <c r="A99" s="4" t="s">
        <v>848</v>
      </c>
      <c r="B99" s="7" t="s">
        <v>420</v>
      </c>
      <c r="C99" s="2" t="s">
        <v>849</v>
      </c>
      <c r="D99">
        <f>VLOOKUP(B99,'Model allocations'!$A$1:$L$317,4,FALSE)</f>
        <v>53271.723777809246</v>
      </c>
      <c r="E99" s="31">
        <f>VLOOKUP(B99,'Initial adjusted formula count'!$A$1:$P$317,12,FALSE)</f>
        <v>0.11242138364779899</v>
      </c>
      <c r="F99">
        <f>VLOOKUP(B99,'Model allocations'!$A$1:$L$317,9,FALSE)</f>
        <v>45280.96521113786</v>
      </c>
      <c r="G99" s="30">
        <f t="shared" si="26"/>
        <v>0.85</v>
      </c>
      <c r="H99">
        <f t="shared" si="27"/>
        <v>45280.96521113786</v>
      </c>
      <c r="I99">
        <f t="shared" si="19"/>
        <v>0</v>
      </c>
      <c r="J99">
        <f t="shared" si="20"/>
        <v>45280.96521113786</v>
      </c>
      <c r="K99">
        <f t="shared" si="21"/>
        <v>45242.92086052135</v>
      </c>
      <c r="L99">
        <f t="shared" si="28"/>
        <v>45242.92086052135</v>
      </c>
      <c r="M99">
        <f t="shared" si="22"/>
        <v>45280.96521113786</v>
      </c>
      <c r="N99" s="29">
        <f t="shared" si="29"/>
        <v>0</v>
      </c>
      <c r="O99" s="29">
        <f t="shared" si="23"/>
        <v>0</v>
      </c>
      <c r="P99" s="29">
        <f t="shared" si="30"/>
        <v>45280.96521113786</v>
      </c>
      <c r="Q99">
        <f t="shared" si="31"/>
        <v>0</v>
      </c>
      <c r="R99" s="29">
        <f t="shared" si="32"/>
        <v>0</v>
      </c>
      <c r="S99" s="29">
        <f t="shared" si="24"/>
        <v>0</v>
      </c>
      <c r="T99" s="29">
        <f t="shared" si="33"/>
        <v>45280.96521113786</v>
      </c>
      <c r="U99">
        <f t="shared" si="34"/>
        <v>0</v>
      </c>
      <c r="V99" s="29">
        <f t="shared" si="35"/>
        <v>0</v>
      </c>
      <c r="W99" s="29">
        <f t="shared" si="25"/>
        <v>0</v>
      </c>
      <c r="X99" s="29">
        <f t="shared" si="36"/>
        <v>45280.96521113786</v>
      </c>
      <c r="Y99">
        <f t="shared" si="37"/>
        <v>0</v>
      </c>
    </row>
    <row r="100" spans="1:25" x14ac:dyDescent="0.25">
      <c r="A100" s="4" t="s">
        <v>18</v>
      </c>
      <c r="B100" s="7" t="s">
        <v>57</v>
      </c>
      <c r="C100" s="2" t="s">
        <v>850</v>
      </c>
      <c r="D100">
        <f>VLOOKUP(B100,'Model allocations'!$A$1:$L$317,4,FALSE)</f>
        <v>684250.34118658223</v>
      </c>
      <c r="E100" s="31">
        <f>VLOOKUP(B100,'Initial adjusted formula count'!$A$1:$P$317,12,FALSE)</f>
        <v>0.16867413714330101</v>
      </c>
      <c r="F100">
        <f>VLOOKUP(B100,'Model allocations'!$A$1:$L$317,9,FALSE)</f>
        <v>775502.90897040756</v>
      </c>
      <c r="G100" s="30">
        <f t="shared" si="26"/>
        <v>0.9</v>
      </c>
      <c r="H100">
        <f t="shared" si="27"/>
        <v>615825.30706792406</v>
      </c>
      <c r="I100">
        <f t="shared" si="19"/>
        <v>0</v>
      </c>
      <c r="J100">
        <f t="shared" si="20"/>
        <v>775502.90897040756</v>
      </c>
      <c r="K100">
        <f t="shared" si="21"/>
        <v>774851.34369490109</v>
      </c>
      <c r="L100">
        <f t="shared" si="28"/>
        <v>774851.34369490109</v>
      </c>
      <c r="M100">
        <f t="shared" si="22"/>
        <v>0</v>
      </c>
      <c r="N100" s="29">
        <f t="shared" si="29"/>
        <v>774851.34369490109</v>
      </c>
      <c r="O100" s="29">
        <f t="shared" si="23"/>
        <v>774656.95716653543</v>
      </c>
      <c r="P100" s="29">
        <f t="shared" si="30"/>
        <v>774656.95716653543</v>
      </c>
      <c r="Q100">
        <f t="shared" si="31"/>
        <v>0</v>
      </c>
      <c r="R100" s="29">
        <f t="shared" si="32"/>
        <v>774656.95716653543</v>
      </c>
      <c r="S100" s="29">
        <f t="shared" si="24"/>
        <v>774656.95716653531</v>
      </c>
      <c r="T100" s="29">
        <f t="shared" si="33"/>
        <v>774656.95716653531</v>
      </c>
      <c r="U100">
        <f t="shared" si="34"/>
        <v>0</v>
      </c>
      <c r="V100" s="29">
        <f t="shared" si="35"/>
        <v>774656.95716653531</v>
      </c>
      <c r="W100" s="29">
        <f t="shared" si="25"/>
        <v>774656.95716653531</v>
      </c>
      <c r="X100" s="29">
        <f t="shared" si="36"/>
        <v>774656.95716653531</v>
      </c>
      <c r="Y100">
        <f t="shared" si="37"/>
        <v>0</v>
      </c>
    </row>
    <row r="101" spans="1:25" x14ac:dyDescent="0.25">
      <c r="A101" s="4" t="s">
        <v>851</v>
      </c>
      <c r="B101" s="7" t="s">
        <v>141</v>
      </c>
      <c r="C101" s="2" t="s">
        <v>852</v>
      </c>
      <c r="D101">
        <f>VLOOKUP(B101,'Model allocations'!$A$1:$L$317,4,FALSE)</f>
        <v>0</v>
      </c>
      <c r="E101" s="31">
        <f>VLOOKUP(B101,'Initial adjusted formula count'!$A$1:$P$317,12,FALSE)</f>
        <v>4.8490393412625801E-2</v>
      </c>
      <c r="F101">
        <f>VLOOKUP(B101,'Model allocations'!$A$1:$L$317,9,FALSE)</f>
        <v>0</v>
      </c>
      <c r="G101" s="30">
        <f t="shared" si="26"/>
        <v>0.85</v>
      </c>
      <c r="H101">
        <f t="shared" si="27"/>
        <v>0</v>
      </c>
      <c r="I101">
        <f t="shared" si="19"/>
        <v>0</v>
      </c>
      <c r="J101">
        <f t="shared" si="20"/>
        <v>0</v>
      </c>
      <c r="K101">
        <f t="shared" si="21"/>
        <v>0</v>
      </c>
      <c r="L101">
        <f t="shared" si="28"/>
        <v>0</v>
      </c>
      <c r="M101">
        <f t="shared" si="22"/>
        <v>0</v>
      </c>
      <c r="N101" s="29">
        <f t="shared" si="29"/>
        <v>0</v>
      </c>
      <c r="O101" s="29">
        <f t="shared" si="23"/>
        <v>0</v>
      </c>
      <c r="P101" s="29">
        <f t="shared" si="30"/>
        <v>0</v>
      </c>
      <c r="Q101">
        <f t="shared" si="31"/>
        <v>0</v>
      </c>
      <c r="R101" s="29">
        <f t="shared" si="32"/>
        <v>0</v>
      </c>
      <c r="S101" s="29">
        <f t="shared" si="24"/>
        <v>0</v>
      </c>
      <c r="T101" s="29">
        <f t="shared" si="33"/>
        <v>0</v>
      </c>
      <c r="U101">
        <f t="shared" si="34"/>
        <v>0</v>
      </c>
      <c r="V101" s="29">
        <f t="shared" si="35"/>
        <v>0</v>
      </c>
      <c r="W101" s="29">
        <f t="shared" si="25"/>
        <v>0</v>
      </c>
      <c r="X101" s="29">
        <f t="shared" si="36"/>
        <v>0</v>
      </c>
      <c r="Y101">
        <f t="shared" si="37"/>
        <v>0</v>
      </c>
    </row>
    <row r="102" spans="1:25" x14ac:dyDescent="0.25">
      <c r="A102" s="4" t="s">
        <v>853</v>
      </c>
      <c r="B102" s="7" t="s">
        <v>422</v>
      </c>
      <c r="C102" s="2" t="s">
        <v>854</v>
      </c>
      <c r="D102">
        <f>VLOOKUP(B102,'Model allocations'!$A$1:$L$317,4,FALSE)</f>
        <v>26749.205982048908</v>
      </c>
      <c r="E102" s="31">
        <f>VLOOKUP(B102,'Initial adjusted formula count'!$A$1:$P$317,12,FALSE)</f>
        <v>0.20028409090909099</v>
      </c>
      <c r="F102">
        <f>VLOOKUP(B102,'Model allocations'!$A$1:$L$317,9,FALSE)</f>
        <v>32993.088426785696</v>
      </c>
      <c r="G102" s="30">
        <f t="shared" si="26"/>
        <v>0.9</v>
      </c>
      <c r="H102">
        <f t="shared" si="27"/>
        <v>24074.285383844017</v>
      </c>
      <c r="I102">
        <f t="shared" si="19"/>
        <v>0</v>
      </c>
      <c r="J102">
        <f t="shared" si="20"/>
        <v>32993.088426785696</v>
      </c>
      <c r="K102">
        <f t="shared" si="21"/>
        <v>32965.368155846736</v>
      </c>
      <c r="L102">
        <f t="shared" si="28"/>
        <v>32965.368155846736</v>
      </c>
      <c r="M102">
        <f t="shared" si="22"/>
        <v>0</v>
      </c>
      <c r="N102" s="29">
        <f t="shared" si="29"/>
        <v>32965.368155846736</v>
      </c>
      <c r="O102" s="29">
        <f t="shared" si="23"/>
        <v>32957.098152156024</v>
      </c>
      <c r="P102" s="29">
        <f t="shared" si="30"/>
        <v>32957.098152156024</v>
      </c>
      <c r="Q102">
        <f t="shared" si="31"/>
        <v>0</v>
      </c>
      <c r="R102" s="29">
        <f t="shared" si="32"/>
        <v>32957.098152156024</v>
      </c>
      <c r="S102" s="29">
        <f t="shared" si="24"/>
        <v>32957.098152156017</v>
      </c>
      <c r="T102" s="29">
        <f t="shared" si="33"/>
        <v>32957.098152156017</v>
      </c>
      <c r="U102">
        <f t="shared" si="34"/>
        <v>0</v>
      </c>
      <c r="V102" s="29">
        <f t="shared" si="35"/>
        <v>32957.098152156017</v>
      </c>
      <c r="W102" s="29">
        <f t="shared" si="25"/>
        <v>32957.098152156017</v>
      </c>
      <c r="X102" s="29">
        <f t="shared" si="36"/>
        <v>32957.098152156017</v>
      </c>
      <c r="Y102">
        <f t="shared" si="37"/>
        <v>0</v>
      </c>
    </row>
    <row r="103" spans="1:25" x14ac:dyDescent="0.25">
      <c r="A103" s="4" t="s">
        <v>855</v>
      </c>
      <c r="B103" s="7" t="s">
        <v>424</v>
      </c>
      <c r="C103" s="2" t="s">
        <v>856</v>
      </c>
      <c r="D103">
        <f>VLOOKUP(B103,'Model allocations'!$A$1:$L$317,4,FALSE)</f>
        <v>113344.093144275</v>
      </c>
      <c r="E103" s="31">
        <f>VLOOKUP(B103,'Initial adjusted formula count'!$A$1:$P$317,12,FALSE)</f>
        <v>0.21856123009335501</v>
      </c>
      <c r="F103">
        <f>VLOOKUP(B103,'Model allocations'!$A$1:$L$317,9,FALSE)</f>
        <v>102009.6838298475</v>
      </c>
      <c r="G103" s="30">
        <f t="shared" si="26"/>
        <v>0.9</v>
      </c>
      <c r="H103">
        <f t="shared" si="27"/>
        <v>102009.6838298475</v>
      </c>
      <c r="I103">
        <f t="shared" si="19"/>
        <v>0</v>
      </c>
      <c r="J103">
        <f t="shared" si="20"/>
        <v>102009.6838298475</v>
      </c>
      <c r="K103">
        <f t="shared" si="21"/>
        <v>101923.97690730718</v>
      </c>
      <c r="L103">
        <f t="shared" si="28"/>
        <v>101923.97690730718</v>
      </c>
      <c r="M103">
        <f t="shared" si="22"/>
        <v>102009.6838298475</v>
      </c>
      <c r="N103" s="29">
        <f t="shared" si="29"/>
        <v>0</v>
      </c>
      <c r="O103" s="29">
        <f t="shared" si="23"/>
        <v>0</v>
      </c>
      <c r="P103" s="29">
        <f t="shared" si="30"/>
        <v>102009.6838298475</v>
      </c>
      <c r="Q103">
        <f t="shared" si="31"/>
        <v>0</v>
      </c>
      <c r="R103" s="29">
        <f t="shared" si="32"/>
        <v>0</v>
      </c>
      <c r="S103" s="29">
        <f t="shared" si="24"/>
        <v>0</v>
      </c>
      <c r="T103" s="29">
        <f t="shared" si="33"/>
        <v>102009.6838298475</v>
      </c>
      <c r="U103">
        <f t="shared" si="34"/>
        <v>0</v>
      </c>
      <c r="V103" s="29">
        <f t="shared" si="35"/>
        <v>0</v>
      </c>
      <c r="W103" s="29">
        <f t="shared" si="25"/>
        <v>0</v>
      </c>
      <c r="X103" s="29">
        <f t="shared" si="36"/>
        <v>102009.6838298475</v>
      </c>
      <c r="Y103">
        <f t="shared" si="37"/>
        <v>0</v>
      </c>
    </row>
    <row r="104" spans="1:25" x14ac:dyDescent="0.25">
      <c r="A104" s="4" t="s">
        <v>37</v>
      </c>
      <c r="B104" s="7" t="s">
        <v>79</v>
      </c>
      <c r="C104" s="2" t="s">
        <v>857</v>
      </c>
      <c r="D104">
        <f>VLOOKUP(B104,'Model allocations'!$A$1:$L$317,4,FALSE)</f>
        <v>0</v>
      </c>
      <c r="E104" s="31">
        <f>VLOOKUP(B104,'Initial adjusted formula count'!$A$1:$P$317,12,FALSE)</f>
        <v>0.14665504406806101</v>
      </c>
      <c r="F104">
        <f>VLOOKUP(B104,'Model allocations'!$A$1:$L$317,9,FALSE)</f>
        <v>0</v>
      </c>
      <c r="G104" s="30">
        <f t="shared" si="26"/>
        <v>0.85</v>
      </c>
      <c r="H104">
        <f t="shared" si="27"/>
        <v>0</v>
      </c>
      <c r="I104">
        <f t="shared" si="19"/>
        <v>0</v>
      </c>
      <c r="J104">
        <f t="shared" si="20"/>
        <v>0</v>
      </c>
      <c r="K104">
        <f t="shared" si="21"/>
        <v>0</v>
      </c>
      <c r="L104">
        <f t="shared" si="28"/>
        <v>0</v>
      </c>
      <c r="M104">
        <f t="shared" si="22"/>
        <v>0</v>
      </c>
      <c r="N104" s="29">
        <f t="shared" si="29"/>
        <v>0</v>
      </c>
      <c r="O104" s="29">
        <f t="shared" si="23"/>
        <v>0</v>
      </c>
      <c r="P104" s="29">
        <f t="shared" si="30"/>
        <v>0</v>
      </c>
      <c r="Q104">
        <f t="shared" si="31"/>
        <v>0</v>
      </c>
      <c r="R104" s="29">
        <f t="shared" si="32"/>
        <v>0</v>
      </c>
      <c r="S104" s="29">
        <f t="shared" si="24"/>
        <v>0</v>
      </c>
      <c r="T104" s="29">
        <f t="shared" si="33"/>
        <v>0</v>
      </c>
      <c r="U104">
        <f t="shared" si="34"/>
        <v>0</v>
      </c>
      <c r="V104" s="29">
        <f t="shared" si="35"/>
        <v>0</v>
      </c>
      <c r="W104" s="29">
        <f t="shared" si="25"/>
        <v>0</v>
      </c>
      <c r="X104" s="29">
        <f t="shared" si="36"/>
        <v>0</v>
      </c>
      <c r="Y104">
        <f t="shared" si="37"/>
        <v>0</v>
      </c>
    </row>
    <row r="105" spans="1:25" x14ac:dyDescent="0.25">
      <c r="A105" s="4" t="s">
        <v>40</v>
      </c>
      <c r="B105" s="7" t="s">
        <v>74</v>
      </c>
      <c r="C105" s="2" t="s">
        <v>858</v>
      </c>
      <c r="D105">
        <f>VLOOKUP(B105,'Model allocations'!$A$1:$L$317,4,FALSE)</f>
        <v>16865.763689402575</v>
      </c>
      <c r="E105" s="31">
        <f>VLOOKUP(B105,'Initial adjusted formula count'!$A$1:$P$317,12,FALSE)</f>
        <v>0.20059580587053799</v>
      </c>
      <c r="F105">
        <f>VLOOKUP(B105,'Model allocations'!$A$1:$L$317,9,FALSE)</f>
        <v>19156.223651956443</v>
      </c>
      <c r="G105" s="30">
        <f t="shared" si="26"/>
        <v>0.9</v>
      </c>
      <c r="H105">
        <f t="shared" si="27"/>
        <v>15179.187320462317</v>
      </c>
      <c r="I105">
        <f t="shared" si="19"/>
        <v>0</v>
      </c>
      <c r="J105">
        <f t="shared" si="20"/>
        <v>19156.223651956443</v>
      </c>
      <c r="K105">
        <f t="shared" si="21"/>
        <v>19140.128895899343</v>
      </c>
      <c r="L105">
        <f t="shared" si="28"/>
        <v>19140.128895899343</v>
      </c>
      <c r="M105">
        <f t="shared" si="22"/>
        <v>0</v>
      </c>
      <c r="N105" s="29">
        <f t="shared" si="29"/>
        <v>19140.128895899343</v>
      </c>
      <c r="O105" s="29">
        <f t="shared" si="23"/>
        <v>19135.327222341155</v>
      </c>
      <c r="P105" s="29">
        <f t="shared" si="30"/>
        <v>19135.327222341155</v>
      </c>
      <c r="Q105">
        <f t="shared" si="31"/>
        <v>0</v>
      </c>
      <c r="R105" s="29">
        <f t="shared" si="32"/>
        <v>19135.327222341155</v>
      </c>
      <c r="S105" s="29">
        <f t="shared" si="24"/>
        <v>19135.327222341155</v>
      </c>
      <c r="T105" s="29">
        <f t="shared" si="33"/>
        <v>19135.327222341155</v>
      </c>
      <c r="U105">
        <f t="shared" si="34"/>
        <v>0</v>
      </c>
      <c r="V105" s="29">
        <f t="shared" si="35"/>
        <v>19135.327222341155</v>
      </c>
      <c r="W105" s="29">
        <f t="shared" si="25"/>
        <v>19135.327222341155</v>
      </c>
      <c r="X105" s="29">
        <f t="shared" si="36"/>
        <v>19135.327222341155</v>
      </c>
      <c r="Y105">
        <f t="shared" si="37"/>
        <v>0</v>
      </c>
    </row>
    <row r="106" spans="1:25" x14ac:dyDescent="0.25">
      <c r="A106" s="4" t="s">
        <v>44</v>
      </c>
      <c r="B106" s="7" t="s">
        <v>75</v>
      </c>
      <c r="C106" s="2" t="s">
        <v>859</v>
      </c>
      <c r="D106">
        <f>VLOOKUP(B106,'Model allocations'!$A$1:$L$317,4,FALSE)</f>
        <v>12700.742778300097</v>
      </c>
      <c r="E106" s="31">
        <f>VLOOKUP(B106,'Initial adjusted formula count'!$A$1:$P$317,12,FALSE)</f>
        <v>0.18899764894447399</v>
      </c>
      <c r="F106">
        <f>VLOOKUP(B106,'Model allocations'!$A$1:$L$317,9,FALSE)</f>
        <v>14097.161619243896</v>
      </c>
      <c r="G106" s="30">
        <f t="shared" si="26"/>
        <v>0.9</v>
      </c>
      <c r="H106">
        <f t="shared" si="27"/>
        <v>11430.668500470087</v>
      </c>
      <c r="I106">
        <f t="shared" si="19"/>
        <v>0</v>
      </c>
      <c r="J106">
        <f t="shared" si="20"/>
        <v>14097.161619243896</v>
      </c>
      <c r="K106">
        <f t="shared" si="21"/>
        <v>14085.317407071312</v>
      </c>
      <c r="L106">
        <f t="shared" si="28"/>
        <v>14085.317407071312</v>
      </c>
      <c r="M106">
        <f t="shared" si="22"/>
        <v>0</v>
      </c>
      <c r="N106" s="29">
        <f t="shared" si="29"/>
        <v>14085.317407071312</v>
      </c>
      <c r="O106" s="29">
        <f t="shared" si="23"/>
        <v>14081.783831277749</v>
      </c>
      <c r="P106" s="29">
        <f t="shared" si="30"/>
        <v>14081.783831277749</v>
      </c>
      <c r="Q106">
        <f t="shared" si="31"/>
        <v>0</v>
      </c>
      <c r="R106" s="29">
        <f t="shared" si="32"/>
        <v>14081.783831277749</v>
      </c>
      <c r="S106" s="29">
        <f t="shared" si="24"/>
        <v>14081.783831277748</v>
      </c>
      <c r="T106" s="29">
        <f t="shared" si="33"/>
        <v>14081.783831277748</v>
      </c>
      <c r="U106">
        <f t="shared" si="34"/>
        <v>0</v>
      </c>
      <c r="V106" s="29">
        <f t="shared" si="35"/>
        <v>14081.783831277748</v>
      </c>
      <c r="W106" s="29">
        <f t="shared" si="25"/>
        <v>14081.783831277748</v>
      </c>
      <c r="X106" s="29">
        <f t="shared" si="36"/>
        <v>14081.783831277748</v>
      </c>
      <c r="Y106">
        <f t="shared" si="37"/>
        <v>0</v>
      </c>
    </row>
    <row r="107" spans="1:25" x14ac:dyDescent="0.25">
      <c r="A107" s="4" t="s">
        <v>860</v>
      </c>
      <c r="B107" s="7" t="s">
        <v>426</v>
      </c>
      <c r="C107" s="2" t="s">
        <v>861</v>
      </c>
      <c r="D107">
        <f>VLOOKUP(B107,'Model allocations'!$A$1:$L$317,4,FALSE)</f>
        <v>10200.968382984745</v>
      </c>
      <c r="E107" s="31">
        <f>VLOOKUP(B107,'Initial adjusted formula count'!$A$1:$P$317,12,FALSE)</f>
        <v>0.29797979797979801</v>
      </c>
      <c r="F107">
        <f>VLOOKUP(B107,'Model allocations'!$A$1:$L$317,9,FALSE)</f>
        <v>13805.618561562811</v>
      </c>
      <c r="G107" s="30">
        <f t="shared" si="26"/>
        <v>0.9</v>
      </c>
      <c r="H107">
        <f t="shared" si="27"/>
        <v>9180.8715446862716</v>
      </c>
      <c r="I107">
        <f t="shared" si="19"/>
        <v>0</v>
      </c>
      <c r="J107">
        <f t="shared" si="20"/>
        <v>13805.618561562811</v>
      </c>
      <c r="K107">
        <f t="shared" si="21"/>
        <v>13794.019299255022</v>
      </c>
      <c r="L107">
        <f t="shared" si="28"/>
        <v>13794.019299255022</v>
      </c>
      <c r="M107">
        <f t="shared" si="22"/>
        <v>0</v>
      </c>
      <c r="N107" s="29">
        <f t="shared" si="29"/>
        <v>13794.019299255022</v>
      </c>
      <c r="O107" s="29">
        <f t="shared" si="23"/>
        <v>13790.55880125678</v>
      </c>
      <c r="P107" s="29">
        <f t="shared" si="30"/>
        <v>13790.55880125678</v>
      </c>
      <c r="Q107">
        <f t="shared" si="31"/>
        <v>0</v>
      </c>
      <c r="R107" s="29">
        <f t="shared" si="32"/>
        <v>13790.55880125678</v>
      </c>
      <c r="S107" s="29">
        <f t="shared" si="24"/>
        <v>13790.558801256777</v>
      </c>
      <c r="T107" s="29">
        <f t="shared" si="33"/>
        <v>13790.558801256777</v>
      </c>
      <c r="U107">
        <f t="shared" si="34"/>
        <v>0</v>
      </c>
      <c r="V107" s="29">
        <f t="shared" si="35"/>
        <v>13790.558801256777</v>
      </c>
      <c r="W107" s="29">
        <f t="shared" si="25"/>
        <v>13790.558801256777</v>
      </c>
      <c r="X107" s="29">
        <f t="shared" si="36"/>
        <v>13790.558801256777</v>
      </c>
      <c r="Y107">
        <f t="shared" si="37"/>
        <v>0</v>
      </c>
    </row>
    <row r="108" spans="1:25" x14ac:dyDescent="0.25">
      <c r="A108" s="4" t="s">
        <v>862</v>
      </c>
      <c r="B108" s="7" t="s">
        <v>428</v>
      </c>
      <c r="C108" s="2" t="s">
        <v>863</v>
      </c>
      <c r="D108">
        <f>VLOOKUP(B108,'Model allocations'!$A$1:$L$317,4,FALSE)</f>
        <v>2283.3329450595575</v>
      </c>
      <c r="E108" s="31">
        <f>VLOOKUP(B108,'Initial adjusted formula count'!$A$1:$P$317,12,FALSE)</f>
        <v>9.2592592592592601E-2</v>
      </c>
      <c r="F108">
        <f>VLOOKUP(B108,'Model allocations'!$A$1:$L$317,9,FALSE)</f>
        <v>1940.8330033006239</v>
      </c>
      <c r="G108" s="30">
        <f t="shared" si="26"/>
        <v>0.85</v>
      </c>
      <c r="H108">
        <f t="shared" si="27"/>
        <v>1940.8330033006239</v>
      </c>
      <c r="I108">
        <f t="shared" si="19"/>
        <v>0</v>
      </c>
      <c r="J108">
        <f t="shared" si="20"/>
        <v>1940.8330033006239</v>
      </c>
      <c r="K108">
        <f t="shared" si="21"/>
        <v>1939.2023461156155</v>
      </c>
      <c r="L108">
        <f t="shared" si="28"/>
        <v>1939.2023461156155</v>
      </c>
      <c r="M108">
        <f t="shared" si="22"/>
        <v>1940.8330033006239</v>
      </c>
      <c r="N108" s="29">
        <f t="shared" si="29"/>
        <v>0</v>
      </c>
      <c r="O108" s="29">
        <f t="shared" si="23"/>
        <v>0</v>
      </c>
      <c r="P108" s="29">
        <f t="shared" si="30"/>
        <v>1940.8330033006239</v>
      </c>
      <c r="Q108">
        <f t="shared" si="31"/>
        <v>0</v>
      </c>
      <c r="R108" s="29">
        <f t="shared" si="32"/>
        <v>0</v>
      </c>
      <c r="S108" s="29">
        <f t="shared" si="24"/>
        <v>0</v>
      </c>
      <c r="T108" s="29">
        <f t="shared" si="33"/>
        <v>1940.8330033006239</v>
      </c>
      <c r="U108">
        <f t="shared" si="34"/>
        <v>0</v>
      </c>
      <c r="V108" s="29">
        <f t="shared" si="35"/>
        <v>0</v>
      </c>
      <c r="W108" s="29">
        <f t="shared" si="25"/>
        <v>0</v>
      </c>
      <c r="X108" s="29">
        <f t="shared" si="36"/>
        <v>1940.8330033006239</v>
      </c>
      <c r="Y108">
        <f t="shared" si="37"/>
        <v>0</v>
      </c>
    </row>
    <row r="109" spans="1:25" x14ac:dyDescent="0.25">
      <c r="A109" s="4" t="s">
        <v>864</v>
      </c>
      <c r="B109" s="7" t="s">
        <v>143</v>
      </c>
      <c r="C109" s="2" t="s">
        <v>865</v>
      </c>
      <c r="D109">
        <f>VLOOKUP(B109,'Model allocations'!$A$1:$L$317,4,FALSE)</f>
        <v>0</v>
      </c>
      <c r="E109" s="31">
        <f>VLOOKUP(B109,'Initial adjusted formula count'!$A$1:$P$317,12,FALSE)</f>
        <v>4.0799333888426298E-2</v>
      </c>
      <c r="F109">
        <f>VLOOKUP(B109,'Model allocations'!$A$1:$L$317,9,FALSE)</f>
        <v>0</v>
      </c>
      <c r="G109" s="30">
        <f t="shared" si="26"/>
        <v>0.85</v>
      </c>
      <c r="H109">
        <f t="shared" si="27"/>
        <v>0</v>
      </c>
      <c r="I109">
        <f t="shared" si="19"/>
        <v>0</v>
      </c>
      <c r="J109">
        <f t="shared" si="20"/>
        <v>0</v>
      </c>
      <c r="K109">
        <f t="shared" si="21"/>
        <v>0</v>
      </c>
      <c r="L109">
        <f t="shared" si="28"/>
        <v>0</v>
      </c>
      <c r="M109">
        <f t="shared" si="22"/>
        <v>0</v>
      </c>
      <c r="N109" s="29">
        <f t="shared" si="29"/>
        <v>0</v>
      </c>
      <c r="O109" s="29">
        <f t="shared" si="23"/>
        <v>0</v>
      </c>
      <c r="P109" s="29">
        <f t="shared" si="30"/>
        <v>0</v>
      </c>
      <c r="Q109">
        <f t="shared" si="31"/>
        <v>0</v>
      </c>
      <c r="R109" s="29">
        <f t="shared" si="32"/>
        <v>0</v>
      </c>
      <c r="S109" s="29">
        <f t="shared" si="24"/>
        <v>0</v>
      </c>
      <c r="T109" s="29">
        <f t="shared" si="33"/>
        <v>0</v>
      </c>
      <c r="U109">
        <f t="shared" si="34"/>
        <v>0</v>
      </c>
      <c r="V109" s="29">
        <f t="shared" si="35"/>
        <v>0</v>
      </c>
      <c r="W109" s="29">
        <f t="shared" si="25"/>
        <v>0</v>
      </c>
      <c r="X109" s="29">
        <f t="shared" si="36"/>
        <v>0</v>
      </c>
      <c r="Y109">
        <f t="shared" si="37"/>
        <v>0</v>
      </c>
    </row>
    <row r="110" spans="1:25" x14ac:dyDescent="0.25">
      <c r="A110" s="4" t="s">
        <v>866</v>
      </c>
      <c r="B110" s="7" t="s">
        <v>145</v>
      </c>
      <c r="C110" s="2" t="s">
        <v>867</v>
      </c>
      <c r="D110">
        <f>VLOOKUP(B110,'Model allocations'!$A$1:$L$317,4,FALSE)</f>
        <v>4987.140098348098</v>
      </c>
      <c r="E110" s="31">
        <f>VLOOKUP(B110,'Initial adjusted formula count'!$A$1:$P$317,12,FALSE)</f>
        <v>0.116666666666667</v>
      </c>
      <c r="F110">
        <f>VLOOKUP(B110,'Model allocations'!$A$1:$L$317,9,FALSE)</f>
        <v>4239.0690835958831</v>
      </c>
      <c r="G110" s="30">
        <f t="shared" si="26"/>
        <v>0.85</v>
      </c>
      <c r="H110">
        <f t="shared" si="27"/>
        <v>4239.0690835958831</v>
      </c>
      <c r="I110">
        <f t="shared" si="19"/>
        <v>0</v>
      </c>
      <c r="J110">
        <f t="shared" si="20"/>
        <v>4239.0690835958831</v>
      </c>
      <c r="K110">
        <f t="shared" si="21"/>
        <v>4235.5074848147633</v>
      </c>
      <c r="L110">
        <f t="shared" si="28"/>
        <v>4235.5074848147633</v>
      </c>
      <c r="M110">
        <f t="shared" si="22"/>
        <v>4239.0690835958831</v>
      </c>
      <c r="N110" s="29">
        <f t="shared" si="29"/>
        <v>0</v>
      </c>
      <c r="O110" s="29">
        <f t="shared" si="23"/>
        <v>0</v>
      </c>
      <c r="P110" s="29">
        <f t="shared" si="30"/>
        <v>4239.0690835958831</v>
      </c>
      <c r="Q110">
        <f t="shared" si="31"/>
        <v>0</v>
      </c>
      <c r="R110" s="29">
        <f t="shared" si="32"/>
        <v>0</v>
      </c>
      <c r="S110" s="29">
        <f t="shared" si="24"/>
        <v>0</v>
      </c>
      <c r="T110" s="29">
        <f t="shared" si="33"/>
        <v>4239.0690835958831</v>
      </c>
      <c r="U110">
        <f t="shared" si="34"/>
        <v>0</v>
      </c>
      <c r="V110" s="29">
        <f t="shared" si="35"/>
        <v>0</v>
      </c>
      <c r="W110" s="29">
        <f t="shared" si="25"/>
        <v>0</v>
      </c>
      <c r="X110" s="29">
        <f t="shared" si="36"/>
        <v>4239.0690835958831</v>
      </c>
      <c r="Y110">
        <f t="shared" si="37"/>
        <v>0</v>
      </c>
    </row>
    <row r="111" spans="1:25" x14ac:dyDescent="0.25">
      <c r="A111" s="4" t="s">
        <v>868</v>
      </c>
      <c r="B111" s="7" t="s">
        <v>147</v>
      </c>
      <c r="C111" s="2" t="s">
        <v>869</v>
      </c>
      <c r="D111">
        <f>VLOOKUP(B111,'Model allocations'!$A$1:$L$317,4,FALSE)</f>
        <v>0</v>
      </c>
      <c r="E111" s="31">
        <f>VLOOKUP(B111,'Initial adjusted formula count'!$A$1:$P$317,12,FALSE)</f>
        <v>7.7147016011644795E-2</v>
      </c>
      <c r="F111">
        <f>VLOOKUP(B111,'Model allocations'!$A$1:$L$317,9,FALSE)</f>
        <v>0</v>
      </c>
      <c r="G111" s="30">
        <f t="shared" si="26"/>
        <v>0.85</v>
      </c>
      <c r="H111">
        <f t="shared" si="27"/>
        <v>0</v>
      </c>
      <c r="I111">
        <f t="shared" si="19"/>
        <v>0</v>
      </c>
      <c r="J111">
        <f t="shared" si="20"/>
        <v>0</v>
      </c>
      <c r="K111">
        <f t="shared" si="21"/>
        <v>0</v>
      </c>
      <c r="L111">
        <f t="shared" si="28"/>
        <v>0</v>
      </c>
      <c r="M111">
        <f t="shared" si="22"/>
        <v>0</v>
      </c>
      <c r="N111" s="29">
        <f t="shared" si="29"/>
        <v>0</v>
      </c>
      <c r="O111" s="29">
        <f t="shared" si="23"/>
        <v>0</v>
      </c>
      <c r="P111" s="29">
        <f t="shared" si="30"/>
        <v>0</v>
      </c>
      <c r="Q111">
        <f t="shared" si="31"/>
        <v>0</v>
      </c>
      <c r="R111" s="29">
        <f t="shared" si="32"/>
        <v>0</v>
      </c>
      <c r="S111" s="29">
        <f t="shared" si="24"/>
        <v>0</v>
      </c>
      <c r="T111" s="29">
        <f t="shared" si="33"/>
        <v>0</v>
      </c>
      <c r="U111">
        <f t="shared" si="34"/>
        <v>0</v>
      </c>
      <c r="V111" s="29">
        <f t="shared" si="35"/>
        <v>0</v>
      </c>
      <c r="W111" s="29">
        <f t="shared" si="25"/>
        <v>0</v>
      </c>
      <c r="X111" s="29">
        <f t="shared" si="36"/>
        <v>0</v>
      </c>
      <c r="Y111">
        <f t="shared" si="37"/>
        <v>0</v>
      </c>
    </row>
    <row r="112" spans="1:25" x14ac:dyDescent="0.25">
      <c r="A112" s="4" t="s">
        <v>870</v>
      </c>
      <c r="B112" s="7" t="s">
        <v>430</v>
      </c>
      <c r="C112" s="2" t="s">
        <v>871</v>
      </c>
      <c r="D112">
        <f>VLOOKUP(B112,'Model allocations'!$A$1:$L$317,4,FALSE)</f>
        <v>7027.3337749450511</v>
      </c>
      <c r="E112" s="31">
        <f>VLOOKUP(B112,'Initial adjusted formula count'!$A$1:$P$317,12,FALSE)</f>
        <v>0.23148148148148101</v>
      </c>
      <c r="F112">
        <f>VLOOKUP(B112,'Model allocations'!$A$1:$L$317,9,FALSE)</f>
        <v>6324.6003974505466</v>
      </c>
      <c r="G112" s="30">
        <f t="shared" si="26"/>
        <v>0.9</v>
      </c>
      <c r="H112">
        <f t="shared" si="27"/>
        <v>6324.6003974505466</v>
      </c>
      <c r="I112">
        <f t="shared" si="19"/>
        <v>0</v>
      </c>
      <c r="J112">
        <f t="shared" si="20"/>
        <v>6324.6003974505466</v>
      </c>
      <c r="K112">
        <f t="shared" si="21"/>
        <v>6319.2865682530464</v>
      </c>
      <c r="L112">
        <f t="shared" si="28"/>
        <v>6319.2865682530464</v>
      </c>
      <c r="M112">
        <f t="shared" si="22"/>
        <v>6324.6003974505466</v>
      </c>
      <c r="N112" s="29">
        <f t="shared" si="29"/>
        <v>0</v>
      </c>
      <c r="O112" s="29">
        <f t="shared" si="23"/>
        <v>0</v>
      </c>
      <c r="P112" s="29">
        <f t="shared" si="30"/>
        <v>6324.6003974505466</v>
      </c>
      <c r="Q112">
        <f t="shared" si="31"/>
        <v>0</v>
      </c>
      <c r="R112" s="29">
        <f t="shared" si="32"/>
        <v>0</v>
      </c>
      <c r="S112" s="29">
        <f t="shared" si="24"/>
        <v>0</v>
      </c>
      <c r="T112" s="29">
        <f t="shared" si="33"/>
        <v>6324.6003974505466</v>
      </c>
      <c r="U112">
        <f t="shared" si="34"/>
        <v>0</v>
      </c>
      <c r="V112" s="29">
        <f t="shared" si="35"/>
        <v>0</v>
      </c>
      <c r="W112" s="29">
        <f t="shared" si="25"/>
        <v>0</v>
      </c>
      <c r="X112" s="29">
        <f t="shared" si="36"/>
        <v>6324.6003974505466</v>
      </c>
      <c r="Y112">
        <f t="shared" si="37"/>
        <v>0</v>
      </c>
    </row>
    <row r="113" spans="1:25" x14ac:dyDescent="0.25">
      <c r="A113" s="8" t="s">
        <v>872</v>
      </c>
      <c r="B113" s="7" t="s">
        <v>432</v>
      </c>
      <c r="C113" s="2" t="s">
        <v>873</v>
      </c>
      <c r="D113">
        <f>VLOOKUP(B113,'Model allocations'!$A$1:$L$317,4,FALSE)</f>
        <v>210366.63687577451</v>
      </c>
      <c r="E113" s="31">
        <f>VLOOKUP(B113,'Initial adjusted formula count'!$A$1:$P$317,12,FALSE)</f>
        <v>0.163636363636364</v>
      </c>
      <c r="F113">
        <f>VLOOKUP(B113,'Model allocations'!$A$1:$L$317,9,FALSE)</f>
        <v>212700.12326204393</v>
      </c>
      <c r="G113" s="30">
        <f t="shared" si="26"/>
        <v>0.9</v>
      </c>
      <c r="H113">
        <f t="shared" si="27"/>
        <v>189329.97318819707</v>
      </c>
      <c r="I113">
        <f t="shared" si="19"/>
        <v>0</v>
      </c>
      <c r="J113">
        <f t="shared" si="20"/>
        <v>212700.12326204393</v>
      </c>
      <c r="K113">
        <f t="shared" si="21"/>
        <v>212521.41598343747</v>
      </c>
      <c r="L113">
        <f t="shared" si="28"/>
        <v>212521.41598343747</v>
      </c>
      <c r="M113">
        <f t="shared" si="22"/>
        <v>0</v>
      </c>
      <c r="N113" s="29">
        <f t="shared" si="29"/>
        <v>212521.41598343747</v>
      </c>
      <c r="O113" s="29">
        <f t="shared" si="23"/>
        <v>212468.10085326119</v>
      </c>
      <c r="P113" s="29">
        <f t="shared" si="30"/>
        <v>212468.10085326119</v>
      </c>
      <c r="Q113">
        <f t="shared" si="31"/>
        <v>0</v>
      </c>
      <c r="R113" s="29">
        <f t="shared" si="32"/>
        <v>212468.10085326119</v>
      </c>
      <c r="S113" s="29">
        <f t="shared" si="24"/>
        <v>212468.10085326113</v>
      </c>
      <c r="T113" s="29">
        <f t="shared" si="33"/>
        <v>212468.10085326113</v>
      </c>
      <c r="U113">
        <f t="shared" si="34"/>
        <v>0</v>
      </c>
      <c r="V113" s="29">
        <f t="shared" si="35"/>
        <v>212468.10085326113</v>
      </c>
      <c r="W113" s="29">
        <f t="shared" si="25"/>
        <v>212468.10085326113</v>
      </c>
      <c r="X113" s="29">
        <f t="shared" si="36"/>
        <v>212468.10085326113</v>
      </c>
      <c r="Y113">
        <f t="shared" si="37"/>
        <v>0</v>
      </c>
    </row>
    <row r="114" spans="1:25" x14ac:dyDescent="0.25">
      <c r="A114" s="4" t="s">
        <v>874</v>
      </c>
      <c r="B114" s="7" t="s">
        <v>434</v>
      </c>
      <c r="C114" s="2" t="s">
        <v>875</v>
      </c>
      <c r="D114">
        <f>VLOOKUP(B114,'Model allocations'!$A$1:$L$317,4,FALSE)</f>
        <v>464490.35096860031</v>
      </c>
      <c r="E114" s="31">
        <f>VLOOKUP(B114,'Initial adjusted formula count'!$A$1:$P$317,12,FALSE)</f>
        <v>0.145737855178735</v>
      </c>
      <c r="F114">
        <f>VLOOKUP(B114,'Model allocations'!$A$1:$L$317,9,FALSE)</f>
        <v>394816.79832331027</v>
      </c>
      <c r="G114" s="30">
        <f t="shared" si="26"/>
        <v>0.85</v>
      </c>
      <c r="H114">
        <f t="shared" si="27"/>
        <v>394816.79832331027</v>
      </c>
      <c r="I114">
        <f t="shared" si="19"/>
        <v>0</v>
      </c>
      <c r="J114">
        <f t="shared" si="20"/>
        <v>394816.79832331027</v>
      </c>
      <c r="K114">
        <f t="shared" si="21"/>
        <v>394485.07949543936</v>
      </c>
      <c r="L114">
        <f t="shared" si="28"/>
        <v>394485.07949543936</v>
      </c>
      <c r="M114">
        <f t="shared" si="22"/>
        <v>394816.79832331027</v>
      </c>
      <c r="N114" s="29">
        <f t="shared" si="29"/>
        <v>0</v>
      </c>
      <c r="O114" s="29">
        <f t="shared" si="23"/>
        <v>0</v>
      </c>
      <c r="P114" s="29">
        <f t="shared" si="30"/>
        <v>394816.79832331027</v>
      </c>
      <c r="Q114">
        <f t="shared" si="31"/>
        <v>0</v>
      </c>
      <c r="R114" s="29">
        <f t="shared" si="32"/>
        <v>0</v>
      </c>
      <c r="S114" s="29">
        <f t="shared" si="24"/>
        <v>0</v>
      </c>
      <c r="T114" s="29">
        <f t="shared" si="33"/>
        <v>394816.79832331027</v>
      </c>
      <c r="U114">
        <f t="shared" si="34"/>
        <v>0</v>
      </c>
      <c r="V114" s="29">
        <f t="shared" si="35"/>
        <v>0</v>
      </c>
      <c r="W114" s="29">
        <f t="shared" si="25"/>
        <v>0</v>
      </c>
      <c r="X114" s="29">
        <f t="shared" si="36"/>
        <v>394816.79832331027</v>
      </c>
      <c r="Y114">
        <f t="shared" si="37"/>
        <v>0</v>
      </c>
    </row>
    <row r="115" spans="1:25" x14ac:dyDescent="0.25">
      <c r="A115" s="4" t="s">
        <v>876</v>
      </c>
      <c r="B115" s="7" t="s">
        <v>436</v>
      </c>
      <c r="C115" s="2" t="s">
        <v>877</v>
      </c>
      <c r="D115">
        <f>VLOOKUP(B115,'Model allocations'!$A$1:$L$317,4,FALSE)</f>
        <v>0</v>
      </c>
      <c r="E115" s="31">
        <f>VLOOKUP(B115,'Initial adjusted formula count'!$A$1:$P$317,12,FALSE)</f>
        <v>0.14776951672862501</v>
      </c>
      <c r="F115">
        <f>VLOOKUP(B115,'Model allocations'!$A$1:$L$317,9,FALSE)</f>
        <v>0</v>
      </c>
      <c r="G115" s="30">
        <f t="shared" si="26"/>
        <v>0.85</v>
      </c>
      <c r="H115">
        <f t="shared" si="27"/>
        <v>0</v>
      </c>
      <c r="I115">
        <f t="shared" si="19"/>
        <v>0</v>
      </c>
      <c r="J115">
        <f t="shared" si="20"/>
        <v>0</v>
      </c>
      <c r="K115">
        <f t="shared" si="21"/>
        <v>0</v>
      </c>
      <c r="L115">
        <f t="shared" si="28"/>
        <v>0</v>
      </c>
      <c r="M115">
        <f t="shared" si="22"/>
        <v>0</v>
      </c>
      <c r="N115" s="29">
        <f t="shared" si="29"/>
        <v>0</v>
      </c>
      <c r="O115" s="29">
        <f t="shared" si="23"/>
        <v>0</v>
      </c>
      <c r="P115" s="29">
        <f t="shared" si="30"/>
        <v>0</v>
      </c>
      <c r="Q115">
        <f t="shared" si="31"/>
        <v>0</v>
      </c>
      <c r="R115" s="29">
        <f t="shared" si="32"/>
        <v>0</v>
      </c>
      <c r="S115" s="29">
        <f t="shared" si="24"/>
        <v>0</v>
      </c>
      <c r="T115" s="29">
        <f t="shared" si="33"/>
        <v>0</v>
      </c>
      <c r="U115">
        <f t="shared" si="34"/>
        <v>0</v>
      </c>
      <c r="V115" s="29">
        <f t="shared" si="35"/>
        <v>0</v>
      </c>
      <c r="W115" s="29">
        <f t="shared" si="25"/>
        <v>0</v>
      </c>
      <c r="X115" s="29">
        <f t="shared" si="36"/>
        <v>0</v>
      </c>
      <c r="Y115">
        <f t="shared" si="37"/>
        <v>0</v>
      </c>
    </row>
    <row r="116" spans="1:25" x14ac:dyDescent="0.25">
      <c r="A116" s="4" t="s">
        <v>878</v>
      </c>
      <c r="B116" s="7" t="s">
        <v>438</v>
      </c>
      <c r="C116" s="2" t="s">
        <v>879</v>
      </c>
      <c r="D116">
        <f>VLOOKUP(B116,'Model allocations'!$A$1:$L$317,4,FALSE)</f>
        <v>33776.539756993938</v>
      </c>
      <c r="E116" s="31">
        <f>VLOOKUP(B116,'Initial adjusted formula count'!$A$1:$P$317,12,FALSE)</f>
        <v>0.156282998944034</v>
      </c>
      <c r="F116">
        <f>VLOOKUP(B116,'Model allocations'!$A$1:$L$317,9,FALSE)</f>
        <v>34631.043171377889</v>
      </c>
      <c r="G116" s="30">
        <f t="shared" si="26"/>
        <v>0.9</v>
      </c>
      <c r="H116">
        <f t="shared" si="27"/>
        <v>30398.885781294546</v>
      </c>
      <c r="I116">
        <f t="shared" si="19"/>
        <v>0</v>
      </c>
      <c r="J116">
        <f t="shared" si="20"/>
        <v>34631.043171377889</v>
      </c>
      <c r="K116">
        <f t="shared" si="21"/>
        <v>34601.946716775295</v>
      </c>
      <c r="L116">
        <f t="shared" si="28"/>
        <v>34601.946716775295</v>
      </c>
      <c r="M116">
        <f t="shared" si="22"/>
        <v>0</v>
      </c>
      <c r="N116" s="29">
        <f t="shared" si="29"/>
        <v>34601.946716775295</v>
      </c>
      <c r="O116" s="29">
        <f t="shared" si="23"/>
        <v>34593.266145525471</v>
      </c>
      <c r="P116" s="29">
        <f t="shared" si="30"/>
        <v>34593.266145525471</v>
      </c>
      <c r="Q116">
        <f t="shared" si="31"/>
        <v>0</v>
      </c>
      <c r="R116" s="29">
        <f t="shared" si="32"/>
        <v>34593.266145525471</v>
      </c>
      <c r="S116" s="29">
        <f t="shared" si="24"/>
        <v>34593.266145525464</v>
      </c>
      <c r="T116" s="29">
        <f t="shared" si="33"/>
        <v>34593.266145525464</v>
      </c>
      <c r="U116">
        <f t="shared" si="34"/>
        <v>0</v>
      </c>
      <c r="V116" s="29">
        <f t="shared" si="35"/>
        <v>34593.266145525464</v>
      </c>
      <c r="W116" s="29">
        <f t="shared" si="25"/>
        <v>34593.266145525464</v>
      </c>
      <c r="X116" s="29">
        <f t="shared" si="36"/>
        <v>34593.266145525464</v>
      </c>
      <c r="Y116">
        <f t="shared" si="37"/>
        <v>0</v>
      </c>
    </row>
    <row r="117" spans="1:25" x14ac:dyDescent="0.25">
      <c r="A117" s="8" t="s">
        <v>880</v>
      </c>
      <c r="B117" s="7" t="s">
        <v>440</v>
      </c>
      <c r="C117" s="2" t="s">
        <v>881</v>
      </c>
      <c r="D117">
        <f>VLOOKUP(B117,'Model allocations'!$A$1:$L$317,4,FALSE)</f>
        <v>49281.224125934845</v>
      </c>
      <c r="E117" s="31">
        <f>VLOOKUP(B117,'Initial adjusted formula count'!$A$1:$P$317,12,FALSE)</f>
        <v>0.109152927799886</v>
      </c>
      <c r="F117">
        <f>VLOOKUP(B117,'Model allocations'!$A$1:$L$317,9,FALSE)</f>
        <v>41889.040507044614</v>
      </c>
      <c r="G117" s="30">
        <f t="shared" si="26"/>
        <v>0.85</v>
      </c>
      <c r="H117">
        <f t="shared" si="27"/>
        <v>41889.040507044614</v>
      </c>
      <c r="I117">
        <f t="shared" si="19"/>
        <v>0</v>
      </c>
      <c r="J117">
        <f t="shared" si="20"/>
        <v>41889.040507044614</v>
      </c>
      <c r="K117">
        <f t="shared" si="21"/>
        <v>41853.845997903562</v>
      </c>
      <c r="L117">
        <f t="shared" si="28"/>
        <v>41853.845997903562</v>
      </c>
      <c r="M117">
        <f t="shared" si="22"/>
        <v>41889.040507044614</v>
      </c>
      <c r="N117" s="29">
        <f t="shared" si="29"/>
        <v>0</v>
      </c>
      <c r="O117" s="29">
        <f t="shared" si="23"/>
        <v>0</v>
      </c>
      <c r="P117" s="29">
        <f t="shared" si="30"/>
        <v>41889.040507044614</v>
      </c>
      <c r="Q117">
        <f t="shared" si="31"/>
        <v>0</v>
      </c>
      <c r="R117" s="29">
        <f t="shared" si="32"/>
        <v>0</v>
      </c>
      <c r="S117" s="29">
        <f t="shared" si="24"/>
        <v>0</v>
      </c>
      <c r="T117" s="29">
        <f t="shared" si="33"/>
        <v>41889.040507044614</v>
      </c>
      <c r="U117">
        <f t="shared" si="34"/>
        <v>0</v>
      </c>
      <c r="V117" s="29">
        <f t="shared" si="35"/>
        <v>0</v>
      </c>
      <c r="W117" s="29">
        <f t="shared" si="25"/>
        <v>0</v>
      </c>
      <c r="X117" s="29">
        <f t="shared" si="36"/>
        <v>41889.040507044614</v>
      </c>
      <c r="Y117">
        <f t="shared" si="37"/>
        <v>0</v>
      </c>
    </row>
    <row r="118" spans="1:25" x14ac:dyDescent="0.25">
      <c r="A118" s="4" t="s">
        <v>882</v>
      </c>
      <c r="B118" s="7" t="s">
        <v>278</v>
      </c>
      <c r="C118" s="2" t="s">
        <v>883</v>
      </c>
      <c r="D118">
        <f>VLOOKUP(B118,'Model allocations'!$A$1:$L$317,4,FALSE)</f>
        <v>0</v>
      </c>
      <c r="E118" s="31">
        <f>VLOOKUP(B118,'Initial adjusted formula count'!$A$1:$P$317,12,FALSE)</f>
        <v>9.5046854082998594E-2</v>
      </c>
      <c r="F118">
        <f>VLOOKUP(B118,'Model allocations'!$A$1:$L$317,9,FALSE)</f>
        <v>0</v>
      </c>
      <c r="G118" s="30">
        <f t="shared" si="26"/>
        <v>0.85</v>
      </c>
      <c r="H118">
        <f t="shared" si="27"/>
        <v>0</v>
      </c>
      <c r="I118">
        <f t="shared" si="19"/>
        <v>0</v>
      </c>
      <c r="J118">
        <f t="shared" si="20"/>
        <v>0</v>
      </c>
      <c r="K118">
        <f t="shared" si="21"/>
        <v>0</v>
      </c>
      <c r="L118">
        <f t="shared" si="28"/>
        <v>0</v>
      </c>
      <c r="M118">
        <f t="shared" si="22"/>
        <v>0</v>
      </c>
      <c r="N118" s="29">
        <f t="shared" si="29"/>
        <v>0</v>
      </c>
      <c r="O118" s="29">
        <f t="shared" si="23"/>
        <v>0</v>
      </c>
      <c r="P118" s="29">
        <f t="shared" si="30"/>
        <v>0</v>
      </c>
      <c r="Q118">
        <f t="shared" si="31"/>
        <v>0</v>
      </c>
      <c r="R118" s="29">
        <f t="shared" si="32"/>
        <v>0</v>
      </c>
      <c r="S118" s="29">
        <f t="shared" si="24"/>
        <v>0</v>
      </c>
      <c r="T118" s="29">
        <f t="shared" si="33"/>
        <v>0</v>
      </c>
      <c r="U118">
        <f t="shared" si="34"/>
        <v>0</v>
      </c>
      <c r="V118" s="29">
        <f t="shared" si="35"/>
        <v>0</v>
      </c>
      <c r="W118" s="29">
        <f t="shared" si="25"/>
        <v>0</v>
      </c>
      <c r="X118" s="29">
        <f t="shared" si="36"/>
        <v>0</v>
      </c>
      <c r="Y118">
        <f t="shared" si="37"/>
        <v>0</v>
      </c>
    </row>
    <row r="119" spans="1:25" x14ac:dyDescent="0.25">
      <c r="A119" s="4" t="s">
        <v>884</v>
      </c>
      <c r="B119" s="7" t="s">
        <v>441</v>
      </c>
      <c r="C119" s="2" t="s">
        <v>885</v>
      </c>
      <c r="D119">
        <f>VLOOKUP(B119,'Model allocations'!$A$1:$L$317,4,FALSE)</f>
        <v>3173.6346080397011</v>
      </c>
      <c r="E119" s="31">
        <f>VLOOKUP(B119,'Initial adjusted formula count'!$A$1:$P$317,12,FALSE)</f>
        <v>6.0975609756097601E-2</v>
      </c>
      <c r="F119">
        <f>VLOOKUP(B119,'Model allocations'!$A$1:$L$317,9,FALSE)</f>
        <v>2697.5894168337459</v>
      </c>
      <c r="G119" s="30">
        <f t="shared" si="26"/>
        <v>0.85</v>
      </c>
      <c r="H119">
        <f t="shared" si="27"/>
        <v>2697.5894168337459</v>
      </c>
      <c r="I119">
        <f t="shared" si="19"/>
        <v>0</v>
      </c>
      <c r="J119">
        <f t="shared" si="20"/>
        <v>2697.5894168337459</v>
      </c>
      <c r="K119">
        <f t="shared" si="21"/>
        <v>2695.3229448821239</v>
      </c>
      <c r="L119">
        <f t="shared" si="28"/>
        <v>2695.3229448821239</v>
      </c>
      <c r="M119">
        <f t="shared" si="22"/>
        <v>2697.5894168337459</v>
      </c>
      <c r="N119" s="29">
        <f t="shared" si="29"/>
        <v>0</v>
      </c>
      <c r="O119" s="29">
        <f t="shared" si="23"/>
        <v>0</v>
      </c>
      <c r="P119" s="29">
        <f t="shared" si="30"/>
        <v>2697.5894168337459</v>
      </c>
      <c r="Q119">
        <f t="shared" si="31"/>
        <v>0</v>
      </c>
      <c r="R119" s="29">
        <f t="shared" si="32"/>
        <v>0</v>
      </c>
      <c r="S119" s="29">
        <f t="shared" si="24"/>
        <v>0</v>
      </c>
      <c r="T119" s="29">
        <f t="shared" si="33"/>
        <v>2697.5894168337459</v>
      </c>
      <c r="U119">
        <f t="shared" si="34"/>
        <v>0</v>
      </c>
      <c r="V119" s="29">
        <f t="shared" si="35"/>
        <v>0</v>
      </c>
      <c r="W119" s="29">
        <f t="shared" si="25"/>
        <v>0</v>
      </c>
      <c r="X119" s="29">
        <f t="shared" si="36"/>
        <v>2697.5894168337459</v>
      </c>
      <c r="Y119">
        <f t="shared" si="37"/>
        <v>0</v>
      </c>
    </row>
    <row r="120" spans="1:25" x14ac:dyDescent="0.25">
      <c r="A120" s="4" t="s">
        <v>886</v>
      </c>
      <c r="B120" s="7" t="s">
        <v>149</v>
      </c>
      <c r="C120" s="2" t="s">
        <v>887</v>
      </c>
      <c r="D120">
        <f>VLOOKUP(B120,'Model allocations'!$A$1:$L$317,4,FALSE)</f>
        <v>0</v>
      </c>
      <c r="E120" s="31">
        <f>VLOOKUP(B120,'Initial adjusted formula count'!$A$1:$P$317,12,FALSE)</f>
        <v>4.3791859866048402E-2</v>
      </c>
      <c r="F120">
        <f>VLOOKUP(B120,'Model allocations'!$A$1:$L$317,9,FALSE)</f>
        <v>0</v>
      </c>
      <c r="G120" s="30">
        <f t="shared" si="26"/>
        <v>0.85</v>
      </c>
      <c r="H120">
        <f t="shared" si="27"/>
        <v>0</v>
      </c>
      <c r="I120">
        <f t="shared" si="19"/>
        <v>0</v>
      </c>
      <c r="J120">
        <f t="shared" si="20"/>
        <v>0</v>
      </c>
      <c r="K120">
        <f t="shared" si="21"/>
        <v>0</v>
      </c>
      <c r="L120">
        <f t="shared" si="28"/>
        <v>0</v>
      </c>
      <c r="M120">
        <f t="shared" si="22"/>
        <v>0</v>
      </c>
      <c r="N120" s="29">
        <f t="shared" si="29"/>
        <v>0</v>
      </c>
      <c r="O120" s="29">
        <f t="shared" si="23"/>
        <v>0</v>
      </c>
      <c r="P120" s="29">
        <f t="shared" si="30"/>
        <v>0</v>
      </c>
      <c r="Q120">
        <f t="shared" si="31"/>
        <v>0</v>
      </c>
      <c r="R120" s="29">
        <f t="shared" si="32"/>
        <v>0</v>
      </c>
      <c r="S120" s="29">
        <f t="shared" si="24"/>
        <v>0</v>
      </c>
      <c r="T120" s="29">
        <f t="shared" si="33"/>
        <v>0</v>
      </c>
      <c r="U120">
        <f t="shared" si="34"/>
        <v>0</v>
      </c>
      <c r="V120" s="29">
        <f t="shared" si="35"/>
        <v>0</v>
      </c>
      <c r="W120" s="29">
        <f t="shared" si="25"/>
        <v>0</v>
      </c>
      <c r="X120" s="29">
        <f t="shared" si="36"/>
        <v>0</v>
      </c>
      <c r="Y120">
        <f t="shared" si="37"/>
        <v>0</v>
      </c>
    </row>
    <row r="121" spans="1:25" x14ac:dyDescent="0.25">
      <c r="A121" s="4" t="s">
        <v>888</v>
      </c>
      <c r="B121" s="7" t="s">
        <v>280</v>
      </c>
      <c r="C121" s="2" t="s">
        <v>889</v>
      </c>
      <c r="D121">
        <f>VLOOKUP(B121,'Model allocations'!$A$1:$L$317,4,FALSE)</f>
        <v>26090.059831377272</v>
      </c>
      <c r="E121" s="31">
        <f>VLOOKUP(B121,'Initial adjusted formula count'!$A$1:$P$317,12,FALSE)</f>
        <v>0.107508532423208</v>
      </c>
      <c r="F121">
        <f>VLOOKUP(B121,'Model allocations'!$A$1:$L$317,9,FALSE)</f>
        <v>22176.550856670681</v>
      </c>
      <c r="G121" s="30">
        <f t="shared" si="26"/>
        <v>0.85</v>
      </c>
      <c r="H121">
        <f t="shared" si="27"/>
        <v>22176.550856670681</v>
      </c>
      <c r="I121">
        <f t="shared" si="19"/>
        <v>0</v>
      </c>
      <c r="J121">
        <f t="shared" si="20"/>
        <v>22176.550856670681</v>
      </c>
      <c r="K121">
        <f t="shared" si="21"/>
        <v>22157.918469478358</v>
      </c>
      <c r="L121">
        <f t="shared" si="28"/>
        <v>22157.918469478358</v>
      </c>
      <c r="M121">
        <f t="shared" si="22"/>
        <v>22176.550856670681</v>
      </c>
      <c r="N121" s="29">
        <f t="shared" si="29"/>
        <v>0</v>
      </c>
      <c r="O121" s="29">
        <f t="shared" si="23"/>
        <v>0</v>
      </c>
      <c r="P121" s="29">
        <f t="shared" si="30"/>
        <v>22176.550856670681</v>
      </c>
      <c r="Q121">
        <f t="shared" si="31"/>
        <v>0</v>
      </c>
      <c r="R121" s="29">
        <f t="shared" si="32"/>
        <v>0</v>
      </c>
      <c r="S121" s="29">
        <f t="shared" si="24"/>
        <v>0</v>
      </c>
      <c r="T121" s="29">
        <f t="shared" si="33"/>
        <v>22176.550856670681</v>
      </c>
      <c r="U121">
        <f t="shared" si="34"/>
        <v>0</v>
      </c>
      <c r="V121" s="29">
        <f t="shared" si="35"/>
        <v>0</v>
      </c>
      <c r="W121" s="29">
        <f t="shared" si="25"/>
        <v>0</v>
      </c>
      <c r="X121" s="29">
        <f t="shared" si="36"/>
        <v>22176.550856670681</v>
      </c>
      <c r="Y121">
        <f t="shared" si="37"/>
        <v>0</v>
      </c>
    </row>
    <row r="122" spans="1:25" x14ac:dyDescent="0.25">
      <c r="A122" s="4" t="s">
        <v>890</v>
      </c>
      <c r="B122" s="7" t="s">
        <v>443</v>
      </c>
      <c r="C122" s="2" t="s">
        <v>891</v>
      </c>
      <c r="D122">
        <f>VLOOKUP(B122,'Model allocations'!$A$1:$L$317,4,FALSE)</f>
        <v>4146.9903909238847</v>
      </c>
      <c r="E122" s="31">
        <f>VLOOKUP(B122,'Initial adjusted formula count'!$A$1:$P$317,12,FALSE)</f>
        <v>0.18888888888888899</v>
      </c>
      <c r="F122">
        <f>VLOOKUP(B122,'Model allocations'!$A$1:$L$317,9,FALSE)</f>
        <v>3977.8900940096232</v>
      </c>
      <c r="G122" s="30">
        <f t="shared" si="26"/>
        <v>0.9</v>
      </c>
      <c r="H122">
        <f t="shared" si="27"/>
        <v>3732.2913518314963</v>
      </c>
      <c r="I122">
        <f t="shared" si="19"/>
        <v>0</v>
      </c>
      <c r="J122">
        <f t="shared" si="20"/>
        <v>3977.8900940096232</v>
      </c>
      <c r="K122">
        <f t="shared" si="21"/>
        <v>3974.5479336836502</v>
      </c>
      <c r="L122">
        <f t="shared" si="28"/>
        <v>3974.5479336836502</v>
      </c>
      <c r="M122">
        <f t="shared" si="22"/>
        <v>0</v>
      </c>
      <c r="N122" s="29">
        <f t="shared" si="29"/>
        <v>3974.5479336836502</v>
      </c>
      <c r="O122" s="29">
        <f t="shared" si="23"/>
        <v>3973.5508410400889</v>
      </c>
      <c r="P122" s="29">
        <f t="shared" si="30"/>
        <v>3973.5508410400889</v>
      </c>
      <c r="Q122">
        <f t="shared" si="31"/>
        <v>0</v>
      </c>
      <c r="R122" s="29">
        <f t="shared" si="32"/>
        <v>3973.5508410400889</v>
      </c>
      <c r="S122" s="29">
        <f t="shared" si="24"/>
        <v>3973.5508410400885</v>
      </c>
      <c r="T122" s="29">
        <f t="shared" si="33"/>
        <v>3973.5508410400885</v>
      </c>
      <c r="U122">
        <f t="shared" si="34"/>
        <v>0</v>
      </c>
      <c r="V122" s="29">
        <f t="shared" si="35"/>
        <v>3973.5508410400885</v>
      </c>
      <c r="W122" s="29">
        <f t="shared" si="25"/>
        <v>3973.5508410400885</v>
      </c>
      <c r="X122" s="29">
        <f t="shared" si="36"/>
        <v>3973.5508410400885</v>
      </c>
      <c r="Y122">
        <f t="shared" si="37"/>
        <v>0</v>
      </c>
    </row>
    <row r="123" spans="1:25" x14ac:dyDescent="0.25">
      <c r="A123" s="8" t="s">
        <v>892</v>
      </c>
      <c r="B123" s="7" t="s">
        <v>282</v>
      </c>
      <c r="C123" s="2" t="s">
        <v>893</v>
      </c>
      <c r="D123">
        <f>VLOOKUP(B123,'Model allocations'!$A$1:$L$317,4,FALSE)</f>
        <v>0</v>
      </c>
      <c r="E123" s="31">
        <f>VLOOKUP(B123,'Initial adjusted formula count'!$A$1:$P$317,12,FALSE)</f>
        <v>0.134136546184739</v>
      </c>
      <c r="F123">
        <f>VLOOKUP(B123,'Model allocations'!$A$1:$L$317,9,FALSE)</f>
        <v>0</v>
      </c>
      <c r="G123" s="30">
        <f t="shared" si="26"/>
        <v>0.85</v>
      </c>
      <c r="H123">
        <f t="shared" si="27"/>
        <v>0</v>
      </c>
      <c r="I123">
        <f t="shared" si="19"/>
        <v>0</v>
      </c>
      <c r="J123">
        <f t="shared" si="20"/>
        <v>0</v>
      </c>
      <c r="K123">
        <f t="shared" si="21"/>
        <v>0</v>
      </c>
      <c r="L123">
        <f t="shared" si="28"/>
        <v>0</v>
      </c>
      <c r="M123">
        <f t="shared" si="22"/>
        <v>0</v>
      </c>
      <c r="N123" s="29">
        <f t="shared" si="29"/>
        <v>0</v>
      </c>
      <c r="O123" s="29">
        <f t="shared" si="23"/>
        <v>0</v>
      </c>
      <c r="P123" s="29">
        <f t="shared" si="30"/>
        <v>0</v>
      </c>
      <c r="Q123">
        <f t="shared" si="31"/>
        <v>0</v>
      </c>
      <c r="R123" s="29">
        <f t="shared" si="32"/>
        <v>0</v>
      </c>
      <c r="S123" s="29">
        <f t="shared" si="24"/>
        <v>0</v>
      </c>
      <c r="T123" s="29">
        <f t="shared" si="33"/>
        <v>0</v>
      </c>
      <c r="U123">
        <f t="shared" si="34"/>
        <v>0</v>
      </c>
      <c r="V123" s="29">
        <f t="shared" si="35"/>
        <v>0</v>
      </c>
      <c r="W123" s="29">
        <f t="shared" si="25"/>
        <v>0</v>
      </c>
      <c r="X123" s="29">
        <f t="shared" si="36"/>
        <v>0</v>
      </c>
      <c r="Y123">
        <f t="shared" si="37"/>
        <v>0</v>
      </c>
    </row>
    <row r="124" spans="1:25" x14ac:dyDescent="0.25">
      <c r="A124" s="4" t="s">
        <v>894</v>
      </c>
      <c r="B124" s="7" t="s">
        <v>151</v>
      </c>
      <c r="C124" s="2" t="s">
        <v>895</v>
      </c>
      <c r="D124">
        <f>VLOOKUP(B124,'Model allocations'!$A$1:$L$317,4,FALSE)</f>
        <v>0</v>
      </c>
      <c r="E124" s="31">
        <f>VLOOKUP(B124,'Initial adjusted formula count'!$A$1:$P$317,12,FALSE)</f>
        <v>6.5718157181571799E-2</v>
      </c>
      <c r="F124">
        <f>VLOOKUP(B124,'Model allocations'!$A$1:$L$317,9,FALSE)</f>
        <v>0</v>
      </c>
      <c r="G124" s="30">
        <f t="shared" si="26"/>
        <v>0.85</v>
      </c>
      <c r="H124">
        <f t="shared" si="27"/>
        <v>0</v>
      </c>
      <c r="I124">
        <f t="shared" si="19"/>
        <v>0</v>
      </c>
      <c r="J124">
        <f t="shared" si="20"/>
        <v>0</v>
      </c>
      <c r="K124">
        <f t="shared" si="21"/>
        <v>0</v>
      </c>
      <c r="L124">
        <f t="shared" si="28"/>
        <v>0</v>
      </c>
      <c r="M124">
        <f t="shared" si="22"/>
        <v>0</v>
      </c>
      <c r="N124" s="29">
        <f t="shared" si="29"/>
        <v>0</v>
      </c>
      <c r="O124" s="29">
        <f t="shared" si="23"/>
        <v>0</v>
      </c>
      <c r="P124" s="29">
        <f t="shared" si="30"/>
        <v>0</v>
      </c>
      <c r="Q124">
        <f t="shared" si="31"/>
        <v>0</v>
      </c>
      <c r="R124" s="29">
        <f t="shared" si="32"/>
        <v>0</v>
      </c>
      <c r="S124" s="29">
        <f t="shared" si="24"/>
        <v>0</v>
      </c>
      <c r="T124" s="29">
        <f t="shared" si="33"/>
        <v>0</v>
      </c>
      <c r="U124">
        <f t="shared" si="34"/>
        <v>0</v>
      </c>
      <c r="V124" s="29">
        <f t="shared" si="35"/>
        <v>0</v>
      </c>
      <c r="W124" s="29">
        <f t="shared" si="25"/>
        <v>0</v>
      </c>
      <c r="X124" s="29">
        <f t="shared" si="36"/>
        <v>0</v>
      </c>
      <c r="Y124">
        <f t="shared" si="37"/>
        <v>0</v>
      </c>
    </row>
    <row r="125" spans="1:25" x14ac:dyDescent="0.25">
      <c r="A125" s="4" t="s">
        <v>896</v>
      </c>
      <c r="B125" s="7" t="s">
        <v>153</v>
      </c>
      <c r="C125" s="2" t="s">
        <v>897</v>
      </c>
      <c r="D125">
        <f>VLOOKUP(B125,'Model allocations'!$A$1:$L$317,4,FALSE)</f>
        <v>0</v>
      </c>
      <c r="E125" s="31">
        <f>VLOOKUP(B125,'Initial adjusted formula count'!$A$1:$P$317,12,FALSE)</f>
        <v>4.0675407452964697E-2</v>
      </c>
      <c r="F125">
        <f>VLOOKUP(B125,'Model allocations'!$A$1:$L$317,9,FALSE)</f>
        <v>0</v>
      </c>
      <c r="G125" s="30">
        <f t="shared" si="26"/>
        <v>0.85</v>
      </c>
      <c r="H125">
        <f t="shared" si="27"/>
        <v>0</v>
      </c>
      <c r="I125">
        <f t="shared" si="19"/>
        <v>0</v>
      </c>
      <c r="J125">
        <f t="shared" si="20"/>
        <v>0</v>
      </c>
      <c r="K125">
        <f t="shared" si="21"/>
        <v>0</v>
      </c>
      <c r="L125">
        <f t="shared" si="28"/>
        <v>0</v>
      </c>
      <c r="M125">
        <f t="shared" si="22"/>
        <v>0</v>
      </c>
      <c r="N125" s="29">
        <f t="shared" si="29"/>
        <v>0</v>
      </c>
      <c r="O125" s="29">
        <f t="shared" si="23"/>
        <v>0</v>
      </c>
      <c r="P125" s="29">
        <f t="shared" si="30"/>
        <v>0</v>
      </c>
      <c r="Q125">
        <f t="shared" si="31"/>
        <v>0</v>
      </c>
      <c r="R125" s="29">
        <f t="shared" si="32"/>
        <v>0</v>
      </c>
      <c r="S125" s="29">
        <f t="shared" si="24"/>
        <v>0</v>
      </c>
      <c r="T125" s="29">
        <f t="shared" si="33"/>
        <v>0</v>
      </c>
      <c r="U125">
        <f t="shared" si="34"/>
        <v>0</v>
      </c>
      <c r="V125" s="29">
        <f t="shared" si="35"/>
        <v>0</v>
      </c>
      <c r="W125" s="29">
        <f t="shared" si="25"/>
        <v>0</v>
      </c>
      <c r="X125" s="29">
        <f t="shared" si="36"/>
        <v>0</v>
      </c>
      <c r="Y125">
        <f t="shared" si="37"/>
        <v>0</v>
      </c>
    </row>
    <row r="126" spans="1:25" x14ac:dyDescent="0.25">
      <c r="A126" s="4" t="s">
        <v>898</v>
      </c>
      <c r="B126" s="7" t="s">
        <v>155</v>
      </c>
      <c r="C126" s="2" t="s">
        <v>899</v>
      </c>
      <c r="D126">
        <f>VLOOKUP(B126,'Model allocations'!$A$1:$L$317,4,FALSE)</f>
        <v>0</v>
      </c>
      <c r="E126" s="31">
        <f>VLOOKUP(B126,'Initial adjusted formula count'!$A$1:$P$317,12,FALSE)</f>
        <v>0.126596543951916</v>
      </c>
      <c r="F126">
        <f>VLOOKUP(B126,'Model allocations'!$A$1:$L$317,9,FALSE)</f>
        <v>0</v>
      </c>
      <c r="G126" s="30">
        <f t="shared" si="26"/>
        <v>0.85</v>
      </c>
      <c r="H126">
        <f t="shared" si="27"/>
        <v>0</v>
      </c>
      <c r="I126">
        <f t="shared" si="19"/>
        <v>0</v>
      </c>
      <c r="J126">
        <f t="shared" si="20"/>
        <v>0</v>
      </c>
      <c r="K126">
        <f t="shared" si="21"/>
        <v>0</v>
      </c>
      <c r="L126">
        <f t="shared" si="28"/>
        <v>0</v>
      </c>
      <c r="M126">
        <f t="shared" si="22"/>
        <v>0</v>
      </c>
      <c r="N126" s="29">
        <f t="shared" si="29"/>
        <v>0</v>
      </c>
      <c r="O126" s="29">
        <f t="shared" si="23"/>
        <v>0</v>
      </c>
      <c r="P126" s="29">
        <f t="shared" si="30"/>
        <v>0</v>
      </c>
      <c r="Q126">
        <f t="shared" si="31"/>
        <v>0</v>
      </c>
      <c r="R126" s="29">
        <f t="shared" si="32"/>
        <v>0</v>
      </c>
      <c r="S126" s="29">
        <f t="shared" si="24"/>
        <v>0</v>
      </c>
      <c r="T126" s="29">
        <f t="shared" si="33"/>
        <v>0</v>
      </c>
      <c r="U126">
        <f t="shared" si="34"/>
        <v>0</v>
      </c>
      <c r="V126" s="29">
        <f t="shared" si="35"/>
        <v>0</v>
      </c>
      <c r="W126" s="29">
        <f t="shared" si="25"/>
        <v>0</v>
      </c>
      <c r="X126" s="29">
        <f t="shared" si="36"/>
        <v>0</v>
      </c>
      <c r="Y126">
        <f t="shared" si="37"/>
        <v>0</v>
      </c>
    </row>
    <row r="127" spans="1:25" x14ac:dyDescent="0.25">
      <c r="A127" s="4" t="s">
        <v>900</v>
      </c>
      <c r="B127" s="7" t="s">
        <v>157</v>
      </c>
      <c r="C127" s="2" t="s">
        <v>901</v>
      </c>
      <c r="D127">
        <f>VLOOKUP(B127,'Model allocations'!$A$1:$L$317,4,FALSE)</f>
        <v>0</v>
      </c>
      <c r="E127" s="31">
        <f>VLOOKUP(B127,'Initial adjusted formula count'!$A$1:$P$317,12,FALSE)</f>
        <v>0.35714285714285698</v>
      </c>
      <c r="F127">
        <f>VLOOKUP(B127,'Model allocations'!$A$1:$L$317,9,FALSE)</f>
        <v>2339.9353494174252</v>
      </c>
      <c r="G127" s="30">
        <f t="shared" si="26"/>
        <v>0.95</v>
      </c>
      <c r="H127">
        <f t="shared" si="27"/>
        <v>0</v>
      </c>
      <c r="I127">
        <f t="shared" si="19"/>
        <v>0</v>
      </c>
      <c r="J127">
        <f t="shared" si="20"/>
        <v>2339.9353494174252</v>
      </c>
      <c r="K127">
        <f t="shared" si="21"/>
        <v>2337.969372755088</v>
      </c>
      <c r="L127">
        <f t="shared" si="28"/>
        <v>2337.969372755088</v>
      </c>
      <c r="M127">
        <f t="shared" si="22"/>
        <v>0</v>
      </c>
      <c r="N127" s="29">
        <f t="shared" si="29"/>
        <v>2337.969372755088</v>
      </c>
      <c r="O127" s="29">
        <f t="shared" si="23"/>
        <v>2337.3828476706403</v>
      </c>
      <c r="P127" s="29">
        <f t="shared" si="30"/>
        <v>2337.3828476706403</v>
      </c>
      <c r="Q127">
        <f t="shared" si="31"/>
        <v>0</v>
      </c>
      <c r="R127" s="29">
        <f t="shared" si="32"/>
        <v>2337.3828476706403</v>
      </c>
      <c r="S127" s="29">
        <f t="shared" si="24"/>
        <v>2337.3828476706399</v>
      </c>
      <c r="T127" s="29">
        <f t="shared" si="33"/>
        <v>2337.3828476706399</v>
      </c>
      <c r="U127">
        <f t="shared" si="34"/>
        <v>0</v>
      </c>
      <c r="V127" s="29">
        <f t="shared" si="35"/>
        <v>2337.3828476706399</v>
      </c>
      <c r="W127" s="29">
        <f t="shared" si="25"/>
        <v>2337.3828476706399</v>
      </c>
      <c r="X127" s="29">
        <f t="shared" si="36"/>
        <v>2337.3828476706399</v>
      </c>
      <c r="Y127">
        <f t="shared" si="37"/>
        <v>0</v>
      </c>
    </row>
    <row r="128" spans="1:25" x14ac:dyDescent="0.25">
      <c r="A128" s="4" t="s">
        <v>902</v>
      </c>
      <c r="B128" s="7" t="s">
        <v>159</v>
      </c>
      <c r="C128" s="2" t="s">
        <v>903</v>
      </c>
      <c r="D128">
        <f>VLOOKUP(B128,'Model allocations'!$A$1:$L$317,4,FALSE)</f>
        <v>0</v>
      </c>
      <c r="E128" s="31">
        <f>VLOOKUP(B128,'Initial adjusted formula count'!$A$1:$P$317,12,FALSE)</f>
        <v>4.4417767106842698E-2</v>
      </c>
      <c r="F128">
        <f>VLOOKUP(B128,'Model allocations'!$A$1:$L$317,9,FALSE)</f>
        <v>0</v>
      </c>
      <c r="G128" s="30">
        <f t="shared" si="26"/>
        <v>0.85</v>
      </c>
      <c r="H128">
        <f t="shared" si="27"/>
        <v>0</v>
      </c>
      <c r="I128">
        <f t="shared" si="19"/>
        <v>0</v>
      </c>
      <c r="J128">
        <f t="shared" si="20"/>
        <v>0</v>
      </c>
      <c r="K128">
        <f t="shared" si="21"/>
        <v>0</v>
      </c>
      <c r="L128">
        <f t="shared" si="28"/>
        <v>0</v>
      </c>
      <c r="M128">
        <f t="shared" si="22"/>
        <v>0</v>
      </c>
      <c r="N128" s="29">
        <f t="shared" si="29"/>
        <v>0</v>
      </c>
      <c r="O128" s="29">
        <f t="shared" si="23"/>
        <v>0</v>
      </c>
      <c r="P128" s="29">
        <f t="shared" si="30"/>
        <v>0</v>
      </c>
      <c r="Q128">
        <f t="shared" si="31"/>
        <v>0</v>
      </c>
      <c r="R128" s="29">
        <f t="shared" si="32"/>
        <v>0</v>
      </c>
      <c r="S128" s="29">
        <f t="shared" si="24"/>
        <v>0</v>
      </c>
      <c r="T128" s="29">
        <f t="shared" si="33"/>
        <v>0</v>
      </c>
      <c r="U128">
        <f t="shared" si="34"/>
        <v>0</v>
      </c>
      <c r="V128" s="29">
        <f t="shared" si="35"/>
        <v>0</v>
      </c>
      <c r="W128" s="29">
        <f t="shared" si="25"/>
        <v>0</v>
      </c>
      <c r="X128" s="29">
        <f t="shared" si="36"/>
        <v>0</v>
      </c>
      <c r="Y128">
        <f t="shared" si="37"/>
        <v>0</v>
      </c>
    </row>
    <row r="129" spans="1:25" x14ac:dyDescent="0.25">
      <c r="A129" s="4" t="s">
        <v>904</v>
      </c>
      <c r="B129" s="7" t="s">
        <v>447</v>
      </c>
      <c r="C129" s="2" t="s">
        <v>905</v>
      </c>
      <c r="D129">
        <f>VLOOKUP(B129,'Model allocations'!$A$1:$L$317,4,FALSE)</f>
        <v>18361.743089372536</v>
      </c>
      <c r="E129" s="31">
        <f>VLOOKUP(B129,'Initial adjusted formula count'!$A$1:$P$317,12,FALSE)</f>
        <v>0.16943521594684399</v>
      </c>
      <c r="F129">
        <f>VLOOKUP(B129,'Model allocations'!$A$1:$L$317,9,FALSE)</f>
        <v>16525.568780435282</v>
      </c>
      <c r="G129" s="30">
        <f t="shared" si="26"/>
        <v>0.9</v>
      </c>
      <c r="H129">
        <f t="shared" si="27"/>
        <v>16525.568780435282</v>
      </c>
      <c r="I129">
        <f t="shared" si="19"/>
        <v>0</v>
      </c>
      <c r="J129">
        <f t="shared" si="20"/>
        <v>16525.568780435282</v>
      </c>
      <c r="K129">
        <f t="shared" si="21"/>
        <v>16511.684258983751</v>
      </c>
      <c r="L129">
        <f t="shared" si="28"/>
        <v>16511.684258983751</v>
      </c>
      <c r="M129">
        <f t="shared" si="22"/>
        <v>16525.568780435282</v>
      </c>
      <c r="N129" s="29">
        <f t="shared" si="29"/>
        <v>0</v>
      </c>
      <c r="O129" s="29">
        <f t="shared" si="23"/>
        <v>0</v>
      </c>
      <c r="P129" s="29">
        <f t="shared" si="30"/>
        <v>16525.568780435282</v>
      </c>
      <c r="Q129">
        <f t="shared" si="31"/>
        <v>0</v>
      </c>
      <c r="R129" s="29">
        <f t="shared" si="32"/>
        <v>0</v>
      </c>
      <c r="S129" s="29">
        <f t="shared" si="24"/>
        <v>0</v>
      </c>
      <c r="T129" s="29">
        <f t="shared" si="33"/>
        <v>16525.568780435282</v>
      </c>
      <c r="U129">
        <f t="shared" si="34"/>
        <v>0</v>
      </c>
      <c r="V129" s="29">
        <f t="shared" si="35"/>
        <v>0</v>
      </c>
      <c r="W129" s="29">
        <f t="shared" si="25"/>
        <v>0</v>
      </c>
      <c r="X129" s="29">
        <f t="shared" si="36"/>
        <v>16525.568780435282</v>
      </c>
      <c r="Y129">
        <f t="shared" si="37"/>
        <v>0</v>
      </c>
    </row>
    <row r="130" spans="1:25" x14ac:dyDescent="0.25">
      <c r="A130" s="4" t="s">
        <v>906</v>
      </c>
      <c r="B130" s="7" t="s">
        <v>449</v>
      </c>
      <c r="C130" s="2" t="s">
        <v>907</v>
      </c>
      <c r="D130">
        <f>VLOOKUP(B130,'Model allocations'!$A$1:$L$317,4,FALSE)</f>
        <v>306709.11604840821</v>
      </c>
      <c r="E130" s="31">
        <f>VLOOKUP(B130,'Initial adjusted formula count'!$A$1:$P$317,12,FALSE)</f>
        <v>0.18549378500204899</v>
      </c>
      <c r="F130">
        <f>VLOOKUP(B130,'Model allocations'!$A$1:$L$317,9,FALSE)</f>
        <v>317763.22045088641</v>
      </c>
      <c r="G130" s="30">
        <f t="shared" si="26"/>
        <v>0.9</v>
      </c>
      <c r="H130">
        <f t="shared" si="27"/>
        <v>276038.20444356737</v>
      </c>
      <c r="I130">
        <f t="shared" si="19"/>
        <v>0</v>
      </c>
      <c r="J130">
        <f t="shared" si="20"/>
        <v>317763.22045088641</v>
      </c>
      <c r="K130">
        <f t="shared" si="21"/>
        <v>317496.24082014099</v>
      </c>
      <c r="L130">
        <f t="shared" si="28"/>
        <v>317496.24082014099</v>
      </c>
      <c r="M130">
        <f t="shared" si="22"/>
        <v>0</v>
      </c>
      <c r="N130" s="29">
        <f t="shared" si="29"/>
        <v>317496.24082014099</v>
      </c>
      <c r="O130" s="29">
        <f t="shared" si="23"/>
        <v>317416.59071367298</v>
      </c>
      <c r="P130" s="29">
        <f t="shared" si="30"/>
        <v>317416.59071367298</v>
      </c>
      <c r="Q130">
        <f t="shared" si="31"/>
        <v>0</v>
      </c>
      <c r="R130" s="29">
        <f t="shared" si="32"/>
        <v>317416.59071367298</v>
      </c>
      <c r="S130" s="29">
        <f t="shared" si="24"/>
        <v>317416.59071367292</v>
      </c>
      <c r="T130" s="29">
        <f t="shared" si="33"/>
        <v>317416.59071367292</v>
      </c>
      <c r="U130">
        <f t="shared" si="34"/>
        <v>0</v>
      </c>
      <c r="V130" s="29">
        <f t="shared" si="35"/>
        <v>317416.59071367292</v>
      </c>
      <c r="W130" s="29">
        <f t="shared" si="25"/>
        <v>317416.59071367292</v>
      </c>
      <c r="X130" s="29">
        <f t="shared" si="36"/>
        <v>317416.59071367292</v>
      </c>
      <c r="Y130">
        <f t="shared" si="37"/>
        <v>0</v>
      </c>
    </row>
    <row r="131" spans="1:25" x14ac:dyDescent="0.25">
      <c r="A131" s="4" t="s">
        <v>908</v>
      </c>
      <c r="B131" s="7" t="s">
        <v>451</v>
      </c>
      <c r="C131" s="2" t="s">
        <v>909</v>
      </c>
      <c r="D131">
        <f>VLOOKUP(B131,'Model allocations'!$A$1:$L$317,4,FALSE)</f>
        <v>12921.226618447352</v>
      </c>
      <c r="E131" s="31">
        <f>VLOOKUP(B131,'Initial adjusted formula count'!$A$1:$P$317,12,FALSE)</f>
        <v>0.249027237354086</v>
      </c>
      <c r="F131">
        <f>VLOOKUP(B131,'Model allocations'!$A$1:$L$317,9,FALSE)</f>
        <v>14975.58623627152</v>
      </c>
      <c r="G131" s="30">
        <f t="shared" si="26"/>
        <v>0.9</v>
      </c>
      <c r="H131">
        <f t="shared" si="27"/>
        <v>11629.103956602617</v>
      </c>
      <c r="I131">
        <f t="shared" si="19"/>
        <v>0</v>
      </c>
      <c r="J131">
        <f t="shared" si="20"/>
        <v>14975.58623627152</v>
      </c>
      <c r="K131">
        <f t="shared" si="21"/>
        <v>14963.00398563256</v>
      </c>
      <c r="L131">
        <f t="shared" si="28"/>
        <v>14963.00398563256</v>
      </c>
      <c r="M131">
        <f t="shared" si="22"/>
        <v>0</v>
      </c>
      <c r="N131" s="29">
        <f t="shared" si="29"/>
        <v>14963.00398563256</v>
      </c>
      <c r="O131" s="29">
        <f t="shared" si="23"/>
        <v>14959.250225092095</v>
      </c>
      <c r="P131" s="29">
        <f t="shared" si="30"/>
        <v>14959.250225092095</v>
      </c>
      <c r="Q131">
        <f t="shared" si="31"/>
        <v>0</v>
      </c>
      <c r="R131" s="29">
        <f t="shared" si="32"/>
        <v>14959.250225092095</v>
      </c>
      <c r="S131" s="29">
        <f t="shared" si="24"/>
        <v>14959.250225092092</v>
      </c>
      <c r="T131" s="29">
        <f t="shared" si="33"/>
        <v>14959.250225092092</v>
      </c>
      <c r="U131">
        <f t="shared" si="34"/>
        <v>0</v>
      </c>
      <c r="V131" s="29">
        <f t="shared" si="35"/>
        <v>14959.250225092092</v>
      </c>
      <c r="W131" s="29">
        <f t="shared" si="25"/>
        <v>14959.250225092092</v>
      </c>
      <c r="X131" s="29">
        <f t="shared" si="36"/>
        <v>14959.250225092092</v>
      </c>
      <c r="Y131">
        <f t="shared" si="37"/>
        <v>0</v>
      </c>
    </row>
    <row r="132" spans="1:25" x14ac:dyDescent="0.25">
      <c r="A132" s="4" t="s">
        <v>910</v>
      </c>
      <c r="B132" s="7" t="s">
        <v>453</v>
      </c>
      <c r="C132" s="2" t="s">
        <v>911</v>
      </c>
      <c r="D132">
        <f>VLOOKUP(B132,'Model allocations'!$A$1:$L$317,4,FALSE)</f>
        <v>10854.988396996381</v>
      </c>
      <c r="E132" s="31">
        <f>VLOOKUP(B132,'Initial adjusted formula count'!$A$1:$P$317,12,FALSE)</f>
        <v>0.17499999999999999</v>
      </c>
      <c r="F132">
        <f>VLOOKUP(B132,'Model allocations'!$A$1:$L$317,9,FALSE)</f>
        <v>11465.683212145384</v>
      </c>
      <c r="G132" s="30">
        <f t="shared" si="26"/>
        <v>0.9</v>
      </c>
      <c r="H132">
        <f t="shared" si="27"/>
        <v>9769.4895572967434</v>
      </c>
      <c r="I132">
        <f t="shared" ref="I132:I195" si="38">IF(F132&lt;H132,H132,0)</f>
        <v>0</v>
      </c>
      <c r="J132">
        <f t="shared" ref="J132:J195" si="39">IF(I132=0,F132,0)</f>
        <v>11465.683212145384</v>
      </c>
      <c r="K132">
        <f t="shared" ref="K132:K195" si="40">(J132/$J$3)*($F$3-$I$3)</f>
        <v>11456.049926499931</v>
      </c>
      <c r="L132">
        <f t="shared" si="28"/>
        <v>11456.049926499931</v>
      </c>
      <c r="M132">
        <f t="shared" ref="M132:M195" si="41">IF(L132&lt;H132,H132,0)</f>
        <v>0</v>
      </c>
      <c r="N132" s="29">
        <f t="shared" si="29"/>
        <v>11456.049926499931</v>
      </c>
      <c r="O132" s="29">
        <f t="shared" ref="O132:O195" si="42">((N132/$N$3)*($F$3-$I$3-$M$3))</f>
        <v>11453.175953586137</v>
      </c>
      <c r="P132" s="29">
        <f t="shared" si="30"/>
        <v>11453.175953586137</v>
      </c>
      <c r="Q132">
        <f t="shared" si="31"/>
        <v>0</v>
      </c>
      <c r="R132" s="29">
        <f t="shared" si="32"/>
        <v>11453.175953586137</v>
      </c>
      <c r="S132" s="29">
        <f t="shared" ref="S132:S195" si="43">((R132/$R$3)*($F$3-$I$3-$M$3-$Q$3))</f>
        <v>11453.175953586135</v>
      </c>
      <c r="T132" s="29">
        <f t="shared" si="33"/>
        <v>11453.175953586135</v>
      </c>
      <c r="U132">
        <f t="shared" si="34"/>
        <v>0</v>
      </c>
      <c r="V132" s="29">
        <f t="shared" si="35"/>
        <v>11453.175953586135</v>
      </c>
      <c r="W132" s="29">
        <f t="shared" ref="W132:W195" si="44">((V132/$V$3)*($F$3-$I$3-$M$3-$Q$3-$U$3))</f>
        <v>11453.175953586135</v>
      </c>
      <c r="X132" s="29">
        <f t="shared" si="36"/>
        <v>11453.175953586135</v>
      </c>
      <c r="Y132">
        <f t="shared" si="37"/>
        <v>0</v>
      </c>
    </row>
    <row r="133" spans="1:25" x14ac:dyDescent="0.25">
      <c r="A133" s="4" t="s">
        <v>29</v>
      </c>
      <c r="B133" s="7" t="s">
        <v>76</v>
      </c>
      <c r="C133" s="2" t="s">
        <v>912</v>
      </c>
      <c r="D133">
        <f>VLOOKUP(B133,'Model allocations'!$A$1:$L$317,4,FALSE)</f>
        <v>1985.2836676261206</v>
      </c>
      <c r="E133" s="31">
        <f>VLOOKUP(B133,'Initial adjusted formula count'!$A$1:$P$317,12,FALSE)</f>
        <v>0.203123422714581</v>
      </c>
      <c r="F133">
        <f>VLOOKUP(B133,'Model allocations'!$A$1:$L$317,9,FALSE)</f>
        <v>1875.9511433204098</v>
      </c>
      <c r="G133" s="30">
        <f t="shared" ref="G133:G196" si="45">IF(E133&lt;0.15,0.85,IF(AND(E133&gt;=0.15,E133&lt;0.3),0.9,0.95))</f>
        <v>0.9</v>
      </c>
      <c r="H133">
        <f t="shared" ref="H133:H196" si="46">IF(F133 = 0, 0, D133*G133)</f>
        <v>1786.7553008635086</v>
      </c>
      <c r="I133">
        <f t="shared" si="38"/>
        <v>0</v>
      </c>
      <c r="J133">
        <f t="shared" si="39"/>
        <v>1875.9511433204098</v>
      </c>
      <c r="K133">
        <f t="shared" si="40"/>
        <v>1874.3749988477127</v>
      </c>
      <c r="L133">
        <f t="shared" ref="L133:L196" si="47">I133+K133</f>
        <v>1874.3749988477127</v>
      </c>
      <c r="M133">
        <f t="shared" si="41"/>
        <v>0</v>
      </c>
      <c r="N133" s="29">
        <f t="shared" ref="N133:N196" si="48">IF(I133+M133=0,L133,0)</f>
        <v>1874.3749988477127</v>
      </c>
      <c r="O133" s="29">
        <f t="shared" si="42"/>
        <v>1873.9047754276382</v>
      </c>
      <c r="P133" s="29">
        <f t="shared" ref="P133:P196" si="49">$I133+$M133+O133</f>
        <v>1873.9047754276382</v>
      </c>
      <c r="Q133">
        <f t="shared" ref="Q133:Q196" si="50">IF(P133&lt;H133,H133,0)</f>
        <v>0</v>
      </c>
      <c r="R133" s="29">
        <f t="shared" ref="R133:R196" si="51">IF($I133+$M133+$Q133=0,P133,0)</f>
        <v>1873.9047754276382</v>
      </c>
      <c r="S133" s="29">
        <f t="shared" si="43"/>
        <v>1873.904775427638</v>
      </c>
      <c r="T133" s="29">
        <f t="shared" ref="T133:T196" si="52">$I133+$M133+$Q133+S133</f>
        <v>1873.904775427638</v>
      </c>
      <c r="U133">
        <f t="shared" ref="U133:U196" si="53">IF(T133&lt;H133,H133,0)</f>
        <v>0</v>
      </c>
      <c r="V133" s="29">
        <f t="shared" ref="V133:V196" si="54">IF($I133+$M133+$Q133+U133=0,T133,0)</f>
        <v>1873.904775427638</v>
      </c>
      <c r="W133" s="29">
        <f t="shared" si="44"/>
        <v>1873.904775427638</v>
      </c>
      <c r="X133" s="29">
        <f t="shared" ref="X133:X196" si="55">$I133+$M133+$Q133+$U133+W133</f>
        <v>1873.904775427638</v>
      </c>
      <c r="Y133">
        <f t="shared" ref="Y133:Y196" si="56">IF(X133&lt;H133,H133,0)</f>
        <v>0</v>
      </c>
    </row>
    <row r="134" spans="1:25" x14ac:dyDescent="0.25">
      <c r="A134" s="4" t="s">
        <v>913</v>
      </c>
      <c r="B134" s="7" t="s">
        <v>455</v>
      </c>
      <c r="C134" s="2" t="s">
        <v>914</v>
      </c>
      <c r="D134">
        <f>VLOOKUP(B134,'Model allocations'!$A$1:$L$317,4,FALSE)</f>
        <v>18190.999866069473</v>
      </c>
      <c r="E134" s="31">
        <f>VLOOKUP(B134,'Initial adjusted formula count'!$A$1:$P$317,12,FALSE)</f>
        <v>0.21531100478468901</v>
      </c>
      <c r="F134">
        <f>VLOOKUP(B134,'Model allocations'!$A$1:$L$317,9,FALSE)</f>
        <v>21059.418144756826</v>
      </c>
      <c r="G134" s="30">
        <f t="shared" si="45"/>
        <v>0.9</v>
      </c>
      <c r="H134">
        <f t="shared" si="46"/>
        <v>16371.899879462526</v>
      </c>
      <c r="I134">
        <f t="shared" si="38"/>
        <v>0</v>
      </c>
      <c r="J134">
        <f t="shared" si="39"/>
        <v>21059.418144756826</v>
      </c>
      <c r="K134">
        <f t="shared" si="40"/>
        <v>21041.724354795791</v>
      </c>
      <c r="L134">
        <f t="shared" si="47"/>
        <v>21041.724354795791</v>
      </c>
      <c r="M134">
        <f t="shared" si="41"/>
        <v>0</v>
      </c>
      <c r="N134" s="29">
        <f t="shared" si="48"/>
        <v>21041.724354795791</v>
      </c>
      <c r="O134" s="29">
        <f t="shared" si="42"/>
        <v>21036.445629035759</v>
      </c>
      <c r="P134" s="29">
        <f t="shared" si="49"/>
        <v>21036.445629035759</v>
      </c>
      <c r="Q134">
        <f t="shared" si="50"/>
        <v>0</v>
      </c>
      <c r="R134" s="29">
        <f t="shared" si="51"/>
        <v>21036.445629035759</v>
      </c>
      <c r="S134" s="29">
        <f t="shared" si="43"/>
        <v>21036.445629035756</v>
      </c>
      <c r="T134" s="29">
        <f t="shared" si="52"/>
        <v>21036.445629035756</v>
      </c>
      <c r="U134">
        <f t="shared" si="53"/>
        <v>0</v>
      </c>
      <c r="V134" s="29">
        <f t="shared" si="54"/>
        <v>21036.445629035756</v>
      </c>
      <c r="W134" s="29">
        <f t="shared" si="44"/>
        <v>21036.445629035756</v>
      </c>
      <c r="X134" s="29">
        <f t="shared" si="55"/>
        <v>21036.445629035756</v>
      </c>
      <c r="Y134">
        <f t="shared" si="56"/>
        <v>0</v>
      </c>
    </row>
    <row r="135" spans="1:25" x14ac:dyDescent="0.25">
      <c r="A135" s="4" t="s">
        <v>915</v>
      </c>
      <c r="B135" s="7" t="s">
        <v>161</v>
      </c>
      <c r="C135" s="2" t="s">
        <v>916</v>
      </c>
      <c r="D135">
        <f>VLOOKUP(B135,'Model allocations'!$A$1:$L$317,4,FALSE)</f>
        <v>0</v>
      </c>
      <c r="E135" s="31">
        <f>VLOOKUP(B135,'Initial adjusted formula count'!$A$1:$P$317,12,FALSE)</f>
        <v>7.9761631904652797E-2</v>
      </c>
      <c r="F135">
        <f>VLOOKUP(B135,'Model allocations'!$A$1:$L$317,9,FALSE)</f>
        <v>0</v>
      </c>
      <c r="G135" s="30">
        <f t="shared" si="45"/>
        <v>0.85</v>
      </c>
      <c r="H135">
        <f t="shared" si="46"/>
        <v>0</v>
      </c>
      <c r="I135">
        <f t="shared" si="38"/>
        <v>0</v>
      </c>
      <c r="J135">
        <f t="shared" si="39"/>
        <v>0</v>
      </c>
      <c r="K135">
        <f t="shared" si="40"/>
        <v>0</v>
      </c>
      <c r="L135">
        <f t="shared" si="47"/>
        <v>0</v>
      </c>
      <c r="M135">
        <f t="shared" si="41"/>
        <v>0</v>
      </c>
      <c r="N135" s="29">
        <f t="shared" si="48"/>
        <v>0</v>
      </c>
      <c r="O135" s="29">
        <f t="shared" si="42"/>
        <v>0</v>
      </c>
      <c r="P135" s="29">
        <f t="shared" si="49"/>
        <v>0</v>
      </c>
      <c r="Q135">
        <f t="shared" si="50"/>
        <v>0</v>
      </c>
      <c r="R135" s="29">
        <f t="shared" si="51"/>
        <v>0</v>
      </c>
      <c r="S135" s="29">
        <f t="shared" si="43"/>
        <v>0</v>
      </c>
      <c r="T135" s="29">
        <f t="shared" si="52"/>
        <v>0</v>
      </c>
      <c r="U135">
        <f t="shared" si="53"/>
        <v>0</v>
      </c>
      <c r="V135" s="29">
        <f t="shared" si="54"/>
        <v>0</v>
      </c>
      <c r="W135" s="29">
        <f t="shared" si="44"/>
        <v>0</v>
      </c>
      <c r="X135" s="29">
        <f t="shared" si="55"/>
        <v>0</v>
      </c>
      <c r="Y135">
        <f t="shared" si="56"/>
        <v>0</v>
      </c>
    </row>
    <row r="136" spans="1:25" x14ac:dyDescent="0.25">
      <c r="A136" s="4" t="s">
        <v>917</v>
      </c>
      <c r="B136" s="7" t="s">
        <v>457</v>
      </c>
      <c r="C136" s="2" t="s">
        <v>918</v>
      </c>
      <c r="D136">
        <f>VLOOKUP(B136,'Model allocations'!$A$1:$L$317,4,FALSE)</f>
        <v>43297.443581113053</v>
      </c>
      <c r="E136" s="31">
        <f>VLOOKUP(B136,'Initial adjusted formula count'!$A$1:$P$317,12,FALSE)</f>
        <v>0.15584415584415601</v>
      </c>
      <c r="F136">
        <f>VLOOKUP(B136,'Model allocations'!$A$1:$L$317,9,FALSE)</f>
        <v>38967.699223001749</v>
      </c>
      <c r="G136" s="30">
        <f t="shared" si="45"/>
        <v>0.9</v>
      </c>
      <c r="H136">
        <f t="shared" si="46"/>
        <v>38967.699223001749</v>
      </c>
      <c r="I136">
        <f t="shared" si="38"/>
        <v>0</v>
      </c>
      <c r="J136">
        <f t="shared" si="39"/>
        <v>38967.699223001749</v>
      </c>
      <c r="K136">
        <f t="shared" si="40"/>
        <v>38934.959178591344</v>
      </c>
      <c r="L136">
        <f t="shared" si="47"/>
        <v>38934.959178591344</v>
      </c>
      <c r="M136">
        <f t="shared" si="41"/>
        <v>38967.699223001749</v>
      </c>
      <c r="N136" s="29">
        <f t="shared" si="48"/>
        <v>0</v>
      </c>
      <c r="O136" s="29">
        <f t="shared" si="42"/>
        <v>0</v>
      </c>
      <c r="P136" s="29">
        <f t="shared" si="49"/>
        <v>38967.699223001749</v>
      </c>
      <c r="Q136">
        <f t="shared" si="50"/>
        <v>0</v>
      </c>
      <c r="R136" s="29">
        <f t="shared" si="51"/>
        <v>0</v>
      </c>
      <c r="S136" s="29">
        <f t="shared" si="43"/>
        <v>0</v>
      </c>
      <c r="T136" s="29">
        <f t="shared" si="52"/>
        <v>38967.699223001749</v>
      </c>
      <c r="U136">
        <f t="shared" si="53"/>
        <v>0</v>
      </c>
      <c r="V136" s="29">
        <f t="shared" si="54"/>
        <v>0</v>
      </c>
      <c r="W136" s="29">
        <f t="shared" si="44"/>
        <v>0</v>
      </c>
      <c r="X136" s="29">
        <f t="shared" si="55"/>
        <v>38967.699223001749</v>
      </c>
      <c r="Y136">
        <f t="shared" si="56"/>
        <v>0</v>
      </c>
    </row>
    <row r="137" spans="1:25" x14ac:dyDescent="0.25">
      <c r="A137" s="4" t="s">
        <v>919</v>
      </c>
      <c r="B137" s="7" t="s">
        <v>459</v>
      </c>
      <c r="C137" s="2" t="s">
        <v>920</v>
      </c>
      <c r="D137">
        <f>VLOOKUP(B137,'Model allocations'!$A$1:$L$317,4,FALSE)</f>
        <v>5141.8366091035523</v>
      </c>
      <c r="E137" s="31">
        <f>VLOOKUP(B137,'Initial adjusted formula count'!$A$1:$P$317,12,FALSE)</f>
        <v>0.127906976744186</v>
      </c>
      <c r="F137">
        <f>VLOOKUP(B137,'Model allocations'!$A$1:$L$317,9,FALSE)</f>
        <v>4370.5611177380197</v>
      </c>
      <c r="G137" s="30">
        <f t="shared" si="45"/>
        <v>0.85</v>
      </c>
      <c r="H137">
        <f t="shared" si="46"/>
        <v>4370.5611177380197</v>
      </c>
      <c r="I137">
        <f t="shared" si="38"/>
        <v>0</v>
      </c>
      <c r="J137">
        <f t="shared" si="39"/>
        <v>4370.5611177380197</v>
      </c>
      <c r="K137">
        <f t="shared" si="40"/>
        <v>4366.8890414300431</v>
      </c>
      <c r="L137">
        <f t="shared" si="47"/>
        <v>4366.8890414300431</v>
      </c>
      <c r="M137">
        <f t="shared" si="41"/>
        <v>4370.5611177380197</v>
      </c>
      <c r="N137" s="29">
        <f t="shared" si="48"/>
        <v>0</v>
      </c>
      <c r="O137" s="29">
        <f t="shared" si="42"/>
        <v>0</v>
      </c>
      <c r="P137" s="29">
        <f t="shared" si="49"/>
        <v>4370.5611177380197</v>
      </c>
      <c r="Q137">
        <f t="shared" si="50"/>
        <v>0</v>
      </c>
      <c r="R137" s="29">
        <f t="shared" si="51"/>
        <v>0</v>
      </c>
      <c r="S137" s="29">
        <f t="shared" si="43"/>
        <v>0</v>
      </c>
      <c r="T137" s="29">
        <f t="shared" si="52"/>
        <v>4370.5611177380197</v>
      </c>
      <c r="U137">
        <f t="shared" si="53"/>
        <v>0</v>
      </c>
      <c r="V137" s="29">
        <f t="shared" si="54"/>
        <v>0</v>
      </c>
      <c r="W137" s="29">
        <f t="shared" si="44"/>
        <v>0</v>
      </c>
      <c r="X137" s="29">
        <f t="shared" si="55"/>
        <v>4370.5611177380197</v>
      </c>
      <c r="Y137">
        <f t="shared" si="56"/>
        <v>0</v>
      </c>
    </row>
    <row r="138" spans="1:25" x14ac:dyDescent="0.25">
      <c r="A138" s="4" t="s">
        <v>921</v>
      </c>
      <c r="B138" s="7" t="s">
        <v>284</v>
      </c>
      <c r="C138" s="2" t="s">
        <v>922</v>
      </c>
      <c r="D138">
        <f>VLOOKUP(B138,'Model allocations'!$A$1:$L$317,4,FALSE)</f>
        <v>27202.582354626004</v>
      </c>
      <c r="E138" s="31">
        <f>VLOOKUP(B138,'Initial adjusted formula count'!$A$1:$P$317,12,FALSE)</f>
        <v>0.169381107491857</v>
      </c>
      <c r="F138">
        <f>VLOOKUP(B138,'Model allocations'!$A$1:$L$317,9,FALSE)</f>
        <v>24482.324119163404</v>
      </c>
      <c r="G138" s="30">
        <f t="shared" si="45"/>
        <v>0.9</v>
      </c>
      <c r="H138">
        <f t="shared" si="46"/>
        <v>24482.324119163404</v>
      </c>
      <c r="I138">
        <f t="shared" si="38"/>
        <v>0</v>
      </c>
      <c r="J138">
        <f t="shared" si="39"/>
        <v>24482.324119163404</v>
      </c>
      <c r="K138">
        <f t="shared" si="40"/>
        <v>24461.754457753726</v>
      </c>
      <c r="L138">
        <f t="shared" si="47"/>
        <v>24461.754457753726</v>
      </c>
      <c r="M138">
        <f t="shared" si="41"/>
        <v>24482.324119163404</v>
      </c>
      <c r="N138" s="29">
        <f t="shared" si="48"/>
        <v>0</v>
      </c>
      <c r="O138" s="29">
        <f t="shared" si="42"/>
        <v>0</v>
      </c>
      <c r="P138" s="29">
        <f t="shared" si="49"/>
        <v>24482.324119163404</v>
      </c>
      <c r="Q138">
        <f t="shared" si="50"/>
        <v>0</v>
      </c>
      <c r="R138" s="29">
        <f t="shared" si="51"/>
        <v>0</v>
      </c>
      <c r="S138" s="29">
        <f t="shared" si="43"/>
        <v>0</v>
      </c>
      <c r="T138" s="29">
        <f t="shared" si="52"/>
        <v>24482.324119163404</v>
      </c>
      <c r="U138">
        <f t="shared" si="53"/>
        <v>0</v>
      </c>
      <c r="V138" s="29">
        <f t="shared" si="54"/>
        <v>0</v>
      </c>
      <c r="W138" s="29">
        <f t="shared" si="44"/>
        <v>0</v>
      </c>
      <c r="X138" s="29">
        <f t="shared" si="55"/>
        <v>24482.324119163404</v>
      </c>
      <c r="Y138">
        <f t="shared" si="56"/>
        <v>0</v>
      </c>
    </row>
    <row r="139" spans="1:25" x14ac:dyDescent="0.25">
      <c r="A139" s="4" t="s">
        <v>923</v>
      </c>
      <c r="B139" s="7" t="s">
        <v>461</v>
      </c>
      <c r="C139" s="2" t="s">
        <v>924</v>
      </c>
      <c r="D139">
        <f>VLOOKUP(B139,'Model allocations'!$A$1:$L$317,4,FALSE)</f>
        <v>10506.870612298748</v>
      </c>
      <c r="E139" s="31">
        <f>VLOOKUP(B139,'Initial adjusted formula count'!$A$1:$P$317,12,FALSE)</f>
        <v>0.120192307692308</v>
      </c>
      <c r="F139">
        <f>VLOOKUP(B139,'Model allocations'!$A$1:$L$317,9,FALSE)</f>
        <v>8930.8400204539357</v>
      </c>
      <c r="G139" s="30">
        <f t="shared" si="45"/>
        <v>0.85</v>
      </c>
      <c r="H139">
        <f t="shared" si="46"/>
        <v>8930.8400204539357</v>
      </c>
      <c r="I139">
        <f t="shared" si="38"/>
        <v>0</v>
      </c>
      <c r="J139">
        <f t="shared" si="39"/>
        <v>8930.8400204539357</v>
      </c>
      <c r="K139">
        <f t="shared" si="40"/>
        <v>8923.336469956419</v>
      </c>
      <c r="L139">
        <f t="shared" si="47"/>
        <v>8923.336469956419</v>
      </c>
      <c r="M139">
        <f t="shared" si="41"/>
        <v>8930.8400204539357</v>
      </c>
      <c r="N139" s="29">
        <f t="shared" si="48"/>
        <v>0</v>
      </c>
      <c r="O139" s="29">
        <f t="shared" si="42"/>
        <v>0</v>
      </c>
      <c r="P139" s="29">
        <f t="shared" si="49"/>
        <v>8930.8400204539357</v>
      </c>
      <c r="Q139">
        <f t="shared" si="50"/>
        <v>0</v>
      </c>
      <c r="R139" s="29">
        <f t="shared" si="51"/>
        <v>0</v>
      </c>
      <c r="S139" s="29">
        <f t="shared" si="43"/>
        <v>0</v>
      </c>
      <c r="T139" s="29">
        <f t="shared" si="52"/>
        <v>8930.8400204539357</v>
      </c>
      <c r="U139">
        <f t="shared" si="53"/>
        <v>0</v>
      </c>
      <c r="V139" s="29">
        <f t="shared" si="54"/>
        <v>0</v>
      </c>
      <c r="W139" s="29">
        <f t="shared" si="44"/>
        <v>0</v>
      </c>
      <c r="X139" s="29">
        <f t="shared" si="55"/>
        <v>8930.8400204539357</v>
      </c>
      <c r="Y139">
        <f t="shared" si="56"/>
        <v>0</v>
      </c>
    </row>
    <row r="140" spans="1:25" x14ac:dyDescent="0.25">
      <c r="A140" s="4" t="s">
        <v>925</v>
      </c>
      <c r="B140" s="7" t="s">
        <v>463</v>
      </c>
      <c r="C140" s="2" t="s">
        <v>926</v>
      </c>
      <c r="D140">
        <f>VLOOKUP(B140,'Model allocations'!$A$1:$L$317,4,FALSE)</f>
        <v>33096.47519812829</v>
      </c>
      <c r="E140" s="31">
        <f>VLOOKUP(B140,'Initial adjusted formula count'!$A$1:$P$317,12,FALSE)</f>
        <v>0.19565217391304399</v>
      </c>
      <c r="F140">
        <f>VLOOKUP(B140,'Model allocations'!$A$1:$L$317,9,FALSE)</f>
        <v>29786.827678315462</v>
      </c>
      <c r="G140" s="30">
        <f t="shared" si="45"/>
        <v>0.9</v>
      </c>
      <c r="H140">
        <f t="shared" si="46"/>
        <v>29786.827678315462</v>
      </c>
      <c r="I140">
        <f t="shared" si="38"/>
        <v>0</v>
      </c>
      <c r="J140">
        <f t="shared" si="39"/>
        <v>29786.827678315462</v>
      </c>
      <c r="K140">
        <f t="shared" si="40"/>
        <v>29761.80125693369</v>
      </c>
      <c r="L140">
        <f t="shared" si="47"/>
        <v>29761.80125693369</v>
      </c>
      <c r="M140">
        <f t="shared" si="41"/>
        <v>29786.827678315462</v>
      </c>
      <c r="N140" s="29">
        <f t="shared" si="48"/>
        <v>0</v>
      </c>
      <c r="O140" s="29">
        <f t="shared" si="42"/>
        <v>0</v>
      </c>
      <c r="P140" s="29">
        <f t="shared" si="49"/>
        <v>29786.827678315462</v>
      </c>
      <c r="Q140">
        <f t="shared" si="50"/>
        <v>0</v>
      </c>
      <c r="R140" s="29">
        <f t="shared" si="51"/>
        <v>0</v>
      </c>
      <c r="S140" s="29">
        <f t="shared" si="43"/>
        <v>0</v>
      </c>
      <c r="T140" s="29">
        <f t="shared" si="52"/>
        <v>29786.827678315462</v>
      </c>
      <c r="U140">
        <f t="shared" si="53"/>
        <v>0</v>
      </c>
      <c r="V140" s="29">
        <f t="shared" si="54"/>
        <v>0</v>
      </c>
      <c r="W140" s="29">
        <f t="shared" si="44"/>
        <v>0</v>
      </c>
      <c r="X140" s="29">
        <f t="shared" si="55"/>
        <v>29786.827678315462</v>
      </c>
      <c r="Y140">
        <f t="shared" si="56"/>
        <v>0</v>
      </c>
    </row>
    <row r="141" spans="1:25" x14ac:dyDescent="0.25">
      <c r="A141" s="4" t="s">
        <v>927</v>
      </c>
      <c r="B141" s="7" t="s">
        <v>163</v>
      </c>
      <c r="C141" s="2" t="s">
        <v>928</v>
      </c>
      <c r="D141">
        <f>VLOOKUP(B141,'Model allocations'!$A$1:$L$317,4,FALSE)</f>
        <v>0</v>
      </c>
      <c r="E141" s="31">
        <f>VLOOKUP(B141,'Initial adjusted formula count'!$A$1:$P$317,12,FALSE)</f>
        <v>0.11435580880025301</v>
      </c>
      <c r="F141">
        <f>VLOOKUP(B141,'Model allocations'!$A$1:$L$317,9,FALSE)</f>
        <v>0</v>
      </c>
      <c r="G141" s="30">
        <f t="shared" si="45"/>
        <v>0.85</v>
      </c>
      <c r="H141">
        <f t="shared" si="46"/>
        <v>0</v>
      </c>
      <c r="I141">
        <f t="shared" si="38"/>
        <v>0</v>
      </c>
      <c r="J141">
        <f t="shared" si="39"/>
        <v>0</v>
      </c>
      <c r="K141">
        <f t="shared" si="40"/>
        <v>0</v>
      </c>
      <c r="L141">
        <f t="shared" si="47"/>
        <v>0</v>
      </c>
      <c r="M141">
        <f t="shared" si="41"/>
        <v>0</v>
      </c>
      <c r="N141" s="29">
        <f t="shared" si="48"/>
        <v>0</v>
      </c>
      <c r="O141" s="29">
        <f t="shared" si="42"/>
        <v>0</v>
      </c>
      <c r="P141" s="29">
        <f t="shared" si="49"/>
        <v>0</v>
      </c>
      <c r="Q141">
        <f t="shared" si="50"/>
        <v>0</v>
      </c>
      <c r="R141" s="29">
        <f t="shared" si="51"/>
        <v>0</v>
      </c>
      <c r="S141" s="29">
        <f t="shared" si="43"/>
        <v>0</v>
      </c>
      <c r="T141" s="29">
        <f t="shared" si="52"/>
        <v>0</v>
      </c>
      <c r="U141">
        <f t="shared" si="53"/>
        <v>0</v>
      </c>
      <c r="V141" s="29">
        <f t="shared" si="54"/>
        <v>0</v>
      </c>
      <c r="W141" s="29">
        <f t="shared" si="44"/>
        <v>0</v>
      </c>
      <c r="X141" s="29">
        <f t="shared" si="55"/>
        <v>0</v>
      </c>
      <c r="Y141">
        <f t="shared" si="56"/>
        <v>0</v>
      </c>
    </row>
    <row r="142" spans="1:25" x14ac:dyDescent="0.25">
      <c r="A142" s="4" t="s">
        <v>929</v>
      </c>
      <c r="B142" s="7" t="s">
        <v>465</v>
      </c>
      <c r="C142" s="2" t="s">
        <v>930</v>
      </c>
      <c r="D142">
        <f>VLOOKUP(B142,'Model allocations'!$A$1:$L$317,4,FALSE)</f>
        <v>0</v>
      </c>
      <c r="E142" s="31">
        <f>VLOOKUP(B142,'Initial adjusted formula count'!$A$1:$P$317,12,FALSE)</f>
        <v>8.2024432809773104E-2</v>
      </c>
      <c r="F142">
        <f>VLOOKUP(B142,'Model allocations'!$A$1:$L$317,9,FALSE)</f>
        <v>0</v>
      </c>
      <c r="G142" s="30">
        <f t="shared" si="45"/>
        <v>0.85</v>
      </c>
      <c r="H142">
        <f t="shared" si="46"/>
        <v>0</v>
      </c>
      <c r="I142">
        <f t="shared" si="38"/>
        <v>0</v>
      </c>
      <c r="J142">
        <f t="shared" si="39"/>
        <v>0</v>
      </c>
      <c r="K142">
        <f t="shared" si="40"/>
        <v>0</v>
      </c>
      <c r="L142">
        <f t="shared" si="47"/>
        <v>0</v>
      </c>
      <c r="M142">
        <f t="shared" si="41"/>
        <v>0</v>
      </c>
      <c r="N142" s="29">
        <f t="shared" si="48"/>
        <v>0</v>
      </c>
      <c r="O142" s="29">
        <f t="shared" si="42"/>
        <v>0</v>
      </c>
      <c r="P142" s="29">
        <f t="shared" si="49"/>
        <v>0</v>
      </c>
      <c r="Q142">
        <f t="shared" si="50"/>
        <v>0</v>
      </c>
      <c r="R142" s="29">
        <f t="shared" si="51"/>
        <v>0</v>
      </c>
      <c r="S142" s="29">
        <f t="shared" si="43"/>
        <v>0</v>
      </c>
      <c r="T142" s="29">
        <f t="shared" si="52"/>
        <v>0</v>
      </c>
      <c r="U142">
        <f t="shared" si="53"/>
        <v>0</v>
      </c>
      <c r="V142" s="29">
        <f t="shared" si="54"/>
        <v>0</v>
      </c>
      <c r="W142" s="29">
        <f t="shared" si="44"/>
        <v>0</v>
      </c>
      <c r="X142" s="29">
        <f t="shared" si="55"/>
        <v>0</v>
      </c>
      <c r="Y142">
        <f t="shared" si="56"/>
        <v>0</v>
      </c>
    </row>
    <row r="143" spans="1:25" x14ac:dyDescent="0.25">
      <c r="A143" s="4" t="s">
        <v>931</v>
      </c>
      <c r="B143" s="7" t="s">
        <v>165</v>
      </c>
      <c r="C143" s="2" t="s">
        <v>932</v>
      </c>
      <c r="D143">
        <f>VLOOKUP(B143,'Model allocations'!$A$1:$L$317,4,FALSE)</f>
        <v>0</v>
      </c>
      <c r="E143" s="31">
        <f>VLOOKUP(B143,'Initial adjusted formula count'!$A$1:$P$317,12,FALSE)</f>
        <v>7.3859881031064098E-2</v>
      </c>
      <c r="F143">
        <f>VLOOKUP(B143,'Model allocations'!$A$1:$L$317,9,FALSE)</f>
        <v>0</v>
      </c>
      <c r="G143" s="30">
        <f t="shared" si="45"/>
        <v>0.85</v>
      </c>
      <c r="H143">
        <f t="shared" si="46"/>
        <v>0</v>
      </c>
      <c r="I143">
        <f t="shared" si="38"/>
        <v>0</v>
      </c>
      <c r="J143">
        <f t="shared" si="39"/>
        <v>0</v>
      </c>
      <c r="K143">
        <f t="shared" si="40"/>
        <v>0</v>
      </c>
      <c r="L143">
        <f t="shared" si="47"/>
        <v>0</v>
      </c>
      <c r="M143">
        <f t="shared" si="41"/>
        <v>0</v>
      </c>
      <c r="N143" s="29">
        <f t="shared" si="48"/>
        <v>0</v>
      </c>
      <c r="O143" s="29">
        <f t="shared" si="42"/>
        <v>0</v>
      </c>
      <c r="P143" s="29">
        <f t="shared" si="49"/>
        <v>0</v>
      </c>
      <c r="Q143">
        <f t="shared" si="50"/>
        <v>0</v>
      </c>
      <c r="R143" s="29">
        <f t="shared" si="51"/>
        <v>0</v>
      </c>
      <c r="S143" s="29">
        <f t="shared" si="43"/>
        <v>0</v>
      </c>
      <c r="T143" s="29">
        <f t="shared" si="52"/>
        <v>0</v>
      </c>
      <c r="U143">
        <f t="shared" si="53"/>
        <v>0</v>
      </c>
      <c r="V143" s="29">
        <f t="shared" si="54"/>
        <v>0</v>
      </c>
      <c r="W143" s="29">
        <f t="shared" si="44"/>
        <v>0</v>
      </c>
      <c r="X143" s="29">
        <f t="shared" si="55"/>
        <v>0</v>
      </c>
      <c r="Y143">
        <f t="shared" si="56"/>
        <v>0</v>
      </c>
    </row>
    <row r="144" spans="1:25" x14ac:dyDescent="0.25">
      <c r="A144" s="4" t="s">
        <v>933</v>
      </c>
      <c r="B144" s="7" t="s">
        <v>167</v>
      </c>
      <c r="C144" s="2" t="s">
        <v>934</v>
      </c>
      <c r="D144">
        <f>VLOOKUP(B144,'Model allocations'!$A$1:$L$317,4,FALSE)</f>
        <v>0</v>
      </c>
      <c r="E144" s="31">
        <f>VLOOKUP(B144,'Initial adjusted formula count'!$A$1:$P$317,12,FALSE)</f>
        <v>9.5369349503858905E-2</v>
      </c>
      <c r="F144">
        <f>VLOOKUP(B144,'Model allocations'!$A$1:$L$317,9,FALSE)</f>
        <v>0</v>
      </c>
      <c r="G144" s="30">
        <f t="shared" si="45"/>
        <v>0.85</v>
      </c>
      <c r="H144">
        <f t="shared" si="46"/>
        <v>0</v>
      </c>
      <c r="I144">
        <f t="shared" si="38"/>
        <v>0</v>
      </c>
      <c r="J144">
        <f t="shared" si="39"/>
        <v>0</v>
      </c>
      <c r="K144">
        <f t="shared" si="40"/>
        <v>0</v>
      </c>
      <c r="L144">
        <f t="shared" si="47"/>
        <v>0</v>
      </c>
      <c r="M144">
        <f t="shared" si="41"/>
        <v>0</v>
      </c>
      <c r="N144" s="29">
        <f t="shared" si="48"/>
        <v>0</v>
      </c>
      <c r="O144" s="29">
        <f t="shared" si="42"/>
        <v>0</v>
      </c>
      <c r="P144" s="29">
        <f t="shared" si="49"/>
        <v>0</v>
      </c>
      <c r="Q144">
        <f t="shared" si="50"/>
        <v>0</v>
      </c>
      <c r="R144" s="29">
        <f t="shared" si="51"/>
        <v>0</v>
      </c>
      <c r="S144" s="29">
        <f t="shared" si="43"/>
        <v>0</v>
      </c>
      <c r="T144" s="29">
        <f t="shared" si="52"/>
        <v>0</v>
      </c>
      <c r="U144">
        <f t="shared" si="53"/>
        <v>0</v>
      </c>
      <c r="V144" s="29">
        <f t="shared" si="54"/>
        <v>0</v>
      </c>
      <c r="W144" s="29">
        <f t="shared" si="44"/>
        <v>0</v>
      </c>
      <c r="X144" s="29">
        <f t="shared" si="55"/>
        <v>0</v>
      </c>
      <c r="Y144">
        <f t="shared" si="56"/>
        <v>0</v>
      </c>
    </row>
    <row r="145" spans="1:25" x14ac:dyDescent="0.25">
      <c r="A145" s="4" t="s">
        <v>935</v>
      </c>
      <c r="B145" s="7" t="s">
        <v>169</v>
      </c>
      <c r="C145" s="2" t="s">
        <v>936</v>
      </c>
      <c r="D145">
        <f>VLOOKUP(B145,'Model allocations'!$A$1:$L$317,4,FALSE)</f>
        <v>0</v>
      </c>
      <c r="E145" s="31">
        <f>VLOOKUP(B145,'Initial adjusted formula count'!$A$1:$P$317,12,FALSE)</f>
        <v>3.10204081632653E-2</v>
      </c>
      <c r="F145">
        <f>VLOOKUP(B145,'Model allocations'!$A$1:$L$317,9,FALSE)</f>
        <v>0</v>
      </c>
      <c r="G145" s="30">
        <f t="shared" si="45"/>
        <v>0.85</v>
      </c>
      <c r="H145">
        <f t="shared" si="46"/>
        <v>0</v>
      </c>
      <c r="I145">
        <f t="shared" si="38"/>
        <v>0</v>
      </c>
      <c r="J145">
        <f t="shared" si="39"/>
        <v>0</v>
      </c>
      <c r="K145">
        <f t="shared" si="40"/>
        <v>0</v>
      </c>
      <c r="L145">
        <f t="shared" si="47"/>
        <v>0</v>
      </c>
      <c r="M145">
        <f t="shared" si="41"/>
        <v>0</v>
      </c>
      <c r="N145" s="29">
        <f t="shared" si="48"/>
        <v>0</v>
      </c>
      <c r="O145" s="29">
        <f t="shared" si="42"/>
        <v>0</v>
      </c>
      <c r="P145" s="29">
        <f t="shared" si="49"/>
        <v>0</v>
      </c>
      <c r="Q145">
        <f t="shared" si="50"/>
        <v>0</v>
      </c>
      <c r="R145" s="29">
        <f t="shared" si="51"/>
        <v>0</v>
      </c>
      <c r="S145" s="29">
        <f t="shared" si="43"/>
        <v>0</v>
      </c>
      <c r="T145" s="29">
        <f t="shared" si="52"/>
        <v>0</v>
      </c>
      <c r="U145">
        <f t="shared" si="53"/>
        <v>0</v>
      </c>
      <c r="V145" s="29">
        <f t="shared" si="54"/>
        <v>0</v>
      </c>
      <c r="W145" s="29">
        <f t="shared" si="44"/>
        <v>0</v>
      </c>
      <c r="X145" s="29">
        <f t="shared" si="55"/>
        <v>0</v>
      </c>
      <c r="Y145">
        <f t="shared" si="56"/>
        <v>0</v>
      </c>
    </row>
    <row r="146" spans="1:25" x14ac:dyDescent="0.25">
      <c r="A146" s="4" t="s">
        <v>937</v>
      </c>
      <c r="B146" s="7" t="s">
        <v>171</v>
      </c>
      <c r="C146" s="2" t="s">
        <v>938</v>
      </c>
      <c r="D146">
        <f>VLOOKUP(B146,'Model allocations'!$A$1:$L$317,4,FALSE)</f>
        <v>0</v>
      </c>
      <c r="E146" s="31">
        <f>VLOOKUP(B146,'Initial adjusted formula count'!$A$1:$P$317,12,FALSE)</f>
        <v>0.12638970157987101</v>
      </c>
      <c r="F146">
        <f>VLOOKUP(B146,'Model allocations'!$A$1:$L$317,9,FALSE)</f>
        <v>0</v>
      </c>
      <c r="G146" s="30">
        <f t="shared" si="45"/>
        <v>0.85</v>
      </c>
      <c r="H146">
        <f t="shared" si="46"/>
        <v>0</v>
      </c>
      <c r="I146">
        <f t="shared" si="38"/>
        <v>0</v>
      </c>
      <c r="J146">
        <f t="shared" si="39"/>
        <v>0</v>
      </c>
      <c r="K146">
        <f t="shared" si="40"/>
        <v>0</v>
      </c>
      <c r="L146">
        <f t="shared" si="47"/>
        <v>0</v>
      </c>
      <c r="M146">
        <f t="shared" si="41"/>
        <v>0</v>
      </c>
      <c r="N146" s="29">
        <f t="shared" si="48"/>
        <v>0</v>
      </c>
      <c r="O146" s="29">
        <f t="shared" si="42"/>
        <v>0</v>
      </c>
      <c r="P146" s="29">
        <f t="shared" si="49"/>
        <v>0</v>
      </c>
      <c r="Q146">
        <f t="shared" si="50"/>
        <v>0</v>
      </c>
      <c r="R146" s="29">
        <f t="shared" si="51"/>
        <v>0</v>
      </c>
      <c r="S146" s="29">
        <f t="shared" si="43"/>
        <v>0</v>
      </c>
      <c r="T146" s="29">
        <f t="shared" si="52"/>
        <v>0</v>
      </c>
      <c r="U146">
        <f t="shared" si="53"/>
        <v>0</v>
      </c>
      <c r="V146" s="29">
        <f t="shared" si="54"/>
        <v>0</v>
      </c>
      <c r="W146" s="29">
        <f t="shared" si="44"/>
        <v>0</v>
      </c>
      <c r="X146" s="29">
        <f t="shared" si="55"/>
        <v>0</v>
      </c>
      <c r="Y146">
        <f t="shared" si="56"/>
        <v>0</v>
      </c>
    </row>
    <row r="147" spans="1:25" x14ac:dyDescent="0.25">
      <c r="A147" s="4" t="s">
        <v>939</v>
      </c>
      <c r="B147" s="7" t="s">
        <v>467</v>
      </c>
      <c r="C147" s="2" t="s">
        <v>940</v>
      </c>
      <c r="D147">
        <f>VLOOKUP(B147,'Model allocations'!$A$1:$L$317,4,FALSE)</f>
        <v>18499.812526317153</v>
      </c>
      <c r="E147" s="31">
        <f>VLOOKUP(B147,'Initial adjusted formula count'!$A$1:$P$317,12,FALSE)</f>
        <v>0.154121863799283</v>
      </c>
      <c r="F147">
        <f>VLOOKUP(B147,'Model allocations'!$A$1:$L$317,9,FALSE)</f>
        <v>30185.166007484779</v>
      </c>
      <c r="G147" s="30">
        <f t="shared" si="45"/>
        <v>0.9</v>
      </c>
      <c r="H147">
        <f t="shared" si="46"/>
        <v>16649.831273685439</v>
      </c>
      <c r="I147">
        <f t="shared" si="38"/>
        <v>0</v>
      </c>
      <c r="J147">
        <f t="shared" si="39"/>
        <v>30185.166007484779</v>
      </c>
      <c r="K147">
        <f t="shared" si="40"/>
        <v>30159.804908540627</v>
      </c>
      <c r="L147">
        <f t="shared" si="47"/>
        <v>30159.804908540627</v>
      </c>
      <c r="M147">
        <f t="shared" si="41"/>
        <v>0</v>
      </c>
      <c r="N147" s="29">
        <f t="shared" si="48"/>
        <v>30159.804908540627</v>
      </c>
      <c r="O147" s="29">
        <f t="shared" si="42"/>
        <v>30152.23873495125</v>
      </c>
      <c r="P147" s="29">
        <f t="shared" si="49"/>
        <v>30152.23873495125</v>
      </c>
      <c r="Q147">
        <f t="shared" si="50"/>
        <v>0</v>
      </c>
      <c r="R147" s="29">
        <f t="shared" si="51"/>
        <v>30152.23873495125</v>
      </c>
      <c r="S147" s="29">
        <f t="shared" si="43"/>
        <v>30152.238734951246</v>
      </c>
      <c r="T147" s="29">
        <f t="shared" si="52"/>
        <v>30152.238734951246</v>
      </c>
      <c r="U147">
        <f t="shared" si="53"/>
        <v>0</v>
      </c>
      <c r="V147" s="29">
        <f t="shared" si="54"/>
        <v>30152.238734951246</v>
      </c>
      <c r="W147" s="29">
        <f t="shared" si="44"/>
        <v>30152.238734951246</v>
      </c>
      <c r="X147" s="29">
        <f t="shared" si="55"/>
        <v>30152.238734951246</v>
      </c>
      <c r="Y147">
        <f t="shared" si="56"/>
        <v>0</v>
      </c>
    </row>
    <row r="148" spans="1:25" x14ac:dyDescent="0.25">
      <c r="A148" s="4" t="s">
        <v>941</v>
      </c>
      <c r="B148" s="7" t="s">
        <v>469</v>
      </c>
      <c r="C148" s="2" t="s">
        <v>942</v>
      </c>
      <c r="D148">
        <f>VLOOKUP(B148,'Model allocations'!$A$1:$L$317,4,FALSE)</f>
        <v>4080.3873531938998</v>
      </c>
      <c r="E148" s="31">
        <f>VLOOKUP(B148,'Initial adjusted formula count'!$A$1:$P$317,12,FALSE)</f>
        <v>0.17808219178082199</v>
      </c>
      <c r="F148">
        <f>VLOOKUP(B148,'Model allocations'!$A$1:$L$317,9,FALSE)</f>
        <v>3672.3486178745097</v>
      </c>
      <c r="G148" s="30">
        <f t="shared" si="45"/>
        <v>0.9</v>
      </c>
      <c r="H148">
        <f t="shared" si="46"/>
        <v>3672.3486178745097</v>
      </c>
      <c r="I148">
        <f t="shared" si="38"/>
        <v>0</v>
      </c>
      <c r="J148">
        <f t="shared" si="39"/>
        <v>3672.3486178745097</v>
      </c>
      <c r="K148">
        <f t="shared" si="40"/>
        <v>3669.263168663058</v>
      </c>
      <c r="L148">
        <f t="shared" si="47"/>
        <v>3669.263168663058</v>
      </c>
      <c r="M148">
        <f t="shared" si="41"/>
        <v>3672.3486178745097</v>
      </c>
      <c r="N148" s="29">
        <f t="shared" si="48"/>
        <v>0</v>
      </c>
      <c r="O148" s="29">
        <f t="shared" si="42"/>
        <v>0</v>
      </c>
      <c r="P148" s="29">
        <f t="shared" si="49"/>
        <v>3672.3486178745097</v>
      </c>
      <c r="Q148">
        <f t="shared" si="50"/>
        <v>0</v>
      </c>
      <c r="R148" s="29">
        <f t="shared" si="51"/>
        <v>0</v>
      </c>
      <c r="S148" s="29">
        <f t="shared" si="43"/>
        <v>0</v>
      </c>
      <c r="T148" s="29">
        <f t="shared" si="52"/>
        <v>3672.3486178745097</v>
      </c>
      <c r="U148">
        <f t="shared" si="53"/>
        <v>0</v>
      </c>
      <c r="V148" s="29">
        <f t="shared" si="54"/>
        <v>0</v>
      </c>
      <c r="W148" s="29">
        <f t="shared" si="44"/>
        <v>0</v>
      </c>
      <c r="X148" s="29">
        <f t="shared" si="55"/>
        <v>3672.3486178745097</v>
      </c>
      <c r="Y148">
        <f t="shared" si="56"/>
        <v>0</v>
      </c>
    </row>
    <row r="149" spans="1:25" x14ac:dyDescent="0.25">
      <c r="A149" s="4" t="s">
        <v>943</v>
      </c>
      <c r="B149" s="7" t="s">
        <v>173</v>
      </c>
      <c r="C149" s="2" t="s">
        <v>944</v>
      </c>
      <c r="D149">
        <f>VLOOKUP(B149,'Model allocations'!$A$1:$L$317,4,FALSE)</f>
        <v>0</v>
      </c>
      <c r="E149" s="31">
        <f>VLOOKUP(B149,'Initial adjusted formula count'!$A$1:$P$317,12,FALSE)</f>
        <v>6.9145758661887699E-2</v>
      </c>
      <c r="F149">
        <f>VLOOKUP(B149,'Model allocations'!$A$1:$L$317,9,FALSE)</f>
        <v>0</v>
      </c>
      <c r="G149" s="30">
        <f t="shared" si="45"/>
        <v>0.85</v>
      </c>
      <c r="H149">
        <f t="shared" si="46"/>
        <v>0</v>
      </c>
      <c r="I149">
        <f t="shared" si="38"/>
        <v>0</v>
      </c>
      <c r="J149">
        <f t="shared" si="39"/>
        <v>0</v>
      </c>
      <c r="K149">
        <f t="shared" si="40"/>
        <v>0</v>
      </c>
      <c r="L149">
        <f t="shared" si="47"/>
        <v>0</v>
      </c>
      <c r="M149">
        <f t="shared" si="41"/>
        <v>0</v>
      </c>
      <c r="N149" s="29">
        <f t="shared" si="48"/>
        <v>0</v>
      </c>
      <c r="O149" s="29">
        <f t="shared" si="42"/>
        <v>0</v>
      </c>
      <c r="P149" s="29">
        <f t="shared" si="49"/>
        <v>0</v>
      </c>
      <c r="Q149">
        <f t="shared" si="50"/>
        <v>0</v>
      </c>
      <c r="R149" s="29">
        <f t="shared" si="51"/>
        <v>0</v>
      </c>
      <c r="S149" s="29">
        <f t="shared" si="43"/>
        <v>0</v>
      </c>
      <c r="T149" s="29">
        <f t="shared" si="52"/>
        <v>0</v>
      </c>
      <c r="U149">
        <f t="shared" si="53"/>
        <v>0</v>
      </c>
      <c r="V149" s="29">
        <f t="shared" si="54"/>
        <v>0</v>
      </c>
      <c r="W149" s="29">
        <f t="shared" si="44"/>
        <v>0</v>
      </c>
      <c r="X149" s="29">
        <f t="shared" si="55"/>
        <v>0</v>
      </c>
      <c r="Y149">
        <f t="shared" si="56"/>
        <v>0</v>
      </c>
    </row>
    <row r="150" spans="1:25" x14ac:dyDescent="0.25">
      <c r="A150" s="4" t="s">
        <v>945</v>
      </c>
      <c r="B150" s="7" t="s">
        <v>471</v>
      </c>
      <c r="C150" s="2" t="s">
        <v>946</v>
      </c>
      <c r="D150">
        <f>VLOOKUP(B150,'Model allocations'!$A$1:$L$317,4,FALSE)</f>
        <v>48284.583679461124</v>
      </c>
      <c r="E150" s="31">
        <f>VLOOKUP(B150,'Initial adjusted formula count'!$A$1:$P$317,12,FALSE)</f>
        <v>9.1997008227374694E-2</v>
      </c>
      <c r="F150">
        <f>VLOOKUP(B150,'Model allocations'!$A$1:$L$317,9,FALSE)</f>
        <v>41041.896127541957</v>
      </c>
      <c r="G150" s="30">
        <f t="shared" si="45"/>
        <v>0.85</v>
      </c>
      <c r="H150">
        <f t="shared" si="46"/>
        <v>41041.896127541957</v>
      </c>
      <c r="I150">
        <f t="shared" si="38"/>
        <v>0</v>
      </c>
      <c r="J150">
        <f t="shared" si="39"/>
        <v>41041.896127541957</v>
      </c>
      <c r="K150">
        <f t="shared" si="40"/>
        <v>41007.413375706565</v>
      </c>
      <c r="L150">
        <f t="shared" si="47"/>
        <v>41007.413375706565</v>
      </c>
      <c r="M150">
        <f t="shared" si="41"/>
        <v>41041.896127541957</v>
      </c>
      <c r="N150" s="29">
        <f t="shared" si="48"/>
        <v>0</v>
      </c>
      <c r="O150" s="29">
        <f t="shared" si="42"/>
        <v>0</v>
      </c>
      <c r="P150" s="29">
        <f t="shared" si="49"/>
        <v>41041.896127541957</v>
      </c>
      <c r="Q150">
        <f t="shared" si="50"/>
        <v>0</v>
      </c>
      <c r="R150" s="29">
        <f t="shared" si="51"/>
        <v>0</v>
      </c>
      <c r="S150" s="29">
        <f t="shared" si="43"/>
        <v>0</v>
      </c>
      <c r="T150" s="29">
        <f t="shared" si="52"/>
        <v>41041.896127541957</v>
      </c>
      <c r="U150">
        <f t="shared" si="53"/>
        <v>0</v>
      </c>
      <c r="V150" s="29">
        <f t="shared" si="54"/>
        <v>0</v>
      </c>
      <c r="W150" s="29">
        <f t="shared" si="44"/>
        <v>0</v>
      </c>
      <c r="X150" s="29">
        <f t="shared" si="55"/>
        <v>41041.896127541957</v>
      </c>
      <c r="Y150">
        <f t="shared" si="56"/>
        <v>0</v>
      </c>
    </row>
    <row r="151" spans="1:25" x14ac:dyDescent="0.25">
      <c r="A151" s="4" t="s">
        <v>947</v>
      </c>
      <c r="B151" s="7" t="s">
        <v>473</v>
      </c>
      <c r="C151" s="2" t="s">
        <v>948</v>
      </c>
      <c r="D151">
        <f>VLOOKUP(B151,'Model allocations'!$A$1:$L$317,4,FALSE)</f>
        <v>11870.659825955108</v>
      </c>
      <c r="E151" s="31">
        <f>VLOOKUP(B151,'Initial adjusted formula count'!$A$1:$P$317,12,FALSE)</f>
        <v>0.12759643916913899</v>
      </c>
      <c r="F151">
        <f>VLOOKUP(B151,'Model allocations'!$A$1:$L$317,9,FALSE)</f>
        <v>10090.060852061843</v>
      </c>
      <c r="G151" s="30">
        <f t="shared" si="45"/>
        <v>0.85</v>
      </c>
      <c r="H151">
        <f t="shared" si="46"/>
        <v>10090.060852061843</v>
      </c>
      <c r="I151">
        <f t="shared" si="38"/>
        <v>0</v>
      </c>
      <c r="J151">
        <f t="shared" si="39"/>
        <v>10090.060852061843</v>
      </c>
      <c r="K151">
        <f t="shared" si="40"/>
        <v>10081.583342560712</v>
      </c>
      <c r="L151">
        <f t="shared" si="47"/>
        <v>10081.583342560712</v>
      </c>
      <c r="M151">
        <f t="shared" si="41"/>
        <v>10090.060852061843</v>
      </c>
      <c r="N151" s="29">
        <f t="shared" si="48"/>
        <v>0</v>
      </c>
      <c r="O151" s="29">
        <f t="shared" si="42"/>
        <v>0</v>
      </c>
      <c r="P151" s="29">
        <f t="shared" si="49"/>
        <v>10090.060852061843</v>
      </c>
      <c r="Q151">
        <f t="shared" si="50"/>
        <v>0</v>
      </c>
      <c r="R151" s="29">
        <f t="shared" si="51"/>
        <v>0</v>
      </c>
      <c r="S151" s="29">
        <f t="shared" si="43"/>
        <v>0</v>
      </c>
      <c r="T151" s="29">
        <f t="shared" si="52"/>
        <v>10090.060852061843</v>
      </c>
      <c r="U151">
        <f t="shared" si="53"/>
        <v>0</v>
      </c>
      <c r="V151" s="29">
        <f t="shared" si="54"/>
        <v>0</v>
      </c>
      <c r="W151" s="29">
        <f t="shared" si="44"/>
        <v>0</v>
      </c>
      <c r="X151" s="29">
        <f t="shared" si="55"/>
        <v>10090.060852061843</v>
      </c>
      <c r="Y151">
        <f t="shared" si="56"/>
        <v>0</v>
      </c>
    </row>
    <row r="152" spans="1:25" x14ac:dyDescent="0.25">
      <c r="A152" s="4" t="s">
        <v>949</v>
      </c>
      <c r="B152" s="7" t="s">
        <v>475</v>
      </c>
      <c r="C152" s="2" t="s">
        <v>950</v>
      </c>
      <c r="D152">
        <f>VLOOKUP(B152,'Model allocations'!$A$1:$L$317,4,FALSE)</f>
        <v>261034.05197684217</v>
      </c>
      <c r="E152" s="31">
        <f>VLOOKUP(B152,'Initial adjusted formula count'!$A$1:$P$317,12,FALSE)</f>
        <v>0.16728091728091701</v>
      </c>
      <c r="F152">
        <f>VLOOKUP(B152,'Model allocations'!$A$1:$L$317,9,FALSE)</f>
        <v>382345.43609480723</v>
      </c>
      <c r="G152" s="30">
        <f t="shared" si="45"/>
        <v>0.9</v>
      </c>
      <c r="H152">
        <f t="shared" si="46"/>
        <v>234930.64677915795</v>
      </c>
      <c r="I152">
        <f t="shared" si="38"/>
        <v>0</v>
      </c>
      <c r="J152">
        <f t="shared" si="39"/>
        <v>382345.43609480723</v>
      </c>
      <c r="K152">
        <f t="shared" si="40"/>
        <v>382024.19550818129</v>
      </c>
      <c r="L152">
        <f t="shared" si="47"/>
        <v>382024.19550818129</v>
      </c>
      <c r="M152">
        <f t="shared" si="41"/>
        <v>0</v>
      </c>
      <c r="N152" s="29">
        <f t="shared" si="48"/>
        <v>382024.19550818129</v>
      </c>
      <c r="O152" s="29">
        <f t="shared" si="42"/>
        <v>381928.35730938253</v>
      </c>
      <c r="P152" s="29">
        <f t="shared" si="49"/>
        <v>381928.35730938253</v>
      </c>
      <c r="Q152">
        <f t="shared" si="50"/>
        <v>0</v>
      </c>
      <c r="R152" s="29">
        <f t="shared" si="51"/>
        <v>381928.35730938253</v>
      </c>
      <c r="S152" s="29">
        <f t="shared" si="43"/>
        <v>381928.35730938247</v>
      </c>
      <c r="T152" s="29">
        <f t="shared" si="52"/>
        <v>381928.35730938247</v>
      </c>
      <c r="U152">
        <f t="shared" si="53"/>
        <v>0</v>
      </c>
      <c r="V152" s="29">
        <f t="shared" si="54"/>
        <v>381928.35730938247</v>
      </c>
      <c r="W152" s="29">
        <f t="shared" si="44"/>
        <v>381928.35730938247</v>
      </c>
      <c r="X152" s="29">
        <f t="shared" si="55"/>
        <v>381928.35730938247</v>
      </c>
      <c r="Y152">
        <f t="shared" si="56"/>
        <v>0</v>
      </c>
    </row>
    <row r="153" spans="1:25" x14ac:dyDescent="0.25">
      <c r="A153" s="4" t="s">
        <v>951</v>
      </c>
      <c r="B153" s="7" t="s">
        <v>477</v>
      </c>
      <c r="C153" s="2" t="s">
        <v>952</v>
      </c>
      <c r="D153">
        <f>VLOOKUP(B153,'Model allocations'!$A$1:$L$317,4,FALSE)</f>
        <v>28109.335099780204</v>
      </c>
      <c r="E153" s="31">
        <f>VLOOKUP(B153,'Initial adjusted formula count'!$A$1:$P$317,12,FALSE)</f>
        <v>9.8870056497175104E-2</v>
      </c>
      <c r="F153">
        <f>VLOOKUP(B153,'Model allocations'!$A$1:$L$317,9,FALSE)</f>
        <v>23892.934834813172</v>
      </c>
      <c r="G153" s="30">
        <f t="shared" si="45"/>
        <v>0.85</v>
      </c>
      <c r="H153">
        <f t="shared" si="46"/>
        <v>23892.934834813172</v>
      </c>
      <c r="I153">
        <f t="shared" si="38"/>
        <v>0</v>
      </c>
      <c r="J153">
        <f t="shared" si="39"/>
        <v>23892.934834813172</v>
      </c>
      <c r="K153">
        <f t="shared" si="40"/>
        <v>23872.86036895595</v>
      </c>
      <c r="L153">
        <f t="shared" si="47"/>
        <v>23872.86036895595</v>
      </c>
      <c r="M153">
        <f t="shared" si="41"/>
        <v>23892.934834813172</v>
      </c>
      <c r="N153" s="29">
        <f t="shared" si="48"/>
        <v>0</v>
      </c>
      <c r="O153" s="29">
        <f t="shared" si="42"/>
        <v>0</v>
      </c>
      <c r="P153" s="29">
        <f t="shared" si="49"/>
        <v>23892.934834813172</v>
      </c>
      <c r="Q153">
        <f t="shared" si="50"/>
        <v>0</v>
      </c>
      <c r="R153" s="29">
        <f t="shared" si="51"/>
        <v>0</v>
      </c>
      <c r="S153" s="29">
        <f t="shared" si="43"/>
        <v>0</v>
      </c>
      <c r="T153" s="29">
        <f t="shared" si="52"/>
        <v>23892.934834813172</v>
      </c>
      <c r="U153">
        <f t="shared" si="53"/>
        <v>0</v>
      </c>
      <c r="V153" s="29">
        <f t="shared" si="54"/>
        <v>0</v>
      </c>
      <c r="W153" s="29">
        <f t="shared" si="44"/>
        <v>0</v>
      </c>
      <c r="X153" s="29">
        <f t="shared" si="55"/>
        <v>23892.934834813172</v>
      </c>
      <c r="Y153">
        <f t="shared" si="56"/>
        <v>0</v>
      </c>
    </row>
    <row r="154" spans="1:25" x14ac:dyDescent="0.25">
      <c r="A154" s="4" t="s">
        <v>953</v>
      </c>
      <c r="B154" s="7" t="s">
        <v>479</v>
      </c>
      <c r="C154" s="2" t="s">
        <v>954</v>
      </c>
      <c r="D154">
        <f>VLOOKUP(B154,'Model allocations'!$A$1:$L$317,4,FALSE)</f>
        <v>60299.057552754297</v>
      </c>
      <c r="E154" s="31">
        <f>VLOOKUP(B154,'Initial adjusted formula count'!$A$1:$P$317,12,FALSE)</f>
        <v>0.12925851703406799</v>
      </c>
      <c r="F154">
        <f>VLOOKUP(B154,'Model allocations'!$A$1:$L$317,9,FALSE)</f>
        <v>51254.198919841154</v>
      </c>
      <c r="G154" s="30">
        <f t="shared" si="45"/>
        <v>0.85</v>
      </c>
      <c r="H154">
        <f t="shared" si="46"/>
        <v>51254.198919841154</v>
      </c>
      <c r="I154">
        <f t="shared" si="38"/>
        <v>0</v>
      </c>
      <c r="J154">
        <f t="shared" si="39"/>
        <v>51254.198919841154</v>
      </c>
      <c r="K154">
        <f t="shared" si="40"/>
        <v>51211.135952760342</v>
      </c>
      <c r="L154">
        <f t="shared" si="47"/>
        <v>51211.135952760342</v>
      </c>
      <c r="M154">
        <f t="shared" si="41"/>
        <v>51254.198919841154</v>
      </c>
      <c r="N154" s="29">
        <f t="shared" si="48"/>
        <v>0</v>
      </c>
      <c r="O154" s="29">
        <f t="shared" si="42"/>
        <v>0</v>
      </c>
      <c r="P154" s="29">
        <f t="shared" si="49"/>
        <v>51254.198919841154</v>
      </c>
      <c r="Q154">
        <f t="shared" si="50"/>
        <v>0</v>
      </c>
      <c r="R154" s="29">
        <f t="shared" si="51"/>
        <v>0</v>
      </c>
      <c r="S154" s="29">
        <f t="shared" si="43"/>
        <v>0</v>
      </c>
      <c r="T154" s="29">
        <f t="shared" si="52"/>
        <v>51254.198919841154</v>
      </c>
      <c r="U154">
        <f t="shared" si="53"/>
        <v>0</v>
      </c>
      <c r="V154" s="29">
        <f t="shared" si="54"/>
        <v>0</v>
      </c>
      <c r="W154" s="29">
        <f t="shared" si="44"/>
        <v>0</v>
      </c>
      <c r="X154" s="29">
        <f t="shared" si="55"/>
        <v>51254.198919841154</v>
      </c>
      <c r="Y154">
        <f t="shared" si="56"/>
        <v>0</v>
      </c>
    </row>
    <row r="155" spans="1:25" x14ac:dyDescent="0.25">
      <c r="A155" s="4" t="s">
        <v>955</v>
      </c>
      <c r="B155" s="7" t="s">
        <v>481</v>
      </c>
      <c r="C155" s="2" t="s">
        <v>956</v>
      </c>
      <c r="D155">
        <f>VLOOKUP(B155,'Model allocations'!$A$1:$L$317,4,FALSE)</f>
        <v>76259.99645765101</v>
      </c>
      <c r="E155" s="31">
        <f>VLOOKUP(B155,'Initial adjusted formula count'!$A$1:$P$317,12,FALSE)</f>
        <v>0.111839410077837</v>
      </c>
      <c r="F155">
        <f>VLOOKUP(B155,'Model allocations'!$A$1:$L$317,9,FALSE)</f>
        <v>64820.996989003354</v>
      </c>
      <c r="G155" s="30">
        <f t="shared" si="45"/>
        <v>0.85</v>
      </c>
      <c r="H155">
        <f t="shared" si="46"/>
        <v>64820.996989003354</v>
      </c>
      <c r="I155">
        <f t="shared" si="38"/>
        <v>0</v>
      </c>
      <c r="J155">
        <f t="shared" si="39"/>
        <v>64820.996989003354</v>
      </c>
      <c r="K155">
        <f t="shared" si="40"/>
        <v>64766.535412814272</v>
      </c>
      <c r="L155">
        <f t="shared" si="47"/>
        <v>64766.535412814272</v>
      </c>
      <c r="M155">
        <f t="shared" si="41"/>
        <v>64820.996989003354</v>
      </c>
      <c r="N155" s="29">
        <f t="shared" si="48"/>
        <v>0</v>
      </c>
      <c r="O155" s="29">
        <f t="shared" si="42"/>
        <v>0</v>
      </c>
      <c r="P155" s="29">
        <f t="shared" si="49"/>
        <v>64820.996989003354</v>
      </c>
      <c r="Q155">
        <f t="shared" si="50"/>
        <v>0</v>
      </c>
      <c r="R155" s="29">
        <f t="shared" si="51"/>
        <v>0</v>
      </c>
      <c r="S155" s="29">
        <f t="shared" si="43"/>
        <v>0</v>
      </c>
      <c r="T155" s="29">
        <f t="shared" si="52"/>
        <v>64820.996989003354</v>
      </c>
      <c r="U155">
        <f t="shared" si="53"/>
        <v>0</v>
      </c>
      <c r="V155" s="29">
        <f t="shared" si="54"/>
        <v>0</v>
      </c>
      <c r="W155" s="29">
        <f t="shared" si="44"/>
        <v>0</v>
      </c>
      <c r="X155" s="29">
        <f t="shared" si="55"/>
        <v>64820.996989003354</v>
      </c>
      <c r="Y155">
        <f t="shared" si="56"/>
        <v>0</v>
      </c>
    </row>
    <row r="156" spans="1:25" x14ac:dyDescent="0.25">
      <c r="A156" s="4" t="s">
        <v>957</v>
      </c>
      <c r="B156" s="7" t="s">
        <v>175</v>
      </c>
      <c r="C156" s="2" t="s">
        <v>958</v>
      </c>
      <c r="D156">
        <f>VLOOKUP(B156,'Model allocations'!$A$1:$L$317,4,FALSE)</f>
        <v>0</v>
      </c>
      <c r="E156" s="31">
        <f>VLOOKUP(B156,'Initial adjusted formula count'!$A$1:$P$317,12,FALSE)</f>
        <v>4.8780487804878002E-2</v>
      </c>
      <c r="F156">
        <f>VLOOKUP(B156,'Model allocations'!$A$1:$L$317,9,FALSE)</f>
        <v>0</v>
      </c>
      <c r="G156" s="30">
        <f t="shared" si="45"/>
        <v>0.85</v>
      </c>
      <c r="H156">
        <f t="shared" si="46"/>
        <v>0</v>
      </c>
      <c r="I156">
        <f t="shared" si="38"/>
        <v>0</v>
      </c>
      <c r="J156">
        <f t="shared" si="39"/>
        <v>0</v>
      </c>
      <c r="K156">
        <f t="shared" si="40"/>
        <v>0</v>
      </c>
      <c r="L156">
        <f t="shared" si="47"/>
        <v>0</v>
      </c>
      <c r="M156">
        <f t="shared" si="41"/>
        <v>0</v>
      </c>
      <c r="N156" s="29">
        <f t="shared" si="48"/>
        <v>0</v>
      </c>
      <c r="O156" s="29">
        <f t="shared" si="42"/>
        <v>0</v>
      </c>
      <c r="P156" s="29">
        <f t="shared" si="49"/>
        <v>0</v>
      </c>
      <c r="Q156">
        <f t="shared" si="50"/>
        <v>0</v>
      </c>
      <c r="R156" s="29">
        <f t="shared" si="51"/>
        <v>0</v>
      </c>
      <c r="S156" s="29">
        <f t="shared" si="43"/>
        <v>0</v>
      </c>
      <c r="T156" s="29">
        <f t="shared" si="52"/>
        <v>0</v>
      </c>
      <c r="U156">
        <f t="shared" si="53"/>
        <v>0</v>
      </c>
      <c r="V156" s="29">
        <f t="shared" si="54"/>
        <v>0</v>
      </c>
      <c r="W156" s="29">
        <f t="shared" si="44"/>
        <v>0</v>
      </c>
      <c r="X156" s="29">
        <f t="shared" si="55"/>
        <v>0</v>
      </c>
      <c r="Y156">
        <f t="shared" si="56"/>
        <v>0</v>
      </c>
    </row>
    <row r="157" spans="1:25" x14ac:dyDescent="0.25">
      <c r="A157" s="4" t="s">
        <v>959</v>
      </c>
      <c r="B157" s="7" t="s">
        <v>483</v>
      </c>
      <c r="C157" s="9" t="s">
        <v>960</v>
      </c>
      <c r="D157">
        <f>VLOOKUP(B157,'Model allocations'!$A$1:$L$317,4,FALSE)</f>
        <v>155521.93077018767</v>
      </c>
      <c r="E157" s="31">
        <f>VLOOKUP(B157,'Initial adjusted formula count'!$A$1:$P$317,12,FALSE)</f>
        <v>0.13468963468963499</v>
      </c>
      <c r="F157">
        <f>VLOOKUP(B157,'Model allocations'!$A$1:$L$317,9,FALSE)</f>
        <v>132193.6411546595</v>
      </c>
      <c r="G157" s="30">
        <f t="shared" si="45"/>
        <v>0.85</v>
      </c>
      <c r="H157">
        <f t="shared" si="46"/>
        <v>132193.6411546595</v>
      </c>
      <c r="I157">
        <f t="shared" si="38"/>
        <v>0</v>
      </c>
      <c r="J157">
        <f t="shared" si="39"/>
        <v>132193.6411546595</v>
      </c>
      <c r="K157">
        <f t="shared" si="40"/>
        <v>132082.57414869108</v>
      </c>
      <c r="L157">
        <f t="shared" si="47"/>
        <v>132082.57414869108</v>
      </c>
      <c r="M157">
        <f t="shared" si="41"/>
        <v>132193.6411546595</v>
      </c>
      <c r="N157" s="29">
        <f t="shared" si="48"/>
        <v>0</v>
      </c>
      <c r="O157" s="29">
        <f t="shared" si="42"/>
        <v>0</v>
      </c>
      <c r="P157" s="29">
        <f t="shared" si="49"/>
        <v>132193.6411546595</v>
      </c>
      <c r="Q157">
        <f t="shared" si="50"/>
        <v>0</v>
      </c>
      <c r="R157" s="29">
        <f t="shared" si="51"/>
        <v>0</v>
      </c>
      <c r="S157" s="29">
        <f t="shared" si="43"/>
        <v>0</v>
      </c>
      <c r="T157" s="29">
        <f t="shared" si="52"/>
        <v>132193.6411546595</v>
      </c>
      <c r="U157">
        <f t="shared" si="53"/>
        <v>0</v>
      </c>
      <c r="V157" s="29">
        <f t="shared" si="54"/>
        <v>0</v>
      </c>
      <c r="W157" s="29">
        <f t="shared" si="44"/>
        <v>0</v>
      </c>
      <c r="X157" s="29">
        <f t="shared" si="55"/>
        <v>132193.6411546595</v>
      </c>
      <c r="Y157">
        <f t="shared" si="56"/>
        <v>0</v>
      </c>
    </row>
    <row r="158" spans="1:25" x14ac:dyDescent="0.25">
      <c r="A158" s="4" t="s">
        <v>961</v>
      </c>
      <c r="B158" s="7" t="s">
        <v>286</v>
      </c>
      <c r="C158" s="2" t="s">
        <v>962</v>
      </c>
      <c r="D158">
        <f>VLOOKUP(B158,'Model allocations'!$A$1:$L$317,4,FALSE)</f>
        <v>0</v>
      </c>
      <c r="E158" s="31">
        <f>VLOOKUP(B158,'Initial adjusted formula count'!$A$1:$P$317,12,FALSE)</f>
        <v>0.14421385860006999</v>
      </c>
      <c r="F158">
        <f>VLOOKUP(B158,'Model allocations'!$A$1:$L$317,9,FALSE)</f>
        <v>0</v>
      </c>
      <c r="G158" s="30">
        <f t="shared" si="45"/>
        <v>0.85</v>
      </c>
      <c r="H158">
        <f t="shared" si="46"/>
        <v>0</v>
      </c>
      <c r="I158">
        <f t="shared" si="38"/>
        <v>0</v>
      </c>
      <c r="J158">
        <f t="shared" si="39"/>
        <v>0</v>
      </c>
      <c r="K158">
        <f t="shared" si="40"/>
        <v>0</v>
      </c>
      <c r="L158">
        <f t="shared" si="47"/>
        <v>0</v>
      </c>
      <c r="M158">
        <f t="shared" si="41"/>
        <v>0</v>
      </c>
      <c r="N158" s="29">
        <f t="shared" si="48"/>
        <v>0</v>
      </c>
      <c r="O158" s="29">
        <f t="shared" si="42"/>
        <v>0</v>
      </c>
      <c r="P158" s="29">
        <f t="shared" si="49"/>
        <v>0</v>
      </c>
      <c r="Q158">
        <f t="shared" si="50"/>
        <v>0</v>
      </c>
      <c r="R158" s="29">
        <f t="shared" si="51"/>
        <v>0</v>
      </c>
      <c r="S158" s="29">
        <f t="shared" si="43"/>
        <v>0</v>
      </c>
      <c r="T158" s="29">
        <f t="shared" si="52"/>
        <v>0</v>
      </c>
      <c r="U158">
        <f t="shared" si="53"/>
        <v>0</v>
      </c>
      <c r="V158" s="29">
        <f t="shared" si="54"/>
        <v>0</v>
      </c>
      <c r="W158" s="29">
        <f t="shared" si="44"/>
        <v>0</v>
      </c>
      <c r="X158" s="29">
        <f t="shared" si="55"/>
        <v>0</v>
      </c>
      <c r="Y158">
        <f t="shared" si="56"/>
        <v>0</v>
      </c>
    </row>
    <row r="159" spans="1:25" x14ac:dyDescent="0.25">
      <c r="A159" s="4" t="s">
        <v>963</v>
      </c>
      <c r="B159" s="7" t="s">
        <v>485</v>
      </c>
      <c r="C159" s="2" t="s">
        <v>964</v>
      </c>
      <c r="D159">
        <f>VLOOKUP(B159,'Model allocations'!$A$1:$L$317,4,FALSE)</f>
        <v>0</v>
      </c>
      <c r="E159" s="31">
        <f>VLOOKUP(B159,'Initial adjusted formula count'!$A$1:$P$317,12,FALSE)</f>
        <v>0.108426270136307</v>
      </c>
      <c r="F159">
        <f>VLOOKUP(B159,'Model allocations'!$A$1:$L$317,9,FALSE)</f>
        <v>0</v>
      </c>
      <c r="G159" s="30">
        <f t="shared" si="45"/>
        <v>0.85</v>
      </c>
      <c r="H159">
        <f t="shared" si="46"/>
        <v>0</v>
      </c>
      <c r="I159">
        <f t="shared" si="38"/>
        <v>0</v>
      </c>
      <c r="J159">
        <f t="shared" si="39"/>
        <v>0</v>
      </c>
      <c r="K159">
        <f t="shared" si="40"/>
        <v>0</v>
      </c>
      <c r="L159">
        <f t="shared" si="47"/>
        <v>0</v>
      </c>
      <c r="M159">
        <f t="shared" si="41"/>
        <v>0</v>
      </c>
      <c r="N159" s="29">
        <f t="shared" si="48"/>
        <v>0</v>
      </c>
      <c r="O159" s="29">
        <f t="shared" si="42"/>
        <v>0</v>
      </c>
      <c r="P159" s="29">
        <f t="shared" si="49"/>
        <v>0</v>
      </c>
      <c r="Q159">
        <f t="shared" si="50"/>
        <v>0</v>
      </c>
      <c r="R159" s="29">
        <f t="shared" si="51"/>
        <v>0</v>
      </c>
      <c r="S159" s="29">
        <f t="shared" si="43"/>
        <v>0</v>
      </c>
      <c r="T159" s="29">
        <f t="shared" si="52"/>
        <v>0</v>
      </c>
      <c r="U159">
        <f t="shared" si="53"/>
        <v>0</v>
      </c>
      <c r="V159" s="29">
        <f t="shared" si="54"/>
        <v>0</v>
      </c>
      <c r="W159" s="29">
        <f t="shared" si="44"/>
        <v>0</v>
      </c>
      <c r="X159" s="29">
        <f t="shared" si="55"/>
        <v>0</v>
      </c>
      <c r="Y159">
        <f t="shared" si="56"/>
        <v>0</v>
      </c>
    </row>
    <row r="160" spans="1:25" x14ac:dyDescent="0.25">
      <c r="A160" s="4" t="s">
        <v>965</v>
      </c>
      <c r="B160" s="7" t="s">
        <v>487</v>
      </c>
      <c r="C160" s="2" t="s">
        <v>966</v>
      </c>
      <c r="D160">
        <f>VLOOKUP(B160,'Model allocations'!$A$1:$L$317,4,FALSE)</f>
        <v>16645.558652458367</v>
      </c>
      <c r="E160" s="31">
        <f>VLOOKUP(B160,'Initial adjusted formula count'!$A$1:$P$317,12,FALSE)</f>
        <v>0.11210191082802499</v>
      </c>
      <c r="F160">
        <f>VLOOKUP(B160,'Model allocations'!$A$1:$L$317,9,FALSE)</f>
        <v>14148.724854589611</v>
      </c>
      <c r="G160" s="30">
        <f t="shared" si="45"/>
        <v>0.85</v>
      </c>
      <c r="H160">
        <f t="shared" si="46"/>
        <v>14148.724854589611</v>
      </c>
      <c r="I160">
        <f t="shared" si="38"/>
        <v>0</v>
      </c>
      <c r="J160">
        <f t="shared" si="39"/>
        <v>14148.724854589611</v>
      </c>
      <c r="K160">
        <f t="shared" si="40"/>
        <v>14136.837319802431</v>
      </c>
      <c r="L160">
        <f t="shared" si="47"/>
        <v>14136.837319802431</v>
      </c>
      <c r="M160">
        <f t="shared" si="41"/>
        <v>14148.724854589611</v>
      </c>
      <c r="N160" s="29">
        <f t="shared" si="48"/>
        <v>0</v>
      </c>
      <c r="O160" s="29">
        <f t="shared" si="42"/>
        <v>0</v>
      </c>
      <c r="P160" s="29">
        <f t="shared" si="49"/>
        <v>14148.724854589611</v>
      </c>
      <c r="Q160">
        <f t="shared" si="50"/>
        <v>0</v>
      </c>
      <c r="R160" s="29">
        <f t="shared" si="51"/>
        <v>0</v>
      </c>
      <c r="S160" s="29">
        <f t="shared" si="43"/>
        <v>0</v>
      </c>
      <c r="T160" s="29">
        <f t="shared" si="52"/>
        <v>14148.724854589611</v>
      </c>
      <c r="U160">
        <f t="shared" si="53"/>
        <v>0</v>
      </c>
      <c r="V160" s="29">
        <f t="shared" si="54"/>
        <v>0</v>
      </c>
      <c r="W160" s="29">
        <f t="shared" si="44"/>
        <v>0</v>
      </c>
      <c r="X160" s="29">
        <f t="shared" si="55"/>
        <v>14148.724854589611</v>
      </c>
      <c r="Y160">
        <f t="shared" si="56"/>
        <v>0</v>
      </c>
    </row>
    <row r="161" spans="1:25" x14ac:dyDescent="0.25">
      <c r="A161" s="4" t="s">
        <v>967</v>
      </c>
      <c r="B161" s="7" t="s">
        <v>489</v>
      </c>
      <c r="C161" s="2" t="s">
        <v>968</v>
      </c>
      <c r="D161">
        <f>VLOOKUP(B161,'Model allocations'!$A$1:$L$317,4,FALSE)</f>
        <v>0</v>
      </c>
      <c r="E161" s="31">
        <f>VLOOKUP(B161,'Initial adjusted formula count'!$A$1:$P$317,12,FALSE)</f>
        <v>0.119402985074627</v>
      </c>
      <c r="F161">
        <f>VLOOKUP(B161,'Model allocations'!$A$1:$L$317,9,FALSE)</f>
        <v>0</v>
      </c>
      <c r="G161" s="30">
        <f t="shared" si="45"/>
        <v>0.85</v>
      </c>
      <c r="H161">
        <f t="shared" si="46"/>
        <v>0</v>
      </c>
      <c r="I161">
        <f t="shared" si="38"/>
        <v>0</v>
      </c>
      <c r="J161">
        <f t="shared" si="39"/>
        <v>0</v>
      </c>
      <c r="K161">
        <f t="shared" si="40"/>
        <v>0</v>
      </c>
      <c r="L161">
        <f t="shared" si="47"/>
        <v>0</v>
      </c>
      <c r="M161">
        <f t="shared" si="41"/>
        <v>0</v>
      </c>
      <c r="N161" s="29">
        <f t="shared" si="48"/>
        <v>0</v>
      </c>
      <c r="O161" s="29">
        <f t="shared" si="42"/>
        <v>0</v>
      </c>
      <c r="P161" s="29">
        <f t="shared" si="49"/>
        <v>0</v>
      </c>
      <c r="Q161">
        <f t="shared" si="50"/>
        <v>0</v>
      </c>
      <c r="R161" s="29">
        <f t="shared" si="51"/>
        <v>0</v>
      </c>
      <c r="S161" s="29">
        <f t="shared" si="43"/>
        <v>0</v>
      </c>
      <c r="T161" s="29">
        <f t="shared" si="52"/>
        <v>0</v>
      </c>
      <c r="U161">
        <f t="shared" si="53"/>
        <v>0</v>
      </c>
      <c r="V161" s="29">
        <f t="shared" si="54"/>
        <v>0</v>
      </c>
      <c r="W161" s="29">
        <f t="shared" si="44"/>
        <v>0</v>
      </c>
      <c r="X161" s="29">
        <f t="shared" si="55"/>
        <v>0</v>
      </c>
      <c r="Y161">
        <f t="shared" si="56"/>
        <v>0</v>
      </c>
    </row>
    <row r="162" spans="1:25" x14ac:dyDescent="0.25">
      <c r="A162" s="4" t="s">
        <v>969</v>
      </c>
      <c r="B162" s="7" t="s">
        <v>491</v>
      </c>
      <c r="C162" s="2" t="s">
        <v>970</v>
      </c>
      <c r="D162">
        <f>VLOOKUP(B162,'Model allocations'!$A$1:$L$317,4,FALSE)</f>
        <v>15602.775124573644</v>
      </c>
      <c r="E162" s="31">
        <f>VLOOKUP(B162,'Initial adjusted formula count'!$A$1:$P$317,12,FALSE)</f>
        <v>0.284552845528455</v>
      </c>
      <c r="F162">
        <f>VLOOKUP(B162,'Model allocations'!$A$1:$L$317,9,FALSE)</f>
        <v>16379.54744592198</v>
      </c>
      <c r="G162" s="30">
        <f t="shared" si="45"/>
        <v>0.9</v>
      </c>
      <c r="H162">
        <f t="shared" si="46"/>
        <v>14042.49761211628</v>
      </c>
      <c r="I162">
        <f t="shared" si="38"/>
        <v>0</v>
      </c>
      <c r="J162">
        <f t="shared" si="39"/>
        <v>16379.54744592198</v>
      </c>
      <c r="K162">
        <f t="shared" si="40"/>
        <v>16365.785609285618</v>
      </c>
      <c r="L162">
        <f t="shared" si="47"/>
        <v>16365.785609285618</v>
      </c>
      <c r="M162">
        <f t="shared" si="41"/>
        <v>0</v>
      </c>
      <c r="N162" s="29">
        <f t="shared" si="48"/>
        <v>16365.785609285618</v>
      </c>
      <c r="O162" s="29">
        <f t="shared" si="42"/>
        <v>16361.679933694484</v>
      </c>
      <c r="P162" s="29">
        <f t="shared" si="49"/>
        <v>16361.679933694484</v>
      </c>
      <c r="Q162">
        <f t="shared" si="50"/>
        <v>0</v>
      </c>
      <c r="R162" s="29">
        <f t="shared" si="51"/>
        <v>16361.679933694484</v>
      </c>
      <c r="S162" s="29">
        <f t="shared" si="43"/>
        <v>16361.67993369448</v>
      </c>
      <c r="T162" s="29">
        <f t="shared" si="52"/>
        <v>16361.67993369448</v>
      </c>
      <c r="U162">
        <f t="shared" si="53"/>
        <v>0</v>
      </c>
      <c r="V162" s="29">
        <f t="shared" si="54"/>
        <v>16361.67993369448</v>
      </c>
      <c r="W162" s="29">
        <f t="shared" si="44"/>
        <v>16361.67993369448</v>
      </c>
      <c r="X162" s="29">
        <f t="shared" si="55"/>
        <v>16361.67993369448</v>
      </c>
      <c r="Y162">
        <f t="shared" si="56"/>
        <v>0</v>
      </c>
    </row>
    <row r="163" spans="1:25" x14ac:dyDescent="0.25">
      <c r="A163" s="4" t="s">
        <v>971</v>
      </c>
      <c r="B163" s="7" t="s">
        <v>493</v>
      </c>
      <c r="C163" s="2" t="s">
        <v>972</v>
      </c>
      <c r="D163">
        <f>VLOOKUP(B163,'Model allocations'!$A$1:$L$317,4,FALSE)</f>
        <v>61885.874856774142</v>
      </c>
      <c r="E163" s="31">
        <f>VLOOKUP(B163,'Initial adjusted formula count'!$A$1:$P$317,12,FALSE)</f>
        <v>0.19440559440559399</v>
      </c>
      <c r="F163">
        <f>VLOOKUP(B163,'Model allocations'!$A$1:$L$317,9,FALSE)</f>
        <v>65050.202713804443</v>
      </c>
      <c r="G163" s="30">
        <f t="shared" si="45"/>
        <v>0.9</v>
      </c>
      <c r="H163">
        <f t="shared" si="46"/>
        <v>55697.287371096732</v>
      </c>
      <c r="I163">
        <f t="shared" si="38"/>
        <v>0</v>
      </c>
      <c r="J163">
        <f t="shared" si="39"/>
        <v>65050.202713804443</v>
      </c>
      <c r="K163">
        <f t="shared" si="40"/>
        <v>64995.548562591466</v>
      </c>
      <c r="L163">
        <f t="shared" si="47"/>
        <v>64995.548562591466</v>
      </c>
      <c r="M163">
        <f t="shared" si="41"/>
        <v>0</v>
      </c>
      <c r="N163" s="29">
        <f t="shared" si="48"/>
        <v>64995.548562591466</v>
      </c>
      <c r="O163" s="29">
        <f t="shared" si="42"/>
        <v>64979.243165243824</v>
      </c>
      <c r="P163" s="29">
        <f t="shared" si="49"/>
        <v>64979.243165243824</v>
      </c>
      <c r="Q163">
        <f t="shared" si="50"/>
        <v>0</v>
      </c>
      <c r="R163" s="29">
        <f t="shared" si="51"/>
        <v>64979.243165243824</v>
      </c>
      <c r="S163" s="29">
        <f t="shared" si="43"/>
        <v>64979.24316524381</v>
      </c>
      <c r="T163" s="29">
        <f t="shared" si="52"/>
        <v>64979.24316524381</v>
      </c>
      <c r="U163">
        <f t="shared" si="53"/>
        <v>0</v>
      </c>
      <c r="V163" s="29">
        <f t="shared" si="54"/>
        <v>64979.24316524381</v>
      </c>
      <c r="W163" s="29">
        <f t="shared" si="44"/>
        <v>64979.24316524381</v>
      </c>
      <c r="X163" s="29">
        <f t="shared" si="55"/>
        <v>64979.24316524381</v>
      </c>
      <c r="Y163">
        <f t="shared" si="56"/>
        <v>0</v>
      </c>
    </row>
    <row r="164" spans="1:25" x14ac:dyDescent="0.25">
      <c r="A164" s="4" t="s">
        <v>973</v>
      </c>
      <c r="B164" s="7" t="s">
        <v>495</v>
      </c>
      <c r="C164" s="2" t="s">
        <v>974</v>
      </c>
      <c r="D164">
        <f>VLOOKUP(B164,'Model allocations'!$A$1:$L$317,4,FALSE)</f>
        <v>47692.177246744221</v>
      </c>
      <c r="E164" s="31">
        <f>VLOOKUP(B164,'Initial adjusted formula count'!$A$1:$P$317,12,FALSE)</f>
        <v>7.3697585768741997E-2</v>
      </c>
      <c r="F164">
        <f>VLOOKUP(B164,'Model allocations'!$A$1:$L$317,9,FALSE)</f>
        <v>40538.350659732583</v>
      </c>
      <c r="G164" s="30">
        <f t="shared" si="45"/>
        <v>0.85</v>
      </c>
      <c r="H164">
        <f t="shared" si="46"/>
        <v>40538.350659732583</v>
      </c>
      <c r="I164">
        <f t="shared" si="38"/>
        <v>0</v>
      </c>
      <c r="J164">
        <f t="shared" si="39"/>
        <v>40538.350659732583</v>
      </c>
      <c r="K164">
        <f t="shared" si="40"/>
        <v>40504.290978833058</v>
      </c>
      <c r="L164">
        <f t="shared" si="47"/>
        <v>40504.290978833058</v>
      </c>
      <c r="M164">
        <f t="shared" si="41"/>
        <v>40538.350659732583</v>
      </c>
      <c r="N164" s="29">
        <f t="shared" si="48"/>
        <v>0</v>
      </c>
      <c r="O164" s="29">
        <f t="shared" si="42"/>
        <v>0</v>
      </c>
      <c r="P164" s="29">
        <f t="shared" si="49"/>
        <v>40538.350659732583</v>
      </c>
      <c r="Q164">
        <f t="shared" si="50"/>
        <v>0</v>
      </c>
      <c r="R164" s="29">
        <f t="shared" si="51"/>
        <v>0</v>
      </c>
      <c r="S164" s="29">
        <f t="shared" si="43"/>
        <v>0</v>
      </c>
      <c r="T164" s="29">
        <f t="shared" si="52"/>
        <v>40538.350659732583</v>
      </c>
      <c r="U164">
        <f t="shared" si="53"/>
        <v>0</v>
      </c>
      <c r="V164" s="29">
        <f t="shared" si="54"/>
        <v>0</v>
      </c>
      <c r="W164" s="29">
        <f t="shared" si="44"/>
        <v>0</v>
      </c>
      <c r="X164" s="29">
        <f t="shared" si="55"/>
        <v>40538.350659732583</v>
      </c>
      <c r="Y164">
        <f t="shared" si="56"/>
        <v>0</v>
      </c>
    </row>
    <row r="165" spans="1:25" x14ac:dyDescent="0.25">
      <c r="A165" s="4" t="s">
        <v>975</v>
      </c>
      <c r="B165" s="7" t="s">
        <v>177</v>
      </c>
      <c r="C165" s="2" t="s">
        <v>976</v>
      </c>
      <c r="D165">
        <f>VLOOKUP(B165,'Model allocations'!$A$1:$L$317,4,FALSE)</f>
        <v>0</v>
      </c>
      <c r="E165" s="31">
        <f>VLOOKUP(B165,'Initial adjusted formula count'!$A$1:$P$317,12,FALSE)</f>
        <v>0.11236462093862799</v>
      </c>
      <c r="F165">
        <f>VLOOKUP(B165,'Model allocations'!$A$1:$L$317,9,FALSE)</f>
        <v>0</v>
      </c>
      <c r="G165" s="30">
        <f t="shared" si="45"/>
        <v>0.85</v>
      </c>
      <c r="H165">
        <f t="shared" si="46"/>
        <v>0</v>
      </c>
      <c r="I165">
        <f t="shared" si="38"/>
        <v>0</v>
      </c>
      <c r="J165">
        <f t="shared" si="39"/>
        <v>0</v>
      </c>
      <c r="K165">
        <f t="shared" si="40"/>
        <v>0</v>
      </c>
      <c r="L165">
        <f t="shared" si="47"/>
        <v>0</v>
      </c>
      <c r="M165">
        <f t="shared" si="41"/>
        <v>0</v>
      </c>
      <c r="N165" s="29">
        <f t="shared" si="48"/>
        <v>0</v>
      </c>
      <c r="O165" s="29">
        <f t="shared" si="42"/>
        <v>0</v>
      </c>
      <c r="P165" s="29">
        <f t="shared" si="49"/>
        <v>0</v>
      </c>
      <c r="Q165">
        <f t="shared" si="50"/>
        <v>0</v>
      </c>
      <c r="R165" s="29">
        <f t="shared" si="51"/>
        <v>0</v>
      </c>
      <c r="S165" s="29">
        <f t="shared" si="43"/>
        <v>0</v>
      </c>
      <c r="T165" s="29">
        <f t="shared" si="52"/>
        <v>0</v>
      </c>
      <c r="U165">
        <f t="shared" si="53"/>
        <v>0</v>
      </c>
      <c r="V165" s="29">
        <f t="shared" si="54"/>
        <v>0</v>
      </c>
      <c r="W165" s="29">
        <f t="shared" si="44"/>
        <v>0</v>
      </c>
      <c r="X165" s="29">
        <f t="shared" si="55"/>
        <v>0</v>
      </c>
      <c r="Y165">
        <f t="shared" si="56"/>
        <v>0</v>
      </c>
    </row>
    <row r="166" spans="1:25" x14ac:dyDescent="0.25">
      <c r="A166" s="4" t="s">
        <v>977</v>
      </c>
      <c r="B166" s="7" t="s">
        <v>497</v>
      </c>
      <c r="C166" s="2" t="s">
        <v>978</v>
      </c>
      <c r="D166">
        <f>VLOOKUP(B166,'Model allocations'!$A$1:$L$317,4,FALSE)</f>
        <v>36270.109806167995</v>
      </c>
      <c r="E166" s="31">
        <f>VLOOKUP(B166,'Initial adjusted formula count'!$A$1:$P$317,12,FALSE)</f>
        <v>0.182978723404255</v>
      </c>
      <c r="F166">
        <f>VLOOKUP(B166,'Model allocations'!$A$1:$L$317,9,FALSE)</f>
        <v>32643.098825551195</v>
      </c>
      <c r="G166" s="30">
        <f t="shared" si="45"/>
        <v>0.9</v>
      </c>
      <c r="H166">
        <f t="shared" si="46"/>
        <v>32643.098825551195</v>
      </c>
      <c r="I166">
        <f t="shared" si="38"/>
        <v>0</v>
      </c>
      <c r="J166">
        <f t="shared" si="39"/>
        <v>32643.098825551195</v>
      </c>
      <c r="K166">
        <f t="shared" si="40"/>
        <v>32615.67261033829</v>
      </c>
      <c r="L166">
        <f t="shared" si="47"/>
        <v>32615.67261033829</v>
      </c>
      <c r="M166">
        <f t="shared" si="41"/>
        <v>32643.098825551195</v>
      </c>
      <c r="N166" s="29">
        <f t="shared" si="48"/>
        <v>0</v>
      </c>
      <c r="O166" s="29">
        <f t="shared" si="42"/>
        <v>0</v>
      </c>
      <c r="P166" s="29">
        <f t="shared" si="49"/>
        <v>32643.098825551195</v>
      </c>
      <c r="Q166">
        <f t="shared" si="50"/>
        <v>0</v>
      </c>
      <c r="R166" s="29">
        <f t="shared" si="51"/>
        <v>0</v>
      </c>
      <c r="S166" s="29">
        <f t="shared" si="43"/>
        <v>0</v>
      </c>
      <c r="T166" s="29">
        <f t="shared" si="52"/>
        <v>32643.098825551195</v>
      </c>
      <c r="U166">
        <f t="shared" si="53"/>
        <v>0</v>
      </c>
      <c r="V166" s="29">
        <f t="shared" si="54"/>
        <v>0</v>
      </c>
      <c r="W166" s="29">
        <f t="shared" si="44"/>
        <v>0</v>
      </c>
      <c r="X166" s="29">
        <f t="shared" si="55"/>
        <v>32643.098825551195</v>
      </c>
      <c r="Y166">
        <f t="shared" si="56"/>
        <v>0</v>
      </c>
    </row>
    <row r="167" spans="1:25" x14ac:dyDescent="0.25">
      <c r="A167" s="4" t="s">
        <v>979</v>
      </c>
      <c r="B167" s="7" t="s">
        <v>499</v>
      </c>
      <c r="C167" s="2" t="s">
        <v>980</v>
      </c>
      <c r="D167">
        <f>VLOOKUP(B167,'Model allocations'!$A$1:$L$317,4,FALSE)</f>
        <v>93848.909123459685</v>
      </c>
      <c r="E167" s="31">
        <f>VLOOKUP(B167,'Initial adjusted formula count'!$A$1:$P$317,12,FALSE)</f>
        <v>8.9673913043478201E-2</v>
      </c>
      <c r="F167">
        <f>VLOOKUP(B167,'Model allocations'!$A$1:$L$317,9,FALSE)</f>
        <v>79771.572754940731</v>
      </c>
      <c r="G167" s="30">
        <f t="shared" si="45"/>
        <v>0.85</v>
      </c>
      <c r="H167">
        <f t="shared" si="46"/>
        <v>79771.572754940731</v>
      </c>
      <c r="I167">
        <f t="shared" si="38"/>
        <v>0</v>
      </c>
      <c r="J167">
        <f t="shared" si="39"/>
        <v>79771.572754940731</v>
      </c>
      <c r="K167">
        <f t="shared" si="40"/>
        <v>79704.549941514197</v>
      </c>
      <c r="L167">
        <f t="shared" si="47"/>
        <v>79704.549941514197</v>
      </c>
      <c r="M167">
        <f t="shared" si="41"/>
        <v>79771.572754940731</v>
      </c>
      <c r="N167" s="29">
        <f t="shared" si="48"/>
        <v>0</v>
      </c>
      <c r="O167" s="29">
        <f t="shared" si="42"/>
        <v>0</v>
      </c>
      <c r="P167" s="29">
        <f t="shared" si="49"/>
        <v>79771.572754940731</v>
      </c>
      <c r="Q167">
        <f t="shared" si="50"/>
        <v>0</v>
      </c>
      <c r="R167" s="29">
        <f t="shared" si="51"/>
        <v>0</v>
      </c>
      <c r="S167" s="29">
        <f t="shared" si="43"/>
        <v>0</v>
      </c>
      <c r="T167" s="29">
        <f t="shared" si="52"/>
        <v>79771.572754940731</v>
      </c>
      <c r="U167">
        <f t="shared" si="53"/>
        <v>0</v>
      </c>
      <c r="V167" s="29">
        <f t="shared" si="54"/>
        <v>0</v>
      </c>
      <c r="W167" s="29">
        <f t="shared" si="44"/>
        <v>0</v>
      </c>
      <c r="X167" s="29">
        <f t="shared" si="55"/>
        <v>79771.572754940731</v>
      </c>
      <c r="Y167">
        <f t="shared" si="56"/>
        <v>0</v>
      </c>
    </row>
    <row r="168" spans="1:25" x14ac:dyDescent="0.25">
      <c r="A168" s="4" t="s">
        <v>981</v>
      </c>
      <c r="B168" s="7" t="s">
        <v>179</v>
      </c>
      <c r="C168" s="2" t="s">
        <v>982</v>
      </c>
      <c r="D168">
        <f>VLOOKUP(B168,'Model allocations'!$A$1:$L$317,4,FALSE)</f>
        <v>0</v>
      </c>
      <c r="E168" s="31">
        <f>VLOOKUP(B168,'Initial adjusted formula count'!$A$1:$P$317,12,FALSE)</f>
        <v>6.9692737430167601E-2</v>
      </c>
      <c r="F168">
        <f>VLOOKUP(B168,'Model allocations'!$A$1:$L$317,9,FALSE)</f>
        <v>0</v>
      </c>
      <c r="G168" s="30">
        <f t="shared" si="45"/>
        <v>0.85</v>
      </c>
      <c r="H168">
        <f t="shared" si="46"/>
        <v>0</v>
      </c>
      <c r="I168">
        <f t="shared" si="38"/>
        <v>0</v>
      </c>
      <c r="J168">
        <f t="shared" si="39"/>
        <v>0</v>
      </c>
      <c r="K168">
        <f t="shared" si="40"/>
        <v>0</v>
      </c>
      <c r="L168">
        <f t="shared" si="47"/>
        <v>0</v>
      </c>
      <c r="M168">
        <f t="shared" si="41"/>
        <v>0</v>
      </c>
      <c r="N168" s="29">
        <f t="shared" si="48"/>
        <v>0</v>
      </c>
      <c r="O168" s="29">
        <f t="shared" si="42"/>
        <v>0</v>
      </c>
      <c r="P168" s="29">
        <f t="shared" si="49"/>
        <v>0</v>
      </c>
      <c r="Q168">
        <f t="shared" si="50"/>
        <v>0</v>
      </c>
      <c r="R168" s="29">
        <f t="shared" si="51"/>
        <v>0</v>
      </c>
      <c r="S168" s="29">
        <f t="shared" si="43"/>
        <v>0</v>
      </c>
      <c r="T168" s="29">
        <f t="shared" si="52"/>
        <v>0</v>
      </c>
      <c r="U168">
        <f t="shared" si="53"/>
        <v>0</v>
      </c>
      <c r="V168" s="29">
        <f t="shared" si="54"/>
        <v>0</v>
      </c>
      <c r="W168" s="29">
        <f t="shared" si="44"/>
        <v>0</v>
      </c>
      <c r="X168" s="29">
        <f t="shared" si="55"/>
        <v>0</v>
      </c>
      <c r="Y168">
        <f t="shared" si="56"/>
        <v>0</v>
      </c>
    </row>
    <row r="169" spans="1:25" x14ac:dyDescent="0.25">
      <c r="A169" s="4" t="s">
        <v>983</v>
      </c>
      <c r="B169" s="7" t="s">
        <v>501</v>
      </c>
      <c r="C169" s="2" t="s">
        <v>984</v>
      </c>
      <c r="D169">
        <f>VLOOKUP(B169,'Model allocations'!$A$1:$L$317,4,FALSE)</f>
        <v>72303.109848999302</v>
      </c>
      <c r="E169" s="31">
        <f>VLOOKUP(B169,'Initial adjusted formula count'!$A$1:$P$317,12,FALSE)</f>
        <v>0.150242326332795</v>
      </c>
      <c r="F169">
        <f>VLOOKUP(B169,'Model allocations'!$A$1:$L$317,9,FALSE)</f>
        <v>87045.594998328219</v>
      </c>
      <c r="G169" s="30">
        <f t="shared" si="45"/>
        <v>0.9</v>
      </c>
      <c r="H169">
        <f t="shared" si="46"/>
        <v>65072.798864099372</v>
      </c>
      <c r="I169">
        <f t="shared" si="38"/>
        <v>0</v>
      </c>
      <c r="J169">
        <f t="shared" si="39"/>
        <v>87045.594998328219</v>
      </c>
      <c r="K169">
        <f t="shared" si="40"/>
        <v>86972.460666489278</v>
      </c>
      <c r="L169">
        <f t="shared" si="47"/>
        <v>86972.460666489278</v>
      </c>
      <c r="M169">
        <f t="shared" si="41"/>
        <v>0</v>
      </c>
      <c r="N169" s="29">
        <f t="shared" si="48"/>
        <v>86972.460666489278</v>
      </c>
      <c r="O169" s="29">
        <f t="shared" si="42"/>
        <v>86950.641933347826</v>
      </c>
      <c r="P169" s="29">
        <f t="shared" si="49"/>
        <v>86950.641933347826</v>
      </c>
      <c r="Q169">
        <f t="shared" si="50"/>
        <v>0</v>
      </c>
      <c r="R169" s="29">
        <f t="shared" si="51"/>
        <v>86950.641933347826</v>
      </c>
      <c r="S169" s="29">
        <f t="shared" si="43"/>
        <v>86950.641933347812</v>
      </c>
      <c r="T169" s="29">
        <f t="shared" si="52"/>
        <v>86950.641933347812</v>
      </c>
      <c r="U169">
        <f t="shared" si="53"/>
        <v>0</v>
      </c>
      <c r="V169" s="29">
        <f t="shared" si="54"/>
        <v>86950.641933347812</v>
      </c>
      <c r="W169" s="29">
        <f t="shared" si="44"/>
        <v>86950.641933347812</v>
      </c>
      <c r="X169" s="29">
        <f t="shared" si="55"/>
        <v>86950.641933347812</v>
      </c>
      <c r="Y169">
        <f t="shared" si="56"/>
        <v>0</v>
      </c>
    </row>
    <row r="170" spans="1:25" x14ac:dyDescent="0.25">
      <c r="A170" s="4" t="s">
        <v>985</v>
      </c>
      <c r="B170" s="7" t="s">
        <v>503</v>
      </c>
      <c r="C170" s="2" t="s">
        <v>986</v>
      </c>
      <c r="D170">
        <f>VLOOKUP(B170,'Model allocations'!$A$1:$L$317,4,FALSE)</f>
        <v>0</v>
      </c>
      <c r="E170" s="31">
        <f>VLOOKUP(B170,'Initial adjusted formula count'!$A$1:$P$317,12,FALSE)</f>
        <v>0.19607843137254899</v>
      </c>
      <c r="F170">
        <f>VLOOKUP(B170,'Model allocations'!$A$1:$L$317,9,FALSE)</f>
        <v>2339.9353494174252</v>
      </c>
      <c r="G170" s="30">
        <f t="shared" si="45"/>
        <v>0.9</v>
      </c>
      <c r="H170">
        <f t="shared" si="46"/>
        <v>0</v>
      </c>
      <c r="I170">
        <f t="shared" si="38"/>
        <v>0</v>
      </c>
      <c r="J170">
        <f t="shared" si="39"/>
        <v>2339.9353494174252</v>
      </c>
      <c r="K170">
        <f t="shared" si="40"/>
        <v>2337.969372755088</v>
      </c>
      <c r="L170">
        <f t="shared" si="47"/>
        <v>2337.969372755088</v>
      </c>
      <c r="M170">
        <f t="shared" si="41"/>
        <v>0</v>
      </c>
      <c r="N170" s="29">
        <f t="shared" si="48"/>
        <v>2337.969372755088</v>
      </c>
      <c r="O170" s="29">
        <f t="shared" si="42"/>
        <v>2337.3828476706403</v>
      </c>
      <c r="P170" s="29">
        <f t="shared" si="49"/>
        <v>2337.3828476706403</v>
      </c>
      <c r="Q170">
        <f t="shared" si="50"/>
        <v>0</v>
      </c>
      <c r="R170" s="29">
        <f t="shared" si="51"/>
        <v>2337.3828476706403</v>
      </c>
      <c r="S170" s="29">
        <f t="shared" si="43"/>
        <v>2337.3828476706399</v>
      </c>
      <c r="T170" s="29">
        <f t="shared" si="52"/>
        <v>2337.3828476706399</v>
      </c>
      <c r="U170">
        <f t="shared" si="53"/>
        <v>0</v>
      </c>
      <c r="V170" s="29">
        <f t="shared" si="54"/>
        <v>2337.3828476706399</v>
      </c>
      <c r="W170" s="29">
        <f t="shared" si="44"/>
        <v>2337.3828476706399</v>
      </c>
      <c r="X170" s="29">
        <f t="shared" si="55"/>
        <v>2337.3828476706399</v>
      </c>
      <c r="Y170">
        <f t="shared" si="56"/>
        <v>0</v>
      </c>
    </row>
    <row r="171" spans="1:25" x14ac:dyDescent="0.25">
      <c r="A171" s="4" t="s">
        <v>987</v>
      </c>
      <c r="B171" s="7" t="s">
        <v>181</v>
      </c>
      <c r="C171" s="2" t="s">
        <v>988</v>
      </c>
      <c r="D171">
        <f>VLOOKUP(B171,'Model allocations'!$A$1:$L$317,4,FALSE)</f>
        <v>0</v>
      </c>
      <c r="E171" s="31">
        <f>VLOOKUP(B171,'Initial adjusted formula count'!$A$1:$P$317,12,FALSE)</f>
        <v>9.4427153679018105E-2</v>
      </c>
      <c r="F171">
        <f>VLOOKUP(B171,'Model allocations'!$A$1:$L$317,9,FALSE)</f>
        <v>0</v>
      </c>
      <c r="G171" s="30">
        <f t="shared" si="45"/>
        <v>0.85</v>
      </c>
      <c r="H171">
        <f t="shared" si="46"/>
        <v>0</v>
      </c>
      <c r="I171">
        <f t="shared" si="38"/>
        <v>0</v>
      </c>
      <c r="J171">
        <f t="shared" si="39"/>
        <v>0</v>
      </c>
      <c r="K171">
        <f t="shared" si="40"/>
        <v>0</v>
      </c>
      <c r="L171">
        <f t="shared" si="47"/>
        <v>0</v>
      </c>
      <c r="M171">
        <f t="shared" si="41"/>
        <v>0</v>
      </c>
      <c r="N171" s="29">
        <f t="shared" si="48"/>
        <v>0</v>
      </c>
      <c r="O171" s="29">
        <f t="shared" si="42"/>
        <v>0</v>
      </c>
      <c r="P171" s="29">
        <f t="shared" si="49"/>
        <v>0</v>
      </c>
      <c r="Q171">
        <f t="shared" si="50"/>
        <v>0</v>
      </c>
      <c r="R171" s="29">
        <f t="shared" si="51"/>
        <v>0</v>
      </c>
      <c r="S171" s="29">
        <f t="shared" si="43"/>
        <v>0</v>
      </c>
      <c r="T171" s="29">
        <f t="shared" si="52"/>
        <v>0</v>
      </c>
      <c r="U171">
        <f t="shared" si="53"/>
        <v>0</v>
      </c>
      <c r="V171" s="29">
        <f t="shared" si="54"/>
        <v>0</v>
      </c>
      <c r="W171" s="29">
        <f t="shared" si="44"/>
        <v>0</v>
      </c>
      <c r="X171" s="29">
        <f t="shared" si="55"/>
        <v>0</v>
      </c>
      <c r="Y171">
        <f t="shared" si="56"/>
        <v>0</v>
      </c>
    </row>
    <row r="172" spans="1:25" x14ac:dyDescent="0.25">
      <c r="A172" s="4" t="s">
        <v>989</v>
      </c>
      <c r="B172" s="7" t="s">
        <v>505</v>
      </c>
      <c r="C172" s="2" t="s">
        <v>990</v>
      </c>
      <c r="D172">
        <f>VLOOKUP(B172,'Model allocations'!$A$1:$L$317,4,FALSE)</f>
        <v>15868.173040198501</v>
      </c>
      <c r="E172" s="31">
        <f>VLOOKUP(B172,'Initial adjusted formula count'!$A$1:$P$317,12,FALSE)</f>
        <v>0.20704845814978001</v>
      </c>
      <c r="F172">
        <f>VLOOKUP(B172,'Model allocations'!$A$1:$L$317,9,FALSE)</f>
        <v>14281.355736178652</v>
      </c>
      <c r="G172" s="30">
        <f t="shared" si="45"/>
        <v>0.9</v>
      </c>
      <c r="H172">
        <f t="shared" si="46"/>
        <v>14281.355736178652</v>
      </c>
      <c r="I172">
        <f t="shared" si="38"/>
        <v>0</v>
      </c>
      <c r="J172">
        <f t="shared" si="39"/>
        <v>14281.355736178652</v>
      </c>
      <c r="K172">
        <f t="shared" si="40"/>
        <v>14269.356767023006</v>
      </c>
      <c r="L172">
        <f t="shared" si="47"/>
        <v>14269.356767023006</v>
      </c>
      <c r="M172">
        <f t="shared" si="41"/>
        <v>14281.355736178652</v>
      </c>
      <c r="N172" s="29">
        <f t="shared" si="48"/>
        <v>0</v>
      </c>
      <c r="O172" s="29">
        <f t="shared" si="42"/>
        <v>0</v>
      </c>
      <c r="P172" s="29">
        <f t="shared" si="49"/>
        <v>14281.355736178652</v>
      </c>
      <c r="Q172">
        <f t="shared" si="50"/>
        <v>0</v>
      </c>
      <c r="R172" s="29">
        <f t="shared" si="51"/>
        <v>0</v>
      </c>
      <c r="S172" s="29">
        <f t="shared" si="43"/>
        <v>0</v>
      </c>
      <c r="T172" s="29">
        <f t="shared" si="52"/>
        <v>14281.355736178652</v>
      </c>
      <c r="U172">
        <f t="shared" si="53"/>
        <v>0</v>
      </c>
      <c r="V172" s="29">
        <f t="shared" si="54"/>
        <v>0</v>
      </c>
      <c r="W172" s="29">
        <f t="shared" si="44"/>
        <v>0</v>
      </c>
      <c r="X172" s="29">
        <f t="shared" si="55"/>
        <v>14281.355736178652</v>
      </c>
      <c r="Y172">
        <f t="shared" si="56"/>
        <v>0</v>
      </c>
    </row>
    <row r="173" spans="1:25" x14ac:dyDescent="0.25">
      <c r="A173" s="4" t="s">
        <v>991</v>
      </c>
      <c r="B173" s="7" t="s">
        <v>183</v>
      </c>
      <c r="C173" s="2" t="s">
        <v>992</v>
      </c>
      <c r="D173">
        <f>VLOOKUP(B173,'Model allocations'!$A$1:$L$317,4,FALSE)</f>
        <v>0</v>
      </c>
      <c r="E173" s="31">
        <f>VLOOKUP(B173,'Initial adjusted formula count'!$A$1:$P$317,12,FALSE)</f>
        <v>3.9637727841145901E-2</v>
      </c>
      <c r="F173">
        <f>VLOOKUP(B173,'Model allocations'!$A$1:$L$317,9,FALSE)</f>
        <v>0</v>
      </c>
      <c r="G173" s="30">
        <f t="shared" si="45"/>
        <v>0.85</v>
      </c>
      <c r="H173">
        <f t="shared" si="46"/>
        <v>0</v>
      </c>
      <c r="I173">
        <f t="shared" si="38"/>
        <v>0</v>
      </c>
      <c r="J173">
        <f t="shared" si="39"/>
        <v>0</v>
      </c>
      <c r="K173">
        <f t="shared" si="40"/>
        <v>0</v>
      </c>
      <c r="L173">
        <f t="shared" si="47"/>
        <v>0</v>
      </c>
      <c r="M173">
        <f t="shared" si="41"/>
        <v>0</v>
      </c>
      <c r="N173" s="29">
        <f t="shared" si="48"/>
        <v>0</v>
      </c>
      <c r="O173" s="29">
        <f t="shared" si="42"/>
        <v>0</v>
      </c>
      <c r="P173" s="29">
        <f t="shared" si="49"/>
        <v>0</v>
      </c>
      <c r="Q173">
        <f t="shared" si="50"/>
        <v>0</v>
      </c>
      <c r="R173" s="29">
        <f t="shared" si="51"/>
        <v>0</v>
      </c>
      <c r="S173" s="29">
        <f t="shared" si="43"/>
        <v>0</v>
      </c>
      <c r="T173" s="29">
        <f t="shared" si="52"/>
        <v>0</v>
      </c>
      <c r="U173">
        <f t="shared" si="53"/>
        <v>0</v>
      </c>
      <c r="V173" s="29">
        <f t="shared" si="54"/>
        <v>0</v>
      </c>
      <c r="W173" s="29">
        <f t="shared" si="44"/>
        <v>0</v>
      </c>
      <c r="X173" s="29">
        <f t="shared" si="55"/>
        <v>0</v>
      </c>
      <c r="Y173">
        <f t="shared" si="56"/>
        <v>0</v>
      </c>
    </row>
    <row r="174" spans="1:25" x14ac:dyDescent="0.25">
      <c r="A174" s="4" t="s">
        <v>993</v>
      </c>
      <c r="B174" s="7" t="s">
        <v>185</v>
      </c>
      <c r="C174" s="2" t="s">
        <v>994</v>
      </c>
      <c r="D174">
        <f>VLOOKUP(B174,'Model allocations'!$A$1:$L$317,4,FALSE)</f>
        <v>0</v>
      </c>
      <c r="E174" s="31">
        <f>VLOOKUP(B174,'Initial adjusted formula count'!$A$1:$P$317,12,FALSE)</f>
        <v>9.6557514693534796E-2</v>
      </c>
      <c r="F174">
        <f>VLOOKUP(B174,'Model allocations'!$A$1:$L$317,9,FALSE)</f>
        <v>0</v>
      </c>
      <c r="G174" s="30">
        <f t="shared" si="45"/>
        <v>0.85</v>
      </c>
      <c r="H174">
        <f t="shared" si="46"/>
        <v>0</v>
      </c>
      <c r="I174">
        <f t="shared" si="38"/>
        <v>0</v>
      </c>
      <c r="J174">
        <f t="shared" si="39"/>
        <v>0</v>
      </c>
      <c r="K174">
        <f t="shared" si="40"/>
        <v>0</v>
      </c>
      <c r="L174">
        <f t="shared" si="47"/>
        <v>0</v>
      </c>
      <c r="M174">
        <f t="shared" si="41"/>
        <v>0</v>
      </c>
      <c r="N174" s="29">
        <f t="shared" si="48"/>
        <v>0</v>
      </c>
      <c r="O174" s="29">
        <f t="shared" si="42"/>
        <v>0</v>
      </c>
      <c r="P174" s="29">
        <f t="shared" si="49"/>
        <v>0</v>
      </c>
      <c r="Q174">
        <f t="shared" si="50"/>
        <v>0</v>
      </c>
      <c r="R174" s="29">
        <f t="shared" si="51"/>
        <v>0</v>
      </c>
      <c r="S174" s="29">
        <f t="shared" si="43"/>
        <v>0</v>
      </c>
      <c r="T174" s="29">
        <f t="shared" si="52"/>
        <v>0</v>
      </c>
      <c r="U174">
        <f t="shared" si="53"/>
        <v>0</v>
      </c>
      <c r="V174" s="29">
        <f t="shared" si="54"/>
        <v>0</v>
      </c>
      <c r="W174" s="29">
        <f t="shared" si="44"/>
        <v>0</v>
      </c>
      <c r="X174" s="29">
        <f t="shared" si="55"/>
        <v>0</v>
      </c>
      <c r="Y174">
        <f t="shared" si="56"/>
        <v>0</v>
      </c>
    </row>
    <row r="175" spans="1:25" x14ac:dyDescent="0.25">
      <c r="A175" s="4" t="s">
        <v>995</v>
      </c>
      <c r="B175" s="7" t="s">
        <v>187</v>
      </c>
      <c r="C175" s="2" t="s">
        <v>996</v>
      </c>
      <c r="D175">
        <f>VLOOKUP(B175,'Model allocations'!$A$1:$L$317,4,FALSE)</f>
        <v>0</v>
      </c>
      <c r="E175" s="31">
        <f>VLOOKUP(B175,'Initial adjusted formula count'!$A$1:$P$317,12,FALSE)</f>
        <v>6.8702290076335895E-2</v>
      </c>
      <c r="F175">
        <f>VLOOKUP(B175,'Model allocations'!$A$1:$L$317,9,FALSE)</f>
        <v>0</v>
      </c>
      <c r="G175" s="30">
        <f t="shared" si="45"/>
        <v>0.85</v>
      </c>
      <c r="H175">
        <f t="shared" si="46"/>
        <v>0</v>
      </c>
      <c r="I175">
        <f t="shared" si="38"/>
        <v>0</v>
      </c>
      <c r="J175">
        <f t="shared" si="39"/>
        <v>0</v>
      </c>
      <c r="K175">
        <f t="shared" si="40"/>
        <v>0</v>
      </c>
      <c r="L175">
        <f t="shared" si="47"/>
        <v>0</v>
      </c>
      <c r="M175">
        <f t="shared" si="41"/>
        <v>0</v>
      </c>
      <c r="N175" s="29">
        <f t="shared" si="48"/>
        <v>0</v>
      </c>
      <c r="O175" s="29">
        <f t="shared" si="42"/>
        <v>0</v>
      </c>
      <c r="P175" s="29">
        <f t="shared" si="49"/>
        <v>0</v>
      </c>
      <c r="Q175">
        <f t="shared" si="50"/>
        <v>0</v>
      </c>
      <c r="R175" s="29">
        <f t="shared" si="51"/>
        <v>0</v>
      </c>
      <c r="S175" s="29">
        <f t="shared" si="43"/>
        <v>0</v>
      </c>
      <c r="T175" s="29">
        <f t="shared" si="52"/>
        <v>0</v>
      </c>
      <c r="U175">
        <f t="shared" si="53"/>
        <v>0</v>
      </c>
      <c r="V175" s="29">
        <f t="shared" si="54"/>
        <v>0</v>
      </c>
      <c r="W175" s="29">
        <f t="shared" si="44"/>
        <v>0</v>
      </c>
      <c r="X175" s="29">
        <f t="shared" si="55"/>
        <v>0</v>
      </c>
      <c r="Y175">
        <f t="shared" si="56"/>
        <v>0</v>
      </c>
    </row>
    <row r="176" spans="1:25" x14ac:dyDescent="0.25">
      <c r="A176" s="4" t="s">
        <v>997</v>
      </c>
      <c r="B176" s="7" t="s">
        <v>507</v>
      </c>
      <c r="C176" s="2" t="s">
        <v>998</v>
      </c>
      <c r="D176">
        <f>VLOOKUP(B176,'Model allocations'!$A$1:$L$317,4,FALSE)</f>
        <v>25389.076864317609</v>
      </c>
      <c r="E176" s="31">
        <f>VLOOKUP(B176,'Initial adjusted formula count'!$A$1:$P$317,12,FALSE)</f>
        <v>0.15044247787610601</v>
      </c>
      <c r="F176">
        <f>VLOOKUP(B176,'Model allocations'!$A$1:$L$317,9,FALSE)</f>
        <v>22850.169177885848</v>
      </c>
      <c r="G176" s="30">
        <f t="shared" si="45"/>
        <v>0.9</v>
      </c>
      <c r="H176">
        <f t="shared" si="46"/>
        <v>22850.169177885848</v>
      </c>
      <c r="I176">
        <f t="shared" si="38"/>
        <v>0</v>
      </c>
      <c r="J176">
        <f t="shared" si="39"/>
        <v>22850.169177885848</v>
      </c>
      <c r="K176">
        <f t="shared" si="40"/>
        <v>22830.970827236815</v>
      </c>
      <c r="L176">
        <f t="shared" si="47"/>
        <v>22830.970827236815</v>
      </c>
      <c r="M176">
        <f t="shared" si="41"/>
        <v>22850.169177885848</v>
      </c>
      <c r="N176" s="29">
        <f t="shared" si="48"/>
        <v>0</v>
      </c>
      <c r="O176" s="29">
        <f t="shared" si="42"/>
        <v>0</v>
      </c>
      <c r="P176" s="29">
        <f t="shared" si="49"/>
        <v>22850.169177885848</v>
      </c>
      <c r="Q176">
        <f t="shared" si="50"/>
        <v>0</v>
      </c>
      <c r="R176" s="29">
        <f t="shared" si="51"/>
        <v>0</v>
      </c>
      <c r="S176" s="29">
        <f t="shared" si="43"/>
        <v>0</v>
      </c>
      <c r="T176" s="29">
        <f t="shared" si="52"/>
        <v>22850.169177885848</v>
      </c>
      <c r="U176">
        <f t="shared" si="53"/>
        <v>0</v>
      </c>
      <c r="V176" s="29">
        <f t="shared" si="54"/>
        <v>0</v>
      </c>
      <c r="W176" s="29">
        <f t="shared" si="44"/>
        <v>0</v>
      </c>
      <c r="X176" s="29">
        <f t="shared" si="55"/>
        <v>22850.169177885848</v>
      </c>
      <c r="Y176">
        <f t="shared" si="56"/>
        <v>0</v>
      </c>
    </row>
    <row r="177" spans="1:25" x14ac:dyDescent="0.25">
      <c r="A177" s="4" t="s">
        <v>999</v>
      </c>
      <c r="B177" s="7" t="s">
        <v>509</v>
      </c>
      <c r="C177" s="2" t="s">
        <v>1000</v>
      </c>
      <c r="D177">
        <f>VLOOKUP(B177,'Model allocations'!$A$1:$L$317,4,FALSE)</f>
        <v>43750.819953690137</v>
      </c>
      <c r="E177" s="31">
        <f>VLOOKUP(B177,'Initial adjusted formula count'!$A$1:$P$317,12,FALSE)</f>
        <v>0.19159335288367499</v>
      </c>
      <c r="F177">
        <f>VLOOKUP(B177,'Model allocations'!$A$1:$L$317,9,FALSE)</f>
        <v>45862.732848581538</v>
      </c>
      <c r="G177" s="30">
        <f t="shared" si="45"/>
        <v>0.9</v>
      </c>
      <c r="H177">
        <f t="shared" si="46"/>
        <v>39375.737958321122</v>
      </c>
      <c r="I177">
        <f t="shared" si="38"/>
        <v>0</v>
      </c>
      <c r="J177">
        <f t="shared" si="39"/>
        <v>45862.732848581538</v>
      </c>
      <c r="K177">
        <f t="shared" si="40"/>
        <v>45824.199705999723</v>
      </c>
      <c r="L177">
        <f t="shared" si="47"/>
        <v>45824.199705999723</v>
      </c>
      <c r="M177">
        <f t="shared" si="41"/>
        <v>0</v>
      </c>
      <c r="N177" s="29">
        <f t="shared" si="48"/>
        <v>45824.199705999723</v>
      </c>
      <c r="O177" s="29">
        <f t="shared" si="42"/>
        <v>45812.703814344546</v>
      </c>
      <c r="P177" s="29">
        <f t="shared" si="49"/>
        <v>45812.703814344546</v>
      </c>
      <c r="Q177">
        <f t="shared" si="50"/>
        <v>0</v>
      </c>
      <c r="R177" s="29">
        <f t="shared" si="51"/>
        <v>45812.703814344546</v>
      </c>
      <c r="S177" s="29">
        <f t="shared" si="43"/>
        <v>45812.703814344539</v>
      </c>
      <c r="T177" s="29">
        <f t="shared" si="52"/>
        <v>45812.703814344539</v>
      </c>
      <c r="U177">
        <f t="shared" si="53"/>
        <v>0</v>
      </c>
      <c r="V177" s="29">
        <f t="shared" si="54"/>
        <v>45812.703814344539</v>
      </c>
      <c r="W177" s="29">
        <f t="shared" si="44"/>
        <v>45812.703814344539</v>
      </c>
      <c r="X177" s="29">
        <f t="shared" si="55"/>
        <v>45812.703814344539</v>
      </c>
      <c r="Y177">
        <f t="shared" si="56"/>
        <v>0</v>
      </c>
    </row>
    <row r="178" spans="1:25" x14ac:dyDescent="0.25">
      <c r="A178" s="4" t="s">
        <v>1001</v>
      </c>
      <c r="B178" s="7" t="s">
        <v>511</v>
      </c>
      <c r="C178" s="2" t="s">
        <v>1002</v>
      </c>
      <c r="D178">
        <f>VLOOKUP(B178,'Model allocations'!$A$1:$L$317,4,FALSE)</f>
        <v>44657.572698844357</v>
      </c>
      <c r="E178" s="31">
        <f>VLOOKUP(B178,'Initial adjusted formula count'!$A$1:$P$317,12,FALSE)</f>
        <v>0.21212121212121199</v>
      </c>
      <c r="F178">
        <f>VLOOKUP(B178,'Model allocations'!$A$1:$L$317,9,FALSE)</f>
        <v>40191.815428959919</v>
      </c>
      <c r="G178" s="30">
        <f t="shared" si="45"/>
        <v>0.9</v>
      </c>
      <c r="H178">
        <f t="shared" si="46"/>
        <v>40191.815428959919</v>
      </c>
      <c r="I178">
        <f t="shared" si="38"/>
        <v>0</v>
      </c>
      <c r="J178">
        <f t="shared" si="39"/>
        <v>40191.815428959919</v>
      </c>
      <c r="K178">
        <f t="shared" si="40"/>
        <v>40158.046901479036</v>
      </c>
      <c r="L178">
        <f t="shared" si="47"/>
        <v>40158.046901479036</v>
      </c>
      <c r="M178">
        <f t="shared" si="41"/>
        <v>40191.815428959919</v>
      </c>
      <c r="N178" s="29">
        <f t="shared" si="48"/>
        <v>0</v>
      </c>
      <c r="O178" s="29">
        <f t="shared" si="42"/>
        <v>0</v>
      </c>
      <c r="P178" s="29">
        <f t="shared" si="49"/>
        <v>40191.815428959919</v>
      </c>
      <c r="Q178">
        <f t="shared" si="50"/>
        <v>0</v>
      </c>
      <c r="R178" s="29">
        <f t="shared" si="51"/>
        <v>0</v>
      </c>
      <c r="S178" s="29">
        <f t="shared" si="43"/>
        <v>0</v>
      </c>
      <c r="T178" s="29">
        <f t="shared" si="52"/>
        <v>40191.815428959919</v>
      </c>
      <c r="U178">
        <f t="shared" si="53"/>
        <v>0</v>
      </c>
      <c r="V178" s="29">
        <f t="shared" si="54"/>
        <v>0</v>
      </c>
      <c r="W178" s="29">
        <f t="shared" si="44"/>
        <v>0</v>
      </c>
      <c r="X178" s="29">
        <f t="shared" si="55"/>
        <v>40191.815428959919</v>
      </c>
      <c r="Y178">
        <f t="shared" si="56"/>
        <v>0</v>
      </c>
    </row>
    <row r="179" spans="1:25" x14ac:dyDescent="0.25">
      <c r="A179" s="4" t="s">
        <v>1003</v>
      </c>
      <c r="B179" s="7" t="s">
        <v>288</v>
      </c>
      <c r="C179" s="2" t="s">
        <v>1004</v>
      </c>
      <c r="D179">
        <f>VLOOKUP(B179,'Model allocations'!$A$1:$L$317,4,FALSE)</f>
        <v>0</v>
      </c>
      <c r="E179" s="31">
        <f>VLOOKUP(B179,'Initial adjusted formula count'!$A$1:$P$317,12,FALSE)</f>
        <v>0.14610389610389601</v>
      </c>
      <c r="F179">
        <f>VLOOKUP(B179,'Model allocations'!$A$1:$L$317,9,FALSE)</f>
        <v>0</v>
      </c>
      <c r="G179" s="30">
        <f t="shared" si="45"/>
        <v>0.85</v>
      </c>
      <c r="H179">
        <f t="shared" si="46"/>
        <v>0</v>
      </c>
      <c r="I179">
        <f t="shared" si="38"/>
        <v>0</v>
      </c>
      <c r="J179">
        <f t="shared" si="39"/>
        <v>0</v>
      </c>
      <c r="K179">
        <f t="shared" si="40"/>
        <v>0</v>
      </c>
      <c r="L179">
        <f t="shared" si="47"/>
        <v>0</v>
      </c>
      <c r="M179">
        <f t="shared" si="41"/>
        <v>0</v>
      </c>
      <c r="N179" s="29">
        <f t="shared" si="48"/>
        <v>0</v>
      </c>
      <c r="O179" s="29">
        <f t="shared" si="42"/>
        <v>0</v>
      </c>
      <c r="P179" s="29">
        <f t="shared" si="49"/>
        <v>0</v>
      </c>
      <c r="Q179">
        <f t="shared" si="50"/>
        <v>0</v>
      </c>
      <c r="R179" s="29">
        <f t="shared" si="51"/>
        <v>0</v>
      </c>
      <c r="S179" s="29">
        <f t="shared" si="43"/>
        <v>0</v>
      </c>
      <c r="T179" s="29">
        <f t="shared" si="52"/>
        <v>0</v>
      </c>
      <c r="U179">
        <f t="shared" si="53"/>
        <v>0</v>
      </c>
      <c r="V179" s="29">
        <f t="shared" si="54"/>
        <v>0</v>
      </c>
      <c r="W179" s="29">
        <f t="shared" si="44"/>
        <v>0</v>
      </c>
      <c r="X179" s="29">
        <f t="shared" si="55"/>
        <v>0</v>
      </c>
      <c r="Y179">
        <f t="shared" si="56"/>
        <v>0</v>
      </c>
    </row>
    <row r="180" spans="1:25" x14ac:dyDescent="0.25">
      <c r="A180" s="4" t="s">
        <v>1005</v>
      </c>
      <c r="B180" s="7" t="s">
        <v>513</v>
      </c>
      <c r="C180" s="2" t="s">
        <v>1006</v>
      </c>
      <c r="D180">
        <f>VLOOKUP(B180,'Model allocations'!$A$1:$L$317,4,FALSE)</f>
        <v>49281.936064202098</v>
      </c>
      <c r="E180" s="31">
        <f>VLOOKUP(B180,'Initial adjusted formula count'!$A$1:$P$317,12,FALSE)</f>
        <v>0.15983175604626701</v>
      </c>
      <c r="F180">
        <f>VLOOKUP(B180,'Model allocations'!$A$1:$L$317,9,FALSE)</f>
        <v>44353.742457781889</v>
      </c>
      <c r="G180" s="30">
        <f t="shared" si="45"/>
        <v>0.9</v>
      </c>
      <c r="H180">
        <f t="shared" si="46"/>
        <v>44353.742457781889</v>
      </c>
      <c r="I180">
        <f t="shared" si="38"/>
        <v>0</v>
      </c>
      <c r="J180">
        <f t="shared" si="39"/>
        <v>44353.742457781889</v>
      </c>
      <c r="K180">
        <f t="shared" si="40"/>
        <v>44316.477145053897</v>
      </c>
      <c r="L180">
        <f t="shared" si="47"/>
        <v>44316.477145053897</v>
      </c>
      <c r="M180">
        <f t="shared" si="41"/>
        <v>44353.742457781889</v>
      </c>
      <c r="N180" s="29">
        <f t="shared" si="48"/>
        <v>0</v>
      </c>
      <c r="O180" s="29">
        <f t="shared" si="42"/>
        <v>0</v>
      </c>
      <c r="P180" s="29">
        <f t="shared" si="49"/>
        <v>44353.742457781889</v>
      </c>
      <c r="Q180">
        <f t="shared" si="50"/>
        <v>0</v>
      </c>
      <c r="R180" s="29">
        <f t="shared" si="51"/>
        <v>0</v>
      </c>
      <c r="S180" s="29">
        <f t="shared" si="43"/>
        <v>0</v>
      </c>
      <c r="T180" s="29">
        <f t="shared" si="52"/>
        <v>44353.742457781889</v>
      </c>
      <c r="U180">
        <f t="shared" si="53"/>
        <v>0</v>
      </c>
      <c r="V180" s="29">
        <f t="shared" si="54"/>
        <v>0</v>
      </c>
      <c r="W180" s="29">
        <f t="shared" si="44"/>
        <v>0</v>
      </c>
      <c r="X180" s="29">
        <f t="shared" si="55"/>
        <v>44353.742457781889</v>
      </c>
      <c r="Y180">
        <f t="shared" si="56"/>
        <v>0</v>
      </c>
    </row>
    <row r="181" spans="1:25" x14ac:dyDescent="0.25">
      <c r="A181" s="4" t="s">
        <v>1007</v>
      </c>
      <c r="B181" s="7" t="s">
        <v>189</v>
      </c>
      <c r="C181" s="2" t="s">
        <v>1008</v>
      </c>
      <c r="D181">
        <f>VLOOKUP(B181,'Model allocations'!$A$1:$L$317,4,FALSE)</f>
        <v>0</v>
      </c>
      <c r="E181" s="31">
        <f>VLOOKUP(B181,'Initial adjusted formula count'!$A$1:$P$317,12,FALSE)</f>
        <v>8.5544021530180703E-2</v>
      </c>
      <c r="F181">
        <f>VLOOKUP(B181,'Model allocations'!$A$1:$L$317,9,FALSE)</f>
        <v>0</v>
      </c>
      <c r="G181" s="30">
        <f t="shared" si="45"/>
        <v>0.85</v>
      </c>
      <c r="H181">
        <f t="shared" si="46"/>
        <v>0</v>
      </c>
      <c r="I181">
        <f t="shared" si="38"/>
        <v>0</v>
      </c>
      <c r="J181">
        <f t="shared" si="39"/>
        <v>0</v>
      </c>
      <c r="K181">
        <f t="shared" si="40"/>
        <v>0</v>
      </c>
      <c r="L181">
        <f t="shared" si="47"/>
        <v>0</v>
      </c>
      <c r="M181">
        <f t="shared" si="41"/>
        <v>0</v>
      </c>
      <c r="N181" s="29">
        <f t="shared" si="48"/>
        <v>0</v>
      </c>
      <c r="O181" s="29">
        <f t="shared" si="42"/>
        <v>0</v>
      </c>
      <c r="P181" s="29">
        <f t="shared" si="49"/>
        <v>0</v>
      </c>
      <c r="Q181">
        <f t="shared" si="50"/>
        <v>0</v>
      </c>
      <c r="R181" s="29">
        <f t="shared" si="51"/>
        <v>0</v>
      </c>
      <c r="S181" s="29">
        <f t="shared" si="43"/>
        <v>0</v>
      </c>
      <c r="T181" s="29">
        <f t="shared" si="52"/>
        <v>0</v>
      </c>
      <c r="U181">
        <f t="shared" si="53"/>
        <v>0</v>
      </c>
      <c r="V181" s="29">
        <f t="shared" si="54"/>
        <v>0</v>
      </c>
      <c r="W181" s="29">
        <f t="shared" si="44"/>
        <v>0</v>
      </c>
      <c r="X181" s="29">
        <f t="shared" si="55"/>
        <v>0</v>
      </c>
      <c r="Y181">
        <f t="shared" si="56"/>
        <v>0</v>
      </c>
    </row>
    <row r="182" spans="1:25" x14ac:dyDescent="0.25">
      <c r="A182" s="4" t="s">
        <v>1009</v>
      </c>
      <c r="B182" s="7" t="s">
        <v>515</v>
      </c>
      <c r="C182" s="2" t="s">
        <v>1010</v>
      </c>
      <c r="D182">
        <f>VLOOKUP(B182,'Model allocations'!$A$1:$L$317,4,FALSE)</f>
        <v>94187.483983706727</v>
      </c>
      <c r="E182" s="31">
        <f>VLOOKUP(B182,'Initial adjusted formula count'!$A$1:$P$317,12,FALSE)</f>
        <v>0.20904255319148901</v>
      </c>
      <c r="F182">
        <f>VLOOKUP(B182,'Model allocations'!$A$1:$L$317,9,FALSE)</f>
        <v>91959.45923210484</v>
      </c>
      <c r="G182" s="30">
        <f t="shared" si="45"/>
        <v>0.9</v>
      </c>
      <c r="H182">
        <f t="shared" si="46"/>
        <v>84768.73558533605</v>
      </c>
      <c r="I182">
        <f t="shared" si="38"/>
        <v>0</v>
      </c>
      <c r="J182">
        <f t="shared" si="39"/>
        <v>91959.45923210484</v>
      </c>
      <c r="K182">
        <f t="shared" si="40"/>
        <v>91882.196349274978</v>
      </c>
      <c r="L182">
        <f t="shared" si="47"/>
        <v>91882.196349274978</v>
      </c>
      <c r="M182">
        <f t="shared" si="41"/>
        <v>0</v>
      </c>
      <c r="N182" s="29">
        <f t="shared" si="48"/>
        <v>91882.196349274978</v>
      </c>
      <c r="O182" s="29">
        <f t="shared" si="42"/>
        <v>91859.145913456174</v>
      </c>
      <c r="P182" s="29">
        <f t="shared" si="49"/>
        <v>91859.145913456174</v>
      </c>
      <c r="Q182">
        <f t="shared" si="50"/>
        <v>0</v>
      </c>
      <c r="R182" s="29">
        <f t="shared" si="51"/>
        <v>91859.145913456174</v>
      </c>
      <c r="S182" s="29">
        <f t="shared" si="43"/>
        <v>91859.145913456159</v>
      </c>
      <c r="T182" s="29">
        <f t="shared" si="52"/>
        <v>91859.145913456159</v>
      </c>
      <c r="U182">
        <f t="shared" si="53"/>
        <v>0</v>
      </c>
      <c r="V182" s="29">
        <f t="shared" si="54"/>
        <v>91859.145913456159</v>
      </c>
      <c r="W182" s="29">
        <f t="shared" si="44"/>
        <v>91859.145913456159</v>
      </c>
      <c r="X182" s="29">
        <f t="shared" si="55"/>
        <v>91859.145913456159</v>
      </c>
      <c r="Y182">
        <f t="shared" si="56"/>
        <v>0</v>
      </c>
    </row>
    <row r="183" spans="1:25" x14ac:dyDescent="0.25">
      <c r="A183" s="4" t="s">
        <v>1011</v>
      </c>
      <c r="B183" s="7" t="s">
        <v>517</v>
      </c>
      <c r="C183" s="2" t="s">
        <v>1012</v>
      </c>
      <c r="D183">
        <f>VLOOKUP(B183,'Model allocations'!$A$1:$L$317,4,FALSE)</f>
        <v>26259.338402870399</v>
      </c>
      <c r="E183" s="31">
        <f>VLOOKUP(B183,'Initial adjusted formula count'!$A$1:$P$317,12,FALSE)</f>
        <v>0.123678646934461</v>
      </c>
      <c r="F183">
        <f>VLOOKUP(B183,'Model allocations'!$A$1:$L$317,9,FALSE)</f>
        <v>22320.43764243984</v>
      </c>
      <c r="G183" s="30">
        <f t="shared" si="45"/>
        <v>0.85</v>
      </c>
      <c r="H183">
        <f t="shared" si="46"/>
        <v>22320.43764243984</v>
      </c>
      <c r="I183">
        <f t="shared" si="38"/>
        <v>0</v>
      </c>
      <c r="J183">
        <f t="shared" si="39"/>
        <v>22320.43764243984</v>
      </c>
      <c r="K183">
        <f t="shared" si="40"/>
        <v>22301.684363846431</v>
      </c>
      <c r="L183">
        <f t="shared" si="47"/>
        <v>22301.684363846431</v>
      </c>
      <c r="M183">
        <f t="shared" si="41"/>
        <v>22320.43764243984</v>
      </c>
      <c r="N183" s="29">
        <f t="shared" si="48"/>
        <v>0</v>
      </c>
      <c r="O183" s="29">
        <f t="shared" si="42"/>
        <v>0</v>
      </c>
      <c r="P183" s="29">
        <f t="shared" si="49"/>
        <v>22320.43764243984</v>
      </c>
      <c r="Q183">
        <f t="shared" si="50"/>
        <v>0</v>
      </c>
      <c r="R183" s="29">
        <f t="shared" si="51"/>
        <v>0</v>
      </c>
      <c r="S183" s="29">
        <f t="shared" si="43"/>
        <v>0</v>
      </c>
      <c r="T183" s="29">
        <f t="shared" si="52"/>
        <v>22320.43764243984</v>
      </c>
      <c r="U183">
        <f t="shared" si="53"/>
        <v>0</v>
      </c>
      <c r="V183" s="29">
        <f t="shared" si="54"/>
        <v>0</v>
      </c>
      <c r="W183" s="29">
        <f t="shared" si="44"/>
        <v>0</v>
      </c>
      <c r="X183" s="29">
        <f t="shared" si="55"/>
        <v>22320.43764243984</v>
      </c>
      <c r="Y183">
        <f t="shared" si="56"/>
        <v>0</v>
      </c>
    </row>
    <row r="184" spans="1:25" x14ac:dyDescent="0.25">
      <c r="A184" s="4" t="s">
        <v>1013</v>
      </c>
      <c r="B184" s="7" t="s">
        <v>519</v>
      </c>
      <c r="C184" s="2" t="s">
        <v>1014</v>
      </c>
      <c r="D184">
        <f>VLOOKUP(B184,'Model allocations'!$A$1:$L$317,4,FALSE)</f>
        <v>4307.0755394824473</v>
      </c>
      <c r="E184" s="31">
        <f>VLOOKUP(B184,'Initial adjusted formula count'!$A$1:$P$317,12,FALSE)</f>
        <v>0.38095238095238099</v>
      </c>
      <c r="F184">
        <f>VLOOKUP(B184,'Model allocations'!$A$1:$L$317,9,FALSE)</f>
        <v>5615.8448386018226</v>
      </c>
      <c r="G184" s="30">
        <f t="shared" si="45"/>
        <v>0.95</v>
      </c>
      <c r="H184">
        <f t="shared" si="46"/>
        <v>4091.7217625083249</v>
      </c>
      <c r="I184">
        <f t="shared" si="38"/>
        <v>0</v>
      </c>
      <c r="J184">
        <f t="shared" si="39"/>
        <v>5615.8448386018226</v>
      </c>
      <c r="K184">
        <f t="shared" si="40"/>
        <v>5611.1264946122128</v>
      </c>
      <c r="L184">
        <f t="shared" si="47"/>
        <v>5611.1264946122128</v>
      </c>
      <c r="M184">
        <f t="shared" si="41"/>
        <v>0</v>
      </c>
      <c r="N184" s="29">
        <f t="shared" si="48"/>
        <v>5611.1264946122128</v>
      </c>
      <c r="O184" s="29">
        <f t="shared" si="42"/>
        <v>5609.7188344095384</v>
      </c>
      <c r="P184" s="29">
        <f t="shared" si="49"/>
        <v>5609.7188344095384</v>
      </c>
      <c r="Q184">
        <f t="shared" si="50"/>
        <v>0</v>
      </c>
      <c r="R184" s="29">
        <f t="shared" si="51"/>
        <v>5609.7188344095384</v>
      </c>
      <c r="S184" s="29">
        <f t="shared" si="43"/>
        <v>5609.7188344095375</v>
      </c>
      <c r="T184" s="29">
        <f t="shared" si="52"/>
        <v>5609.7188344095375</v>
      </c>
      <c r="U184">
        <f t="shared" si="53"/>
        <v>0</v>
      </c>
      <c r="V184" s="29">
        <f t="shared" si="54"/>
        <v>5609.7188344095375</v>
      </c>
      <c r="W184" s="29">
        <f t="shared" si="44"/>
        <v>5609.7188344095375</v>
      </c>
      <c r="X184" s="29">
        <f t="shared" si="55"/>
        <v>5609.7188344095375</v>
      </c>
      <c r="Y184">
        <f t="shared" si="56"/>
        <v>0</v>
      </c>
    </row>
    <row r="185" spans="1:25" x14ac:dyDescent="0.25">
      <c r="A185" s="4" t="s">
        <v>1015</v>
      </c>
      <c r="B185" s="7" t="s">
        <v>521</v>
      </c>
      <c r="C185" s="2" t="s">
        <v>1016</v>
      </c>
      <c r="D185">
        <f>VLOOKUP(B185,'Model allocations'!$A$1:$L$317,4,FALSE)</f>
        <v>0</v>
      </c>
      <c r="E185" s="31">
        <f>VLOOKUP(B185,'Initial adjusted formula count'!$A$1:$P$317,12,FALSE)</f>
        <v>0.146596858638743</v>
      </c>
      <c r="F185">
        <f>VLOOKUP(B185,'Model allocations'!$A$1:$L$317,9,FALSE)</f>
        <v>0</v>
      </c>
      <c r="G185" s="30">
        <f t="shared" si="45"/>
        <v>0.85</v>
      </c>
      <c r="H185">
        <f t="shared" si="46"/>
        <v>0</v>
      </c>
      <c r="I185">
        <f t="shared" si="38"/>
        <v>0</v>
      </c>
      <c r="J185">
        <f t="shared" si="39"/>
        <v>0</v>
      </c>
      <c r="K185">
        <f t="shared" si="40"/>
        <v>0</v>
      </c>
      <c r="L185">
        <f t="shared" si="47"/>
        <v>0</v>
      </c>
      <c r="M185">
        <f t="shared" si="41"/>
        <v>0</v>
      </c>
      <c r="N185" s="29">
        <f t="shared" si="48"/>
        <v>0</v>
      </c>
      <c r="O185" s="29">
        <f t="shared" si="42"/>
        <v>0</v>
      </c>
      <c r="P185" s="29">
        <f t="shared" si="49"/>
        <v>0</v>
      </c>
      <c r="Q185">
        <f t="shared" si="50"/>
        <v>0</v>
      </c>
      <c r="R185" s="29">
        <f t="shared" si="51"/>
        <v>0</v>
      </c>
      <c r="S185" s="29">
        <f t="shared" si="43"/>
        <v>0</v>
      </c>
      <c r="T185" s="29">
        <f t="shared" si="52"/>
        <v>0</v>
      </c>
      <c r="U185">
        <f t="shared" si="53"/>
        <v>0</v>
      </c>
      <c r="V185" s="29">
        <f t="shared" si="54"/>
        <v>0</v>
      </c>
      <c r="W185" s="29">
        <f t="shared" si="44"/>
        <v>0</v>
      </c>
      <c r="X185" s="29">
        <f t="shared" si="55"/>
        <v>0</v>
      </c>
      <c r="Y185">
        <f t="shared" si="56"/>
        <v>0</v>
      </c>
    </row>
    <row r="186" spans="1:25" x14ac:dyDescent="0.25">
      <c r="A186" s="4" t="s">
        <v>1017</v>
      </c>
      <c r="B186" s="7" t="s">
        <v>290</v>
      </c>
      <c r="C186" s="2" t="s">
        <v>1018</v>
      </c>
      <c r="D186">
        <f>VLOOKUP(B186,'Model allocations'!$A$1:$L$317,4,FALSE)</f>
        <v>0</v>
      </c>
      <c r="E186" s="31">
        <f>VLOOKUP(B186,'Initial adjusted formula count'!$A$1:$P$317,12,FALSE)</f>
        <v>8.98876404494382E-2</v>
      </c>
      <c r="F186">
        <f>VLOOKUP(B186,'Model allocations'!$A$1:$L$317,9,FALSE)</f>
        <v>0</v>
      </c>
      <c r="G186" s="30">
        <f t="shared" si="45"/>
        <v>0.85</v>
      </c>
      <c r="H186">
        <f t="shared" si="46"/>
        <v>0</v>
      </c>
      <c r="I186">
        <f t="shared" si="38"/>
        <v>0</v>
      </c>
      <c r="J186">
        <f t="shared" si="39"/>
        <v>0</v>
      </c>
      <c r="K186">
        <f t="shared" si="40"/>
        <v>0</v>
      </c>
      <c r="L186">
        <f t="shared" si="47"/>
        <v>0</v>
      </c>
      <c r="M186">
        <f t="shared" si="41"/>
        <v>0</v>
      </c>
      <c r="N186" s="29">
        <f t="shared" si="48"/>
        <v>0</v>
      </c>
      <c r="O186" s="29">
        <f t="shared" si="42"/>
        <v>0</v>
      </c>
      <c r="P186" s="29">
        <f t="shared" si="49"/>
        <v>0</v>
      </c>
      <c r="Q186">
        <f t="shared" si="50"/>
        <v>0</v>
      </c>
      <c r="R186" s="29">
        <f t="shared" si="51"/>
        <v>0</v>
      </c>
      <c r="S186" s="29">
        <f t="shared" si="43"/>
        <v>0</v>
      </c>
      <c r="T186" s="29">
        <f t="shared" si="52"/>
        <v>0</v>
      </c>
      <c r="U186">
        <f t="shared" si="53"/>
        <v>0</v>
      </c>
      <c r="V186" s="29">
        <f t="shared" si="54"/>
        <v>0</v>
      </c>
      <c r="W186" s="29">
        <f t="shared" si="44"/>
        <v>0</v>
      </c>
      <c r="X186" s="29">
        <f t="shared" si="55"/>
        <v>0</v>
      </c>
      <c r="Y186">
        <f t="shared" si="56"/>
        <v>0</v>
      </c>
    </row>
    <row r="187" spans="1:25" x14ac:dyDescent="0.25">
      <c r="A187" s="4" t="s">
        <v>1019</v>
      </c>
      <c r="B187" s="7" t="s">
        <v>523</v>
      </c>
      <c r="C187" s="2" t="s">
        <v>1020</v>
      </c>
      <c r="D187">
        <f>VLOOKUP(B187,'Model allocations'!$A$1:$L$317,4,FALSE)</f>
        <v>8160.7747063877996</v>
      </c>
      <c r="E187" s="31">
        <f>VLOOKUP(B187,'Initial adjusted formula count'!$A$1:$P$317,12,FALSE)</f>
        <v>0.34615384615384598</v>
      </c>
      <c r="F187">
        <f>VLOOKUP(B187,'Model allocations'!$A$1:$L$317,9,FALSE)</f>
        <v>10529.709072378413</v>
      </c>
      <c r="G187" s="30">
        <f t="shared" si="45"/>
        <v>0.95</v>
      </c>
      <c r="H187">
        <f t="shared" si="46"/>
        <v>7752.7359710684095</v>
      </c>
      <c r="I187">
        <f t="shared" si="38"/>
        <v>0</v>
      </c>
      <c r="J187">
        <f t="shared" si="39"/>
        <v>10529.709072378413</v>
      </c>
      <c r="K187">
        <f t="shared" si="40"/>
        <v>10520.862177397896</v>
      </c>
      <c r="L187">
        <f t="shared" si="47"/>
        <v>10520.862177397896</v>
      </c>
      <c r="M187">
        <f t="shared" si="41"/>
        <v>0</v>
      </c>
      <c r="N187" s="29">
        <f t="shared" si="48"/>
        <v>10520.862177397896</v>
      </c>
      <c r="O187" s="29">
        <f t="shared" si="42"/>
        <v>10518.22281451788</v>
      </c>
      <c r="P187" s="29">
        <f t="shared" si="49"/>
        <v>10518.22281451788</v>
      </c>
      <c r="Q187">
        <f t="shared" si="50"/>
        <v>0</v>
      </c>
      <c r="R187" s="29">
        <f t="shared" si="51"/>
        <v>10518.22281451788</v>
      </c>
      <c r="S187" s="29">
        <f t="shared" si="43"/>
        <v>10518.222814517878</v>
      </c>
      <c r="T187" s="29">
        <f t="shared" si="52"/>
        <v>10518.222814517878</v>
      </c>
      <c r="U187">
        <f t="shared" si="53"/>
        <v>0</v>
      </c>
      <c r="V187" s="29">
        <f t="shared" si="54"/>
        <v>10518.222814517878</v>
      </c>
      <c r="W187" s="29">
        <f t="shared" si="44"/>
        <v>10518.222814517878</v>
      </c>
      <c r="X187" s="29">
        <f t="shared" si="55"/>
        <v>10518.222814517878</v>
      </c>
      <c r="Y187">
        <f t="shared" si="56"/>
        <v>0</v>
      </c>
    </row>
    <row r="188" spans="1:25" x14ac:dyDescent="0.25">
      <c r="A188" s="4" t="s">
        <v>1021</v>
      </c>
      <c r="B188" s="7" t="s">
        <v>525</v>
      </c>
      <c r="C188" s="2" t="s">
        <v>1022</v>
      </c>
      <c r="D188">
        <f>VLOOKUP(B188,'Model allocations'!$A$1:$L$317,4,FALSE)</f>
        <v>13298.300207800568</v>
      </c>
      <c r="E188" s="31">
        <f>VLOOKUP(B188,'Initial adjusted formula count'!$A$1:$P$317,12,FALSE)</f>
        <v>7.1969696969697003E-2</v>
      </c>
      <c r="F188">
        <f>VLOOKUP(B188,'Model allocations'!$A$1:$L$317,9,FALSE)</f>
        <v>11303.555176630483</v>
      </c>
      <c r="G188" s="30">
        <f t="shared" si="45"/>
        <v>0.85</v>
      </c>
      <c r="H188">
        <f t="shared" si="46"/>
        <v>11303.555176630483</v>
      </c>
      <c r="I188">
        <f t="shared" si="38"/>
        <v>0</v>
      </c>
      <c r="J188">
        <f t="shared" si="39"/>
        <v>11303.555176630483</v>
      </c>
      <c r="K188">
        <f t="shared" si="40"/>
        <v>11294.058108395573</v>
      </c>
      <c r="L188">
        <f t="shared" si="47"/>
        <v>11294.058108395573</v>
      </c>
      <c r="M188">
        <f t="shared" si="41"/>
        <v>11303.555176630483</v>
      </c>
      <c r="N188" s="29">
        <f t="shared" si="48"/>
        <v>0</v>
      </c>
      <c r="O188" s="29">
        <f t="shared" si="42"/>
        <v>0</v>
      </c>
      <c r="P188" s="29">
        <f t="shared" si="49"/>
        <v>11303.555176630483</v>
      </c>
      <c r="Q188">
        <f t="shared" si="50"/>
        <v>0</v>
      </c>
      <c r="R188" s="29">
        <f t="shared" si="51"/>
        <v>0</v>
      </c>
      <c r="S188" s="29">
        <f t="shared" si="43"/>
        <v>0</v>
      </c>
      <c r="T188" s="29">
        <f t="shared" si="52"/>
        <v>11303.555176630483</v>
      </c>
      <c r="U188">
        <f t="shared" si="53"/>
        <v>0</v>
      </c>
      <c r="V188" s="29">
        <f t="shared" si="54"/>
        <v>0</v>
      </c>
      <c r="W188" s="29">
        <f t="shared" si="44"/>
        <v>0</v>
      </c>
      <c r="X188" s="29">
        <f t="shared" si="55"/>
        <v>11303.555176630483</v>
      </c>
      <c r="Y188">
        <f t="shared" si="56"/>
        <v>0</v>
      </c>
    </row>
    <row r="189" spans="1:25" x14ac:dyDescent="0.25">
      <c r="A189" s="4" t="s">
        <v>1023</v>
      </c>
      <c r="B189" s="7" t="s">
        <v>527</v>
      </c>
      <c r="C189" s="2" t="s">
        <v>1024</v>
      </c>
      <c r="D189">
        <f>VLOOKUP(B189,'Model allocations'!$A$1:$L$317,4,FALSE)</f>
        <v>57643.585876897057</v>
      </c>
      <c r="E189" s="31">
        <f>VLOOKUP(B189,'Initial adjusted formula count'!$A$1:$P$317,12,FALSE)</f>
        <v>0.215317919075144</v>
      </c>
      <c r="F189">
        <f>VLOOKUP(B189,'Model allocations'!$A$1:$L$317,9,FALSE)</f>
        <v>51879.227289207352</v>
      </c>
      <c r="G189" s="30">
        <f t="shared" si="45"/>
        <v>0.9</v>
      </c>
      <c r="H189">
        <f t="shared" si="46"/>
        <v>51879.227289207352</v>
      </c>
      <c r="I189">
        <f t="shared" si="38"/>
        <v>0</v>
      </c>
      <c r="J189">
        <f t="shared" si="39"/>
        <v>51879.227289207352</v>
      </c>
      <c r="K189">
        <f t="shared" si="40"/>
        <v>51835.639183178668</v>
      </c>
      <c r="L189">
        <f t="shared" si="47"/>
        <v>51835.639183178668</v>
      </c>
      <c r="M189">
        <f t="shared" si="41"/>
        <v>51879.227289207352</v>
      </c>
      <c r="N189" s="29">
        <f t="shared" si="48"/>
        <v>0</v>
      </c>
      <c r="O189" s="29">
        <f t="shared" si="42"/>
        <v>0</v>
      </c>
      <c r="P189" s="29">
        <f t="shared" si="49"/>
        <v>51879.227289207352</v>
      </c>
      <c r="Q189">
        <f t="shared" si="50"/>
        <v>0</v>
      </c>
      <c r="R189" s="29">
        <f t="shared" si="51"/>
        <v>0</v>
      </c>
      <c r="S189" s="29">
        <f t="shared" si="43"/>
        <v>0</v>
      </c>
      <c r="T189" s="29">
        <f t="shared" si="52"/>
        <v>51879.227289207352</v>
      </c>
      <c r="U189">
        <f t="shared" si="53"/>
        <v>0</v>
      </c>
      <c r="V189" s="29">
        <f t="shared" si="54"/>
        <v>0</v>
      </c>
      <c r="W189" s="29">
        <f t="shared" si="44"/>
        <v>0</v>
      </c>
      <c r="X189" s="29">
        <f t="shared" si="55"/>
        <v>51879.227289207352</v>
      </c>
      <c r="Y189">
        <f t="shared" si="56"/>
        <v>0</v>
      </c>
    </row>
    <row r="190" spans="1:25" x14ac:dyDescent="0.25">
      <c r="A190" s="4" t="s">
        <v>1025</v>
      </c>
      <c r="B190" s="7" t="s">
        <v>292</v>
      </c>
      <c r="C190" s="2" t="s">
        <v>1026</v>
      </c>
      <c r="D190">
        <f>VLOOKUP(B190,'Model allocations'!$A$1:$L$317,4,FALSE)</f>
        <v>0</v>
      </c>
      <c r="E190" s="31">
        <f>VLOOKUP(B190,'Initial adjusted formula count'!$A$1:$P$317,12,FALSE)</f>
        <v>5.16188149053146E-2</v>
      </c>
      <c r="F190">
        <f>VLOOKUP(B190,'Model allocations'!$A$1:$L$317,9,FALSE)</f>
        <v>0</v>
      </c>
      <c r="G190" s="30">
        <f t="shared" si="45"/>
        <v>0.85</v>
      </c>
      <c r="H190">
        <f t="shared" si="46"/>
        <v>0</v>
      </c>
      <c r="I190">
        <f t="shared" si="38"/>
        <v>0</v>
      </c>
      <c r="J190">
        <f t="shared" si="39"/>
        <v>0</v>
      </c>
      <c r="K190">
        <f t="shared" si="40"/>
        <v>0</v>
      </c>
      <c r="L190">
        <f t="shared" si="47"/>
        <v>0</v>
      </c>
      <c r="M190">
        <f t="shared" si="41"/>
        <v>0</v>
      </c>
      <c r="N190" s="29">
        <f t="shared" si="48"/>
        <v>0</v>
      </c>
      <c r="O190" s="29">
        <f t="shared" si="42"/>
        <v>0</v>
      </c>
      <c r="P190" s="29">
        <f t="shared" si="49"/>
        <v>0</v>
      </c>
      <c r="Q190">
        <f t="shared" si="50"/>
        <v>0</v>
      </c>
      <c r="R190" s="29">
        <f t="shared" si="51"/>
        <v>0</v>
      </c>
      <c r="S190" s="29">
        <f t="shared" si="43"/>
        <v>0</v>
      </c>
      <c r="T190" s="29">
        <f t="shared" si="52"/>
        <v>0</v>
      </c>
      <c r="U190">
        <f t="shared" si="53"/>
        <v>0</v>
      </c>
      <c r="V190" s="29">
        <f t="shared" si="54"/>
        <v>0</v>
      </c>
      <c r="W190" s="29">
        <f t="shared" si="44"/>
        <v>0</v>
      </c>
      <c r="X190" s="29">
        <f t="shared" si="55"/>
        <v>0</v>
      </c>
      <c r="Y190">
        <f t="shared" si="56"/>
        <v>0</v>
      </c>
    </row>
    <row r="191" spans="1:25" x14ac:dyDescent="0.25">
      <c r="A191" s="4" t="s">
        <v>1027</v>
      </c>
      <c r="B191" s="7" t="s">
        <v>529</v>
      </c>
      <c r="C191" s="2" t="s">
        <v>1028</v>
      </c>
      <c r="D191">
        <f>VLOOKUP(B191,'Model allocations'!$A$1:$L$317,4,FALSE)</f>
        <v>171013.67685092546</v>
      </c>
      <c r="E191" s="31">
        <f>VLOOKUP(B191,'Initial adjusted formula count'!$A$1:$P$317,12,FALSE)</f>
        <v>0.19907407407407399</v>
      </c>
      <c r="F191">
        <f>VLOOKUP(B191,'Model allocations'!$A$1:$L$317,9,FALSE)</f>
        <v>211296.16205239348</v>
      </c>
      <c r="G191" s="30">
        <f t="shared" si="45"/>
        <v>0.9</v>
      </c>
      <c r="H191">
        <f t="shared" si="46"/>
        <v>153912.30916583291</v>
      </c>
      <c r="I191">
        <f t="shared" si="38"/>
        <v>0</v>
      </c>
      <c r="J191">
        <f t="shared" si="39"/>
        <v>211296.16205239348</v>
      </c>
      <c r="K191">
        <f t="shared" si="40"/>
        <v>211118.63435978442</v>
      </c>
      <c r="L191">
        <f t="shared" si="47"/>
        <v>211118.63435978442</v>
      </c>
      <c r="M191">
        <f t="shared" si="41"/>
        <v>0</v>
      </c>
      <c r="N191" s="29">
        <f t="shared" si="48"/>
        <v>211118.63435978442</v>
      </c>
      <c r="O191" s="29">
        <f t="shared" si="42"/>
        <v>211065.67114465882</v>
      </c>
      <c r="P191" s="29">
        <f t="shared" si="49"/>
        <v>211065.67114465882</v>
      </c>
      <c r="Q191">
        <f t="shared" si="50"/>
        <v>0</v>
      </c>
      <c r="R191" s="29">
        <f t="shared" si="51"/>
        <v>211065.67114465882</v>
      </c>
      <c r="S191" s="29">
        <f t="shared" si="43"/>
        <v>211065.67114465876</v>
      </c>
      <c r="T191" s="29">
        <f t="shared" si="52"/>
        <v>211065.67114465876</v>
      </c>
      <c r="U191">
        <f t="shared" si="53"/>
        <v>0</v>
      </c>
      <c r="V191" s="29">
        <f t="shared" si="54"/>
        <v>211065.67114465876</v>
      </c>
      <c r="W191" s="29">
        <f t="shared" si="44"/>
        <v>211065.67114465876</v>
      </c>
      <c r="X191" s="29">
        <f t="shared" si="55"/>
        <v>211065.67114465876</v>
      </c>
      <c r="Y191">
        <f t="shared" si="56"/>
        <v>0</v>
      </c>
    </row>
    <row r="192" spans="1:25" x14ac:dyDescent="0.25">
      <c r="A192" s="4" t="s">
        <v>1029</v>
      </c>
      <c r="B192" s="7" t="s">
        <v>531</v>
      </c>
      <c r="C192" s="2" t="s">
        <v>1030</v>
      </c>
      <c r="D192">
        <f>VLOOKUP(B192,'Model allocations'!$A$1:$L$317,4,FALSE)</f>
        <v>2473.6106904811863</v>
      </c>
      <c r="E192" s="31">
        <f>VLOOKUP(B192,'Initial adjusted formula count'!$A$1:$P$317,12,FALSE)</f>
        <v>0.10638297872340401</v>
      </c>
      <c r="F192">
        <f>VLOOKUP(B192,'Model allocations'!$A$1:$L$317,9,FALSE)</f>
        <v>2102.5690869090085</v>
      </c>
      <c r="G192" s="30">
        <f t="shared" si="45"/>
        <v>0.85</v>
      </c>
      <c r="H192">
        <f t="shared" si="46"/>
        <v>2102.5690869090085</v>
      </c>
      <c r="I192">
        <f t="shared" si="38"/>
        <v>0</v>
      </c>
      <c r="J192">
        <f t="shared" si="39"/>
        <v>2102.5690869090085</v>
      </c>
      <c r="K192">
        <f t="shared" si="40"/>
        <v>2100.8025416252494</v>
      </c>
      <c r="L192">
        <f t="shared" si="47"/>
        <v>2100.8025416252494</v>
      </c>
      <c r="M192">
        <f t="shared" si="41"/>
        <v>2102.5690869090085</v>
      </c>
      <c r="N192" s="29">
        <f t="shared" si="48"/>
        <v>0</v>
      </c>
      <c r="O192" s="29">
        <f t="shared" si="42"/>
        <v>0</v>
      </c>
      <c r="P192" s="29">
        <f t="shared" si="49"/>
        <v>2102.5690869090085</v>
      </c>
      <c r="Q192">
        <f t="shared" si="50"/>
        <v>0</v>
      </c>
      <c r="R192" s="29">
        <f t="shared" si="51"/>
        <v>0</v>
      </c>
      <c r="S192" s="29">
        <f t="shared" si="43"/>
        <v>0</v>
      </c>
      <c r="T192" s="29">
        <f t="shared" si="52"/>
        <v>2102.5690869090085</v>
      </c>
      <c r="U192">
        <f t="shared" si="53"/>
        <v>0</v>
      </c>
      <c r="V192" s="29">
        <f t="shared" si="54"/>
        <v>0</v>
      </c>
      <c r="W192" s="29">
        <f t="shared" si="44"/>
        <v>0</v>
      </c>
      <c r="X192" s="29">
        <f t="shared" si="55"/>
        <v>2102.5690869090085</v>
      </c>
      <c r="Y192">
        <f t="shared" si="56"/>
        <v>0</v>
      </c>
    </row>
    <row r="193" spans="1:25" x14ac:dyDescent="0.25">
      <c r="A193" s="4" t="s">
        <v>1031</v>
      </c>
      <c r="B193" s="7" t="s">
        <v>533</v>
      </c>
      <c r="C193" s="2" t="s">
        <v>1032</v>
      </c>
      <c r="D193">
        <f>VLOOKUP(B193,'Model allocations'!$A$1:$L$317,4,FALSE)</f>
        <v>0</v>
      </c>
      <c r="E193" s="31">
        <f>VLOOKUP(B193,'Initial adjusted formula count'!$A$1:$P$317,12,FALSE)</f>
        <v>4.8582995951416998E-2</v>
      </c>
      <c r="F193">
        <f>VLOOKUP(B193,'Model allocations'!$A$1:$L$317,9,FALSE)</f>
        <v>0</v>
      </c>
      <c r="G193" s="30">
        <f t="shared" si="45"/>
        <v>0.85</v>
      </c>
      <c r="H193">
        <f t="shared" si="46"/>
        <v>0</v>
      </c>
      <c r="I193">
        <f t="shared" si="38"/>
        <v>0</v>
      </c>
      <c r="J193">
        <f t="shared" si="39"/>
        <v>0</v>
      </c>
      <c r="K193">
        <f t="shared" si="40"/>
        <v>0</v>
      </c>
      <c r="L193">
        <f t="shared" si="47"/>
        <v>0</v>
      </c>
      <c r="M193">
        <f t="shared" si="41"/>
        <v>0</v>
      </c>
      <c r="N193" s="29">
        <f t="shared" si="48"/>
        <v>0</v>
      </c>
      <c r="O193" s="29">
        <f t="shared" si="42"/>
        <v>0</v>
      </c>
      <c r="P193" s="29">
        <f t="shared" si="49"/>
        <v>0</v>
      </c>
      <c r="Q193">
        <f t="shared" si="50"/>
        <v>0</v>
      </c>
      <c r="R193" s="29">
        <f t="shared" si="51"/>
        <v>0</v>
      </c>
      <c r="S193" s="29">
        <f t="shared" si="43"/>
        <v>0</v>
      </c>
      <c r="T193" s="29">
        <f t="shared" si="52"/>
        <v>0</v>
      </c>
      <c r="U193">
        <f t="shared" si="53"/>
        <v>0</v>
      </c>
      <c r="V193" s="29">
        <f t="shared" si="54"/>
        <v>0</v>
      </c>
      <c r="W193" s="29">
        <f t="shared" si="44"/>
        <v>0</v>
      </c>
      <c r="X193" s="29">
        <f t="shared" si="55"/>
        <v>0</v>
      </c>
      <c r="Y193">
        <f t="shared" si="56"/>
        <v>0</v>
      </c>
    </row>
    <row r="194" spans="1:25" x14ac:dyDescent="0.25">
      <c r="A194" s="4" t="s">
        <v>1033</v>
      </c>
      <c r="B194" s="7" t="s">
        <v>535</v>
      </c>
      <c r="C194" s="2" t="s">
        <v>1034</v>
      </c>
      <c r="D194">
        <f>VLOOKUP(B194,'Model allocations'!$A$1:$L$317,4,FALSE)</f>
        <v>431199.23366368335</v>
      </c>
      <c r="E194" s="31">
        <f>VLOOKUP(B194,'Initial adjusted formula count'!$A$1:$P$317,12,FALSE)</f>
        <v>0.156570363466915</v>
      </c>
      <c r="F194">
        <f>VLOOKUP(B194,'Model allocations'!$A$1:$L$317,9,FALSE)</f>
        <v>746907.36353404226</v>
      </c>
      <c r="G194" s="30">
        <f t="shared" si="45"/>
        <v>0.9</v>
      </c>
      <c r="H194">
        <f t="shared" si="46"/>
        <v>388079.31029731501</v>
      </c>
      <c r="I194">
        <f t="shared" si="38"/>
        <v>0</v>
      </c>
      <c r="J194">
        <f t="shared" si="39"/>
        <v>746907.36353404226</v>
      </c>
      <c r="K194">
        <f t="shared" si="40"/>
        <v>746279.82378342422</v>
      </c>
      <c r="L194">
        <f t="shared" si="47"/>
        <v>746279.82378342422</v>
      </c>
      <c r="M194">
        <f t="shared" si="41"/>
        <v>0</v>
      </c>
      <c r="N194" s="29">
        <f t="shared" si="48"/>
        <v>746279.82378342422</v>
      </c>
      <c r="O194" s="29">
        <f t="shared" si="42"/>
        <v>746092.60497646849</v>
      </c>
      <c r="P194" s="29">
        <f t="shared" si="49"/>
        <v>746092.60497646849</v>
      </c>
      <c r="Q194">
        <f t="shared" si="50"/>
        <v>0</v>
      </c>
      <c r="R194" s="29">
        <f t="shared" si="51"/>
        <v>746092.60497646849</v>
      </c>
      <c r="S194" s="29">
        <f t="shared" si="43"/>
        <v>746092.60497646825</v>
      </c>
      <c r="T194" s="29">
        <f t="shared" si="52"/>
        <v>746092.60497646825</v>
      </c>
      <c r="U194">
        <f t="shared" si="53"/>
        <v>0</v>
      </c>
      <c r="V194" s="29">
        <f t="shared" si="54"/>
        <v>746092.60497646825</v>
      </c>
      <c r="W194" s="29">
        <f t="shared" si="44"/>
        <v>746092.60497646825</v>
      </c>
      <c r="X194" s="29">
        <f t="shared" si="55"/>
        <v>746092.60497646825</v>
      </c>
      <c r="Y194">
        <f t="shared" si="56"/>
        <v>0</v>
      </c>
    </row>
    <row r="195" spans="1:25" x14ac:dyDescent="0.25">
      <c r="A195" s="4" t="s">
        <v>1035</v>
      </c>
      <c r="B195" s="7" t="s">
        <v>537</v>
      </c>
      <c r="C195" s="2" t="s">
        <v>1036</v>
      </c>
      <c r="D195">
        <f>VLOOKUP(B195,'Model allocations'!$A$1:$L$317,4,FALSE)</f>
        <v>11541.167447610704</v>
      </c>
      <c r="E195" s="31">
        <f>VLOOKUP(B195,'Initial adjusted formula count'!$A$1:$P$317,12,FALSE)</f>
        <v>0.14285714285714299</v>
      </c>
      <c r="F195">
        <f>VLOOKUP(B195,'Model allocations'!$A$1:$L$317,9,FALSE)</f>
        <v>9809.9923304690983</v>
      </c>
      <c r="G195" s="30">
        <f t="shared" si="45"/>
        <v>0.85</v>
      </c>
      <c r="H195">
        <f t="shared" si="46"/>
        <v>9809.9923304690983</v>
      </c>
      <c r="I195">
        <f t="shared" si="38"/>
        <v>0</v>
      </c>
      <c r="J195">
        <f t="shared" si="39"/>
        <v>9809.9923304690983</v>
      </c>
      <c r="K195">
        <f t="shared" si="40"/>
        <v>9801.7501301090706</v>
      </c>
      <c r="L195">
        <f t="shared" si="47"/>
        <v>9801.7501301090706</v>
      </c>
      <c r="M195">
        <f t="shared" si="41"/>
        <v>9809.9923304690983</v>
      </c>
      <c r="N195" s="29">
        <f t="shared" si="48"/>
        <v>0</v>
      </c>
      <c r="O195" s="29">
        <f t="shared" si="42"/>
        <v>0</v>
      </c>
      <c r="P195" s="29">
        <f t="shared" si="49"/>
        <v>9809.9923304690983</v>
      </c>
      <c r="Q195">
        <f t="shared" si="50"/>
        <v>0</v>
      </c>
      <c r="R195" s="29">
        <f t="shared" si="51"/>
        <v>0</v>
      </c>
      <c r="S195" s="29">
        <f t="shared" si="43"/>
        <v>0</v>
      </c>
      <c r="T195" s="29">
        <f t="shared" si="52"/>
        <v>9809.9923304690983</v>
      </c>
      <c r="U195">
        <f t="shared" si="53"/>
        <v>0</v>
      </c>
      <c r="V195" s="29">
        <f t="shared" si="54"/>
        <v>0</v>
      </c>
      <c r="W195" s="29">
        <f t="shared" si="44"/>
        <v>0</v>
      </c>
      <c r="X195" s="29">
        <f t="shared" si="55"/>
        <v>9809.9923304690983</v>
      </c>
      <c r="Y195">
        <f t="shared" si="56"/>
        <v>0</v>
      </c>
    </row>
    <row r="196" spans="1:25" x14ac:dyDescent="0.25">
      <c r="A196" s="4" t="s">
        <v>1037</v>
      </c>
      <c r="B196" s="7" t="s">
        <v>191</v>
      </c>
      <c r="C196" s="2" t="s">
        <v>1038</v>
      </c>
      <c r="D196">
        <f>VLOOKUP(B196,'Model allocations'!$A$1:$L$317,4,FALSE)</f>
        <v>0</v>
      </c>
      <c r="E196" s="31">
        <f>VLOOKUP(B196,'Initial adjusted formula count'!$A$1:$P$317,12,FALSE)</f>
        <v>4.49438202247191E-2</v>
      </c>
      <c r="F196">
        <f>VLOOKUP(B196,'Model allocations'!$A$1:$L$317,9,FALSE)</f>
        <v>0</v>
      </c>
      <c r="G196" s="30">
        <f t="shared" si="45"/>
        <v>0.85</v>
      </c>
      <c r="H196">
        <f t="shared" si="46"/>
        <v>0</v>
      </c>
      <c r="I196">
        <f t="shared" ref="I196:I258" si="57">IF(F196&lt;H196,H196,0)</f>
        <v>0</v>
      </c>
      <c r="J196">
        <f t="shared" ref="J196:J258" si="58">IF(I196=0,F196,0)</f>
        <v>0</v>
      </c>
      <c r="K196">
        <f t="shared" ref="K196:K258" si="59">(J196/$J$3)*($F$3-$I$3)</f>
        <v>0</v>
      </c>
      <c r="L196">
        <f t="shared" si="47"/>
        <v>0</v>
      </c>
      <c r="M196">
        <f t="shared" ref="M196:M258" si="60">IF(L196&lt;H196,H196,0)</f>
        <v>0</v>
      </c>
      <c r="N196" s="29">
        <f t="shared" si="48"/>
        <v>0</v>
      </c>
      <c r="O196" s="29">
        <f t="shared" ref="O196:O258" si="61">((N196/$N$3)*($F$3-$I$3-$M$3))</f>
        <v>0</v>
      </c>
      <c r="P196" s="29">
        <f t="shared" si="49"/>
        <v>0</v>
      </c>
      <c r="Q196">
        <f t="shared" si="50"/>
        <v>0</v>
      </c>
      <c r="R196" s="29">
        <f t="shared" si="51"/>
        <v>0</v>
      </c>
      <c r="S196" s="29">
        <f t="shared" ref="S196:S258" si="62">((R196/$R$3)*($F$3-$I$3-$M$3-$Q$3))</f>
        <v>0</v>
      </c>
      <c r="T196" s="29">
        <f t="shared" si="52"/>
        <v>0</v>
      </c>
      <c r="U196">
        <f t="shared" si="53"/>
        <v>0</v>
      </c>
      <c r="V196" s="29">
        <f t="shared" si="54"/>
        <v>0</v>
      </c>
      <c r="W196" s="29">
        <f t="shared" ref="W196:W258" si="63">((V196/$V$3)*($F$3-$I$3-$M$3-$Q$3-$U$3))</f>
        <v>0</v>
      </c>
      <c r="X196" s="29">
        <f t="shared" si="55"/>
        <v>0</v>
      </c>
      <c r="Y196">
        <f t="shared" si="56"/>
        <v>0</v>
      </c>
    </row>
    <row r="197" spans="1:25" x14ac:dyDescent="0.25">
      <c r="A197" s="4" t="s">
        <v>1039</v>
      </c>
      <c r="B197" s="7" t="s">
        <v>294</v>
      </c>
      <c r="C197" s="2" t="s">
        <v>1040</v>
      </c>
      <c r="D197">
        <f>VLOOKUP(B197,'Model allocations'!$A$1:$L$317,4,FALSE)</f>
        <v>0</v>
      </c>
      <c r="E197" s="31">
        <f>VLOOKUP(B197,'Initial adjusted formula count'!$A$1:$P$317,12,FALSE)</f>
        <v>9.5238095238095205E-2</v>
      </c>
      <c r="F197">
        <f>VLOOKUP(B197,'Model allocations'!$A$1:$L$317,9,FALSE)</f>
        <v>0</v>
      </c>
      <c r="G197" s="30">
        <f t="shared" ref="G197:G259" si="64">IF(E197&lt;0.15,0.85,IF(AND(E197&gt;=0.15,E197&lt;0.3),0.9,0.95))</f>
        <v>0.85</v>
      </c>
      <c r="H197">
        <f t="shared" ref="H197:H259" si="65">IF(F197 = 0, 0, D197*G197)</f>
        <v>0</v>
      </c>
      <c r="I197">
        <f t="shared" si="57"/>
        <v>0</v>
      </c>
      <c r="J197">
        <f t="shared" si="58"/>
        <v>0</v>
      </c>
      <c r="K197">
        <f t="shared" si="59"/>
        <v>0</v>
      </c>
      <c r="L197">
        <f t="shared" ref="L197:L259" si="66">I197+K197</f>
        <v>0</v>
      </c>
      <c r="M197">
        <f t="shared" si="60"/>
        <v>0</v>
      </c>
      <c r="N197" s="29">
        <f t="shared" ref="N197:N259" si="67">IF(I197+M197=0,L197,0)</f>
        <v>0</v>
      </c>
      <c r="O197" s="29">
        <f t="shared" si="61"/>
        <v>0</v>
      </c>
      <c r="P197" s="29">
        <f t="shared" ref="P197:P259" si="68">$I197+$M197+O197</f>
        <v>0</v>
      </c>
      <c r="Q197">
        <f t="shared" ref="Q197:Q259" si="69">IF(P197&lt;H197,H197,0)</f>
        <v>0</v>
      </c>
      <c r="R197" s="29">
        <f t="shared" ref="R197:R259" si="70">IF($I197+$M197+$Q197=0,P197,0)</f>
        <v>0</v>
      </c>
      <c r="S197" s="29">
        <f t="shared" si="62"/>
        <v>0</v>
      </c>
      <c r="T197" s="29">
        <f t="shared" ref="T197:T259" si="71">$I197+$M197+$Q197+S197</f>
        <v>0</v>
      </c>
      <c r="U197">
        <f t="shared" ref="U197:U259" si="72">IF(T197&lt;H197,H197,0)</f>
        <v>0</v>
      </c>
      <c r="V197" s="29">
        <f t="shared" ref="V197:V259" si="73">IF($I197+$M197+$Q197+U197=0,T197,0)</f>
        <v>0</v>
      </c>
      <c r="W197" s="29">
        <f t="shared" si="63"/>
        <v>0</v>
      </c>
      <c r="X197" s="29">
        <f t="shared" ref="X197:X259" si="74">$I197+$M197+$Q197+$U197+W197</f>
        <v>0</v>
      </c>
      <c r="Y197">
        <f t="shared" ref="Y197:Y259" si="75">IF(X197&lt;H197,H197,0)</f>
        <v>0</v>
      </c>
    </row>
    <row r="198" spans="1:25" x14ac:dyDescent="0.25">
      <c r="A198" s="4" t="s">
        <v>1041</v>
      </c>
      <c r="B198" s="7" t="s">
        <v>193</v>
      </c>
      <c r="C198" s="2" t="s">
        <v>1042</v>
      </c>
      <c r="D198">
        <f>VLOOKUP(B198,'Model allocations'!$A$1:$L$317,4,FALSE)</f>
        <v>0</v>
      </c>
      <c r="E198" s="31">
        <f>VLOOKUP(B198,'Initial adjusted formula count'!$A$1:$P$317,12,FALSE)</f>
        <v>4.4412364130434798E-2</v>
      </c>
      <c r="F198">
        <f>VLOOKUP(B198,'Model allocations'!$A$1:$L$317,9,FALSE)</f>
        <v>0</v>
      </c>
      <c r="G198" s="30">
        <f t="shared" si="64"/>
        <v>0.85</v>
      </c>
      <c r="H198">
        <f t="shared" si="65"/>
        <v>0</v>
      </c>
      <c r="I198">
        <f t="shared" si="57"/>
        <v>0</v>
      </c>
      <c r="J198">
        <f t="shared" si="58"/>
        <v>0</v>
      </c>
      <c r="K198">
        <f t="shared" si="59"/>
        <v>0</v>
      </c>
      <c r="L198">
        <f t="shared" si="66"/>
        <v>0</v>
      </c>
      <c r="M198">
        <f t="shared" si="60"/>
        <v>0</v>
      </c>
      <c r="N198" s="29">
        <f t="shared" si="67"/>
        <v>0</v>
      </c>
      <c r="O198" s="29">
        <f t="shared" si="61"/>
        <v>0</v>
      </c>
      <c r="P198" s="29">
        <f t="shared" si="68"/>
        <v>0</v>
      </c>
      <c r="Q198">
        <f t="shared" si="69"/>
        <v>0</v>
      </c>
      <c r="R198" s="29">
        <f t="shared" si="70"/>
        <v>0</v>
      </c>
      <c r="S198" s="29">
        <f t="shared" si="62"/>
        <v>0</v>
      </c>
      <c r="T198" s="29">
        <f t="shared" si="71"/>
        <v>0</v>
      </c>
      <c r="U198">
        <f t="shared" si="72"/>
        <v>0</v>
      </c>
      <c r="V198" s="29">
        <f t="shared" si="73"/>
        <v>0</v>
      </c>
      <c r="W198" s="29">
        <f t="shared" si="63"/>
        <v>0</v>
      </c>
      <c r="X198" s="29">
        <f t="shared" si="74"/>
        <v>0</v>
      </c>
      <c r="Y198">
        <f t="shared" si="75"/>
        <v>0</v>
      </c>
    </row>
    <row r="199" spans="1:25" x14ac:dyDescent="0.25">
      <c r="A199" s="4" t="s">
        <v>52</v>
      </c>
      <c r="B199" s="7" t="s">
        <v>83</v>
      </c>
      <c r="C199" s="2" t="s">
        <v>1043</v>
      </c>
      <c r="D199">
        <f>VLOOKUP(B199,'Model allocations'!$A$1:$L$317,4,FALSE)</f>
        <v>0</v>
      </c>
      <c r="E199" s="31">
        <f>VLOOKUP(B199,'Initial adjusted formula count'!$A$1:$P$317,12,FALSE)</f>
        <v>8.8673742888640106E-2</v>
      </c>
      <c r="F199">
        <f>VLOOKUP(B199,'Model allocations'!$A$1:$L$317,9,FALSE)</f>
        <v>0</v>
      </c>
      <c r="G199" s="30">
        <f t="shared" si="64"/>
        <v>0.85</v>
      </c>
      <c r="H199">
        <f t="shared" si="65"/>
        <v>0</v>
      </c>
      <c r="I199">
        <f t="shared" si="57"/>
        <v>0</v>
      </c>
      <c r="J199">
        <f t="shared" si="58"/>
        <v>0</v>
      </c>
      <c r="K199">
        <f t="shared" si="59"/>
        <v>0</v>
      </c>
      <c r="L199">
        <f t="shared" si="66"/>
        <v>0</v>
      </c>
      <c r="M199">
        <f t="shared" si="60"/>
        <v>0</v>
      </c>
      <c r="N199" s="29">
        <f t="shared" si="67"/>
        <v>0</v>
      </c>
      <c r="O199" s="29">
        <f t="shared" si="61"/>
        <v>0</v>
      </c>
      <c r="P199" s="29">
        <f t="shared" si="68"/>
        <v>0</v>
      </c>
      <c r="Q199">
        <f t="shared" si="69"/>
        <v>0</v>
      </c>
      <c r="R199" s="29">
        <f t="shared" si="70"/>
        <v>0</v>
      </c>
      <c r="S199" s="29">
        <f t="shared" si="62"/>
        <v>0</v>
      </c>
      <c r="T199" s="29">
        <f t="shared" si="71"/>
        <v>0</v>
      </c>
      <c r="U199">
        <f t="shared" si="72"/>
        <v>0</v>
      </c>
      <c r="V199" s="29">
        <f t="shared" si="73"/>
        <v>0</v>
      </c>
      <c r="W199" s="29">
        <f t="shared" si="63"/>
        <v>0</v>
      </c>
      <c r="X199" s="29">
        <f t="shared" si="74"/>
        <v>0</v>
      </c>
      <c r="Y199">
        <f t="shared" si="75"/>
        <v>0</v>
      </c>
    </row>
    <row r="200" spans="1:25" x14ac:dyDescent="0.25">
      <c r="A200" s="4" t="s">
        <v>1044</v>
      </c>
      <c r="B200" s="7" t="s">
        <v>539</v>
      </c>
      <c r="C200" s="2" t="s">
        <v>1045</v>
      </c>
      <c r="D200">
        <f>VLOOKUP(B200,'Model allocations'!$A$1:$L$317,4,FALSE)</f>
        <v>44784.762070648816</v>
      </c>
      <c r="E200" s="31">
        <f>VLOOKUP(B200,'Initial adjusted formula count'!$A$1:$P$317,12,FALSE)</f>
        <v>0.111772486772487</v>
      </c>
      <c r="F200">
        <f>VLOOKUP(B200,'Model allocations'!$A$1:$L$317,9,FALSE)</f>
        <v>38067.047760051493</v>
      </c>
      <c r="G200" s="30">
        <f t="shared" si="64"/>
        <v>0.85</v>
      </c>
      <c r="H200">
        <f t="shared" si="65"/>
        <v>38067.047760051493</v>
      </c>
      <c r="I200">
        <f t="shared" si="57"/>
        <v>0</v>
      </c>
      <c r="J200">
        <f t="shared" si="58"/>
        <v>38067.047760051493</v>
      </c>
      <c r="K200">
        <f t="shared" si="59"/>
        <v>38035.064428751772</v>
      </c>
      <c r="L200">
        <f t="shared" si="66"/>
        <v>38035.064428751772</v>
      </c>
      <c r="M200">
        <f t="shared" si="60"/>
        <v>38067.047760051493</v>
      </c>
      <c r="N200" s="29">
        <f t="shared" si="67"/>
        <v>0</v>
      </c>
      <c r="O200" s="29">
        <f t="shared" si="61"/>
        <v>0</v>
      </c>
      <c r="P200" s="29">
        <f t="shared" si="68"/>
        <v>38067.047760051493</v>
      </c>
      <c r="Q200">
        <f t="shared" si="69"/>
        <v>0</v>
      </c>
      <c r="R200" s="29">
        <f t="shared" si="70"/>
        <v>0</v>
      </c>
      <c r="S200" s="29">
        <f t="shared" si="62"/>
        <v>0</v>
      </c>
      <c r="T200" s="29">
        <f t="shared" si="71"/>
        <v>38067.047760051493</v>
      </c>
      <c r="U200">
        <f t="shared" si="72"/>
        <v>0</v>
      </c>
      <c r="V200" s="29">
        <f t="shared" si="73"/>
        <v>0</v>
      </c>
      <c r="W200" s="29">
        <f t="shared" si="63"/>
        <v>0</v>
      </c>
      <c r="X200" s="29">
        <f t="shared" si="74"/>
        <v>38067.047760051493</v>
      </c>
      <c r="Y200">
        <f t="shared" si="75"/>
        <v>0</v>
      </c>
    </row>
    <row r="201" spans="1:25" x14ac:dyDescent="0.25">
      <c r="A201" s="4" t="s">
        <v>1046</v>
      </c>
      <c r="B201" s="7" t="s">
        <v>541</v>
      </c>
      <c r="C201" s="2" t="s">
        <v>1047</v>
      </c>
      <c r="D201">
        <f>VLOOKUP(B201,'Model allocations'!$A$1:$L$317,4,FALSE)</f>
        <v>14734.732108755747</v>
      </c>
      <c r="E201" s="31">
        <f>VLOOKUP(B201,'Initial adjusted formula count'!$A$1:$P$317,12,FALSE)</f>
        <v>0.16253443526170799</v>
      </c>
      <c r="F201">
        <f>VLOOKUP(B201,'Model allocations'!$A$1:$L$317,9,FALSE)</f>
        <v>13805.618561562811</v>
      </c>
      <c r="G201" s="30">
        <f t="shared" si="64"/>
        <v>0.9</v>
      </c>
      <c r="H201">
        <f t="shared" si="65"/>
        <v>13261.258897880172</v>
      </c>
      <c r="I201">
        <f t="shared" si="57"/>
        <v>0</v>
      </c>
      <c r="J201">
        <f t="shared" si="58"/>
        <v>13805.618561562811</v>
      </c>
      <c r="K201">
        <f t="shared" si="59"/>
        <v>13794.019299255022</v>
      </c>
      <c r="L201">
        <f t="shared" si="66"/>
        <v>13794.019299255022</v>
      </c>
      <c r="M201">
        <f t="shared" si="60"/>
        <v>0</v>
      </c>
      <c r="N201" s="29">
        <f t="shared" si="67"/>
        <v>13794.019299255022</v>
      </c>
      <c r="O201" s="29">
        <f t="shared" si="61"/>
        <v>13790.55880125678</v>
      </c>
      <c r="P201" s="29">
        <f t="shared" si="68"/>
        <v>13790.55880125678</v>
      </c>
      <c r="Q201">
        <f t="shared" si="69"/>
        <v>0</v>
      </c>
      <c r="R201" s="29">
        <f t="shared" si="70"/>
        <v>13790.55880125678</v>
      </c>
      <c r="S201" s="29">
        <f t="shared" si="62"/>
        <v>13790.558801256777</v>
      </c>
      <c r="T201" s="29">
        <f t="shared" si="71"/>
        <v>13790.558801256777</v>
      </c>
      <c r="U201">
        <f t="shared" si="72"/>
        <v>0</v>
      </c>
      <c r="V201" s="29">
        <f t="shared" si="73"/>
        <v>13790.558801256777</v>
      </c>
      <c r="W201" s="29">
        <f t="shared" si="63"/>
        <v>13790.558801256777</v>
      </c>
      <c r="X201" s="29">
        <f t="shared" si="74"/>
        <v>13790.558801256777</v>
      </c>
      <c r="Y201">
        <f t="shared" si="75"/>
        <v>0</v>
      </c>
    </row>
    <row r="202" spans="1:25" x14ac:dyDescent="0.25">
      <c r="A202" s="4" t="s">
        <v>1048</v>
      </c>
      <c r="B202" s="7" t="s">
        <v>543</v>
      </c>
      <c r="C202" s="2" t="s">
        <v>1049</v>
      </c>
      <c r="D202">
        <f>VLOOKUP(B202,'Model allocations'!$A$1:$L$317,4,FALSE)</f>
        <v>127771.50605062442</v>
      </c>
      <c r="E202" s="31">
        <f>VLOOKUP(B202,'Initial adjusted formula count'!$A$1:$P$317,12,FALSE)</f>
        <v>0.142722783917235</v>
      </c>
      <c r="F202">
        <f>VLOOKUP(B202,'Model allocations'!$A$1:$L$317,9,FALSE)</f>
        <v>108605.78014303076</v>
      </c>
      <c r="G202" s="30">
        <f t="shared" si="64"/>
        <v>0.85</v>
      </c>
      <c r="H202">
        <f t="shared" si="65"/>
        <v>108605.78014303076</v>
      </c>
      <c r="I202">
        <f t="shared" si="57"/>
        <v>0</v>
      </c>
      <c r="J202">
        <f t="shared" si="58"/>
        <v>108605.78014303076</v>
      </c>
      <c r="K202">
        <f t="shared" si="59"/>
        <v>108514.53128471966</v>
      </c>
      <c r="L202">
        <f t="shared" si="66"/>
        <v>108514.53128471966</v>
      </c>
      <c r="M202">
        <f t="shared" si="60"/>
        <v>108605.78014303076</v>
      </c>
      <c r="N202" s="29">
        <f t="shared" si="67"/>
        <v>0</v>
      </c>
      <c r="O202" s="29">
        <f t="shared" si="61"/>
        <v>0</v>
      </c>
      <c r="P202" s="29">
        <f t="shared" si="68"/>
        <v>108605.78014303076</v>
      </c>
      <c r="Q202">
        <f t="shared" si="69"/>
        <v>0</v>
      </c>
      <c r="R202" s="29">
        <f t="shared" si="70"/>
        <v>0</v>
      </c>
      <c r="S202" s="29">
        <f t="shared" si="62"/>
        <v>0</v>
      </c>
      <c r="T202" s="29">
        <f t="shared" si="71"/>
        <v>108605.78014303076</v>
      </c>
      <c r="U202">
        <f t="shared" si="72"/>
        <v>0</v>
      </c>
      <c r="V202" s="29">
        <f t="shared" si="73"/>
        <v>0</v>
      </c>
      <c r="W202" s="29">
        <f t="shared" si="63"/>
        <v>0</v>
      </c>
      <c r="X202" s="29">
        <f t="shared" si="74"/>
        <v>108605.78014303076</v>
      </c>
      <c r="Y202">
        <f t="shared" si="75"/>
        <v>0</v>
      </c>
    </row>
    <row r="203" spans="1:25" x14ac:dyDescent="0.25">
      <c r="A203" s="4" t="s">
        <v>1050</v>
      </c>
      <c r="B203" s="7" t="s">
        <v>545</v>
      </c>
      <c r="C203" s="2" t="s">
        <v>1051</v>
      </c>
      <c r="D203">
        <f>VLOOKUP(B203,'Model allocations'!$A$1:$L$317,4,FALSE)</f>
        <v>48381.931714877639</v>
      </c>
      <c r="E203" s="31">
        <f>VLOOKUP(B203,'Initial adjusted formula count'!$A$1:$P$317,12,FALSE)</f>
        <v>0.173180076628352</v>
      </c>
      <c r="F203">
        <f>VLOOKUP(B203,'Model allocations'!$A$1:$L$317,9,FALSE)</f>
        <v>52882.538896833801</v>
      </c>
      <c r="G203" s="30">
        <f t="shared" si="64"/>
        <v>0.9</v>
      </c>
      <c r="H203">
        <f t="shared" si="65"/>
        <v>43543.738543389874</v>
      </c>
      <c r="I203">
        <f t="shared" si="57"/>
        <v>0</v>
      </c>
      <c r="J203">
        <f t="shared" si="58"/>
        <v>52882.538896833801</v>
      </c>
      <c r="K203">
        <f t="shared" si="59"/>
        <v>52838.107824264975</v>
      </c>
      <c r="L203">
        <f t="shared" si="66"/>
        <v>52838.107824264975</v>
      </c>
      <c r="M203">
        <f t="shared" si="60"/>
        <v>0</v>
      </c>
      <c r="N203" s="29">
        <f t="shared" si="67"/>
        <v>52838.107824264975</v>
      </c>
      <c r="O203" s="29">
        <f t="shared" si="61"/>
        <v>52824.852357356453</v>
      </c>
      <c r="P203" s="29">
        <f t="shared" si="68"/>
        <v>52824.852357356453</v>
      </c>
      <c r="Q203">
        <f t="shared" si="69"/>
        <v>0</v>
      </c>
      <c r="R203" s="29">
        <f t="shared" si="70"/>
        <v>52824.852357356453</v>
      </c>
      <c r="S203" s="29">
        <f t="shared" si="62"/>
        <v>52824.852357356445</v>
      </c>
      <c r="T203" s="29">
        <f t="shared" si="71"/>
        <v>52824.852357356445</v>
      </c>
      <c r="U203">
        <f t="shared" si="72"/>
        <v>0</v>
      </c>
      <c r="V203" s="29">
        <f t="shared" si="73"/>
        <v>52824.852357356445</v>
      </c>
      <c r="W203" s="29">
        <f t="shared" si="63"/>
        <v>52824.852357356445</v>
      </c>
      <c r="X203" s="29">
        <f t="shared" si="74"/>
        <v>52824.852357356445</v>
      </c>
      <c r="Y203">
        <f t="shared" si="75"/>
        <v>0</v>
      </c>
    </row>
    <row r="204" spans="1:25" x14ac:dyDescent="0.25">
      <c r="A204" s="4" t="s">
        <v>1052</v>
      </c>
      <c r="B204" s="7" t="s">
        <v>547</v>
      </c>
      <c r="C204" s="2" t="s">
        <v>1053</v>
      </c>
      <c r="D204">
        <f>VLOOKUP(B204,'Model allocations'!$A$1:$L$317,4,FALSE)</f>
        <v>0</v>
      </c>
      <c r="E204" s="31">
        <f>VLOOKUP(B204,'Initial adjusted formula count'!$A$1:$P$317,12,FALSE)</f>
        <v>0.199421965317919</v>
      </c>
      <c r="F204">
        <f>VLOOKUP(B204,'Model allocations'!$A$1:$L$317,9,FALSE)</f>
        <v>16145.553910980238</v>
      </c>
      <c r="G204" s="30">
        <f t="shared" si="64"/>
        <v>0.9</v>
      </c>
      <c r="H204">
        <f t="shared" si="65"/>
        <v>0</v>
      </c>
      <c r="I204">
        <f t="shared" si="57"/>
        <v>0</v>
      </c>
      <c r="J204">
        <f t="shared" si="58"/>
        <v>16145.553910980238</v>
      </c>
      <c r="K204">
        <f t="shared" si="59"/>
        <v>16131.988672010111</v>
      </c>
      <c r="L204">
        <f t="shared" si="66"/>
        <v>16131.988672010111</v>
      </c>
      <c r="M204">
        <f t="shared" si="60"/>
        <v>0</v>
      </c>
      <c r="N204" s="29">
        <f t="shared" si="67"/>
        <v>16131.988672010111</v>
      </c>
      <c r="O204" s="29">
        <f t="shared" si="61"/>
        <v>16127.941648927423</v>
      </c>
      <c r="P204" s="29">
        <f t="shared" si="68"/>
        <v>16127.941648927423</v>
      </c>
      <c r="Q204">
        <f t="shared" si="69"/>
        <v>0</v>
      </c>
      <c r="R204" s="29">
        <f t="shared" si="70"/>
        <v>16127.941648927423</v>
      </c>
      <c r="S204" s="29">
        <f t="shared" si="62"/>
        <v>16127.941648927421</v>
      </c>
      <c r="T204" s="29">
        <f t="shared" si="71"/>
        <v>16127.941648927421</v>
      </c>
      <c r="U204">
        <f t="shared" si="72"/>
        <v>0</v>
      </c>
      <c r="V204" s="29">
        <f t="shared" si="73"/>
        <v>16127.941648927421</v>
      </c>
      <c r="W204" s="29">
        <f t="shared" si="63"/>
        <v>16127.941648927421</v>
      </c>
      <c r="X204" s="29">
        <f t="shared" si="74"/>
        <v>16127.941648927421</v>
      </c>
      <c r="Y204">
        <f t="shared" si="75"/>
        <v>0</v>
      </c>
    </row>
    <row r="205" spans="1:25" x14ac:dyDescent="0.25">
      <c r="A205" s="4" t="s">
        <v>33</v>
      </c>
      <c r="B205" s="7" t="s">
        <v>77</v>
      </c>
      <c r="C205" s="2" t="s">
        <v>1054</v>
      </c>
      <c r="D205">
        <f>VLOOKUP(B205,'Model allocations'!$A$1:$L$317,4,FALSE)</f>
        <v>14507.842186498488</v>
      </c>
      <c r="E205" s="31">
        <f>VLOOKUP(B205,'Initial adjusted formula count'!$A$1:$P$317,12,FALSE)</f>
        <v>9.0664664515611698E-2</v>
      </c>
      <c r="F205">
        <f>VLOOKUP(B205,'Model allocations'!$A$1:$L$317,9,FALSE)</f>
        <v>5962.8447055541583</v>
      </c>
      <c r="G205" s="30">
        <f t="shared" si="64"/>
        <v>0.85</v>
      </c>
      <c r="H205">
        <f t="shared" si="65"/>
        <v>12331.665858523715</v>
      </c>
      <c r="I205">
        <f t="shared" si="57"/>
        <v>12331.665858523715</v>
      </c>
      <c r="J205">
        <f t="shared" si="58"/>
        <v>0</v>
      </c>
      <c r="K205">
        <f t="shared" si="59"/>
        <v>0</v>
      </c>
      <c r="L205">
        <f t="shared" si="66"/>
        <v>12331.665858523715</v>
      </c>
      <c r="M205">
        <f t="shared" si="60"/>
        <v>0</v>
      </c>
      <c r="N205" s="29">
        <f t="shared" si="67"/>
        <v>0</v>
      </c>
      <c r="O205" s="29">
        <f t="shared" si="61"/>
        <v>0</v>
      </c>
      <c r="P205" s="29">
        <f t="shared" si="68"/>
        <v>12331.665858523715</v>
      </c>
      <c r="Q205">
        <f t="shared" si="69"/>
        <v>0</v>
      </c>
      <c r="R205" s="29">
        <f t="shared" si="70"/>
        <v>0</v>
      </c>
      <c r="S205" s="29">
        <f t="shared" si="62"/>
        <v>0</v>
      </c>
      <c r="T205" s="29">
        <f t="shared" si="71"/>
        <v>12331.665858523715</v>
      </c>
      <c r="U205">
        <f t="shared" si="72"/>
        <v>0</v>
      </c>
      <c r="V205" s="29">
        <f t="shared" si="73"/>
        <v>0</v>
      </c>
      <c r="W205" s="29">
        <f t="shared" si="63"/>
        <v>0</v>
      </c>
      <c r="X205" s="29">
        <f t="shared" si="74"/>
        <v>12331.665858523715</v>
      </c>
      <c r="Y205">
        <f t="shared" si="75"/>
        <v>0</v>
      </c>
    </row>
    <row r="206" spans="1:25" x14ac:dyDescent="0.25">
      <c r="A206" s="4" t="s">
        <v>1055</v>
      </c>
      <c r="B206" s="7" t="s">
        <v>549</v>
      </c>
      <c r="C206" s="2" t="s">
        <v>1056</v>
      </c>
      <c r="D206">
        <f>VLOOKUP(B206,'Model allocations'!$A$1:$L$317,4,FALSE)</f>
        <v>78471.919361589447</v>
      </c>
      <c r="E206" s="31">
        <f>VLOOKUP(B206,'Initial adjusted formula count'!$A$1:$P$317,12,FALSE)</f>
        <v>0.121314808539478</v>
      </c>
      <c r="F206">
        <f>VLOOKUP(B206,'Model allocations'!$A$1:$L$317,9,FALSE)</f>
        <v>66701.131457351032</v>
      </c>
      <c r="G206" s="30">
        <f t="shared" si="64"/>
        <v>0.85</v>
      </c>
      <c r="H206">
        <f t="shared" si="65"/>
        <v>66701.131457351032</v>
      </c>
      <c r="I206">
        <f t="shared" si="57"/>
        <v>0</v>
      </c>
      <c r="J206">
        <f t="shared" si="58"/>
        <v>66701.131457351032</v>
      </c>
      <c r="K206">
        <f t="shared" si="59"/>
        <v>66645.09022192574</v>
      </c>
      <c r="L206">
        <f t="shared" si="66"/>
        <v>66645.09022192574</v>
      </c>
      <c r="M206">
        <f t="shared" si="60"/>
        <v>66701.131457351032</v>
      </c>
      <c r="N206" s="29">
        <f t="shared" si="67"/>
        <v>0</v>
      </c>
      <c r="O206" s="29">
        <f t="shared" si="61"/>
        <v>0</v>
      </c>
      <c r="P206" s="29">
        <f t="shared" si="68"/>
        <v>66701.131457351032</v>
      </c>
      <c r="Q206">
        <f t="shared" si="69"/>
        <v>0</v>
      </c>
      <c r="R206" s="29">
        <f t="shared" si="70"/>
        <v>0</v>
      </c>
      <c r="S206" s="29">
        <f t="shared" si="62"/>
        <v>0</v>
      </c>
      <c r="T206" s="29">
        <f t="shared" si="71"/>
        <v>66701.131457351032</v>
      </c>
      <c r="U206">
        <f t="shared" si="72"/>
        <v>0</v>
      </c>
      <c r="V206" s="29">
        <f t="shared" si="73"/>
        <v>0</v>
      </c>
      <c r="W206" s="29">
        <f t="shared" si="63"/>
        <v>0</v>
      </c>
      <c r="X206" s="29">
        <f t="shared" si="74"/>
        <v>66701.131457351032</v>
      </c>
      <c r="Y206">
        <f t="shared" si="75"/>
        <v>0</v>
      </c>
    </row>
    <row r="207" spans="1:25" x14ac:dyDescent="0.25">
      <c r="A207" s="4" t="s">
        <v>20</v>
      </c>
      <c r="B207" s="7" t="s">
        <v>58</v>
      </c>
      <c r="C207" s="2" t="s">
        <v>1057</v>
      </c>
      <c r="D207">
        <f>VLOOKUP(B207,'Model allocations'!$A$1:$L$317,4,FALSE)</f>
        <v>0</v>
      </c>
      <c r="E207" s="31">
        <f>VLOOKUP(B207,'Initial adjusted formula count'!$A$1:$P$317,12,FALSE)</f>
        <v>0.124369249035322</v>
      </c>
      <c r="F207">
        <f>VLOOKUP(B207,'Model allocations'!$A$1:$L$317,9,FALSE)</f>
        <v>0</v>
      </c>
      <c r="G207" s="30">
        <f t="shared" si="64"/>
        <v>0.85</v>
      </c>
      <c r="H207">
        <f t="shared" si="65"/>
        <v>0</v>
      </c>
      <c r="I207">
        <f t="shared" si="57"/>
        <v>0</v>
      </c>
      <c r="J207">
        <f t="shared" si="58"/>
        <v>0</v>
      </c>
      <c r="K207">
        <f t="shared" si="59"/>
        <v>0</v>
      </c>
      <c r="L207">
        <f t="shared" si="66"/>
        <v>0</v>
      </c>
      <c r="M207">
        <f t="shared" si="60"/>
        <v>0</v>
      </c>
      <c r="N207" s="29">
        <f t="shared" si="67"/>
        <v>0</v>
      </c>
      <c r="O207" s="29">
        <f t="shared" si="61"/>
        <v>0</v>
      </c>
      <c r="P207" s="29">
        <f t="shared" si="68"/>
        <v>0</v>
      </c>
      <c r="Q207">
        <f t="shared" si="69"/>
        <v>0</v>
      </c>
      <c r="R207" s="29">
        <f t="shared" si="70"/>
        <v>0</v>
      </c>
      <c r="S207" s="29">
        <f t="shared" si="62"/>
        <v>0</v>
      </c>
      <c r="T207" s="29">
        <f t="shared" si="71"/>
        <v>0</v>
      </c>
      <c r="U207">
        <f t="shared" si="72"/>
        <v>0</v>
      </c>
      <c r="V207" s="29">
        <f t="shared" si="73"/>
        <v>0</v>
      </c>
      <c r="W207" s="29">
        <f t="shared" si="63"/>
        <v>0</v>
      </c>
      <c r="X207" s="29">
        <f t="shared" si="74"/>
        <v>0</v>
      </c>
      <c r="Y207">
        <f t="shared" si="75"/>
        <v>0</v>
      </c>
    </row>
    <row r="208" spans="1:25" x14ac:dyDescent="0.25">
      <c r="A208" s="4" t="s">
        <v>1058</v>
      </c>
      <c r="B208" s="7" t="s">
        <v>195</v>
      </c>
      <c r="C208" s="2" t="s">
        <v>1059</v>
      </c>
      <c r="D208">
        <f>VLOOKUP(B208,'Model allocations'!$A$1:$L$317,4,FALSE)</f>
        <v>0</v>
      </c>
      <c r="E208" s="31">
        <f>VLOOKUP(B208,'Initial adjusted formula count'!$A$1:$P$317,12,FALSE)</f>
        <v>8.1236408822615694E-2</v>
      </c>
      <c r="F208">
        <f>VLOOKUP(B208,'Model allocations'!$A$1:$L$317,9,FALSE)</f>
        <v>0</v>
      </c>
      <c r="G208" s="30">
        <f t="shared" si="64"/>
        <v>0.85</v>
      </c>
      <c r="H208">
        <f t="shared" si="65"/>
        <v>0</v>
      </c>
      <c r="I208">
        <f t="shared" si="57"/>
        <v>0</v>
      </c>
      <c r="J208">
        <f t="shared" si="58"/>
        <v>0</v>
      </c>
      <c r="K208">
        <f t="shared" si="59"/>
        <v>0</v>
      </c>
      <c r="L208">
        <f t="shared" si="66"/>
        <v>0</v>
      </c>
      <c r="M208">
        <f t="shared" si="60"/>
        <v>0</v>
      </c>
      <c r="N208" s="29">
        <f t="shared" si="67"/>
        <v>0</v>
      </c>
      <c r="O208" s="29">
        <f t="shared" si="61"/>
        <v>0</v>
      </c>
      <c r="P208" s="29">
        <f t="shared" si="68"/>
        <v>0</v>
      </c>
      <c r="Q208">
        <f t="shared" si="69"/>
        <v>0</v>
      </c>
      <c r="R208" s="29">
        <f t="shared" si="70"/>
        <v>0</v>
      </c>
      <c r="S208" s="29">
        <f t="shared" si="62"/>
        <v>0</v>
      </c>
      <c r="T208" s="29">
        <f t="shared" si="71"/>
        <v>0</v>
      </c>
      <c r="U208">
        <f t="shared" si="72"/>
        <v>0</v>
      </c>
      <c r="V208" s="29">
        <f t="shared" si="73"/>
        <v>0</v>
      </c>
      <c r="W208" s="29">
        <f t="shared" si="63"/>
        <v>0</v>
      </c>
      <c r="X208" s="29">
        <f t="shared" si="74"/>
        <v>0</v>
      </c>
      <c r="Y208">
        <f t="shared" si="75"/>
        <v>0</v>
      </c>
    </row>
    <row r="209" spans="1:25" x14ac:dyDescent="0.25">
      <c r="A209" s="4" t="s">
        <v>1060</v>
      </c>
      <c r="B209" s="7" t="s">
        <v>551</v>
      </c>
      <c r="C209" s="2" t="s">
        <v>1061</v>
      </c>
      <c r="D209">
        <f>VLOOKUP(B209,'Model allocations'!$A$1:$L$317,4,FALSE)</f>
        <v>2620.9095432834765</v>
      </c>
      <c r="E209" s="31">
        <f>VLOOKUP(B209,'Initial adjusted formula count'!$A$1:$P$317,12,FALSE)</f>
        <v>0.29032258064516098</v>
      </c>
      <c r="F209">
        <f>VLOOKUP(B209,'Model allocations'!$A$1:$L$317,9,FALSE)</f>
        <v>2358.8185889551291</v>
      </c>
      <c r="G209" s="30">
        <f t="shared" si="64"/>
        <v>0.9</v>
      </c>
      <c r="H209">
        <f t="shared" si="65"/>
        <v>2358.8185889551291</v>
      </c>
      <c r="I209">
        <f t="shared" si="57"/>
        <v>0</v>
      </c>
      <c r="J209">
        <f t="shared" si="58"/>
        <v>2358.8185889551291</v>
      </c>
      <c r="K209">
        <f t="shared" si="59"/>
        <v>2356.836746893669</v>
      </c>
      <c r="L209">
        <f t="shared" si="66"/>
        <v>2356.836746893669</v>
      </c>
      <c r="M209">
        <f t="shared" si="60"/>
        <v>2358.8185889551291</v>
      </c>
      <c r="N209" s="29">
        <f t="shared" si="67"/>
        <v>0</v>
      </c>
      <c r="O209" s="29">
        <f t="shared" si="61"/>
        <v>0</v>
      </c>
      <c r="P209" s="29">
        <f t="shared" si="68"/>
        <v>2358.8185889551291</v>
      </c>
      <c r="Q209">
        <f t="shared" si="69"/>
        <v>0</v>
      </c>
      <c r="R209" s="29">
        <f t="shared" si="70"/>
        <v>0</v>
      </c>
      <c r="S209" s="29">
        <f t="shared" si="62"/>
        <v>0</v>
      </c>
      <c r="T209" s="29">
        <f t="shared" si="71"/>
        <v>2358.8185889551291</v>
      </c>
      <c r="U209">
        <f t="shared" si="72"/>
        <v>0</v>
      </c>
      <c r="V209" s="29">
        <f t="shared" si="73"/>
        <v>0</v>
      </c>
      <c r="W209" s="29">
        <f t="shared" si="63"/>
        <v>0</v>
      </c>
      <c r="X209" s="29">
        <f t="shared" si="74"/>
        <v>2358.8185889551291</v>
      </c>
      <c r="Y209">
        <f t="shared" si="75"/>
        <v>0</v>
      </c>
    </row>
    <row r="210" spans="1:25" x14ac:dyDescent="0.25">
      <c r="A210" s="4" t="s">
        <v>1062</v>
      </c>
      <c r="B210" s="7" t="s">
        <v>553</v>
      </c>
      <c r="C210" s="2" t="s">
        <v>1063</v>
      </c>
      <c r="D210">
        <f>VLOOKUP(B210,'Model allocations'!$A$1:$L$317,4,FALSE)</f>
        <v>5091.6915210047209</v>
      </c>
      <c r="E210" s="31">
        <f>VLOOKUP(B210,'Initial adjusted formula count'!$A$1:$P$317,12,FALSE)</f>
        <v>0.16062176165803099</v>
      </c>
      <c r="F210">
        <f>VLOOKUP(B210,'Model allocations'!$A$1:$L$317,9,FALSE)</f>
        <v>7253.7995831940152</v>
      </c>
      <c r="G210" s="30">
        <f t="shared" si="64"/>
        <v>0.9</v>
      </c>
      <c r="H210">
        <f t="shared" si="65"/>
        <v>4582.5223689042487</v>
      </c>
      <c r="I210">
        <f t="shared" si="57"/>
        <v>0</v>
      </c>
      <c r="J210">
        <f t="shared" si="58"/>
        <v>7253.7995831940152</v>
      </c>
      <c r="K210">
        <f t="shared" si="59"/>
        <v>7247.7050555407704</v>
      </c>
      <c r="L210">
        <f t="shared" si="66"/>
        <v>7247.7050555407704</v>
      </c>
      <c r="M210">
        <f t="shared" si="60"/>
        <v>0</v>
      </c>
      <c r="N210" s="29">
        <f t="shared" si="67"/>
        <v>7247.7050555407704</v>
      </c>
      <c r="O210" s="29">
        <f t="shared" si="61"/>
        <v>7245.8868277789825</v>
      </c>
      <c r="P210" s="29">
        <f t="shared" si="68"/>
        <v>7245.8868277789825</v>
      </c>
      <c r="Q210">
        <f t="shared" si="69"/>
        <v>0</v>
      </c>
      <c r="R210" s="29">
        <f t="shared" si="70"/>
        <v>7245.8868277789825</v>
      </c>
      <c r="S210" s="29">
        <f t="shared" si="62"/>
        <v>7245.8868277789807</v>
      </c>
      <c r="T210" s="29">
        <f t="shared" si="71"/>
        <v>7245.8868277789807</v>
      </c>
      <c r="U210">
        <f t="shared" si="72"/>
        <v>0</v>
      </c>
      <c r="V210" s="29">
        <f t="shared" si="73"/>
        <v>7245.8868277789807</v>
      </c>
      <c r="W210" s="29">
        <f t="shared" si="63"/>
        <v>7245.8868277789807</v>
      </c>
      <c r="X210" s="29">
        <f t="shared" si="74"/>
        <v>7245.8868277789807</v>
      </c>
      <c r="Y210">
        <f t="shared" si="75"/>
        <v>0</v>
      </c>
    </row>
    <row r="211" spans="1:25" x14ac:dyDescent="0.25">
      <c r="A211" s="4" t="s">
        <v>1064</v>
      </c>
      <c r="B211" s="7" t="s">
        <v>555</v>
      </c>
      <c r="C211" s="2" t="s">
        <v>1065</v>
      </c>
      <c r="D211">
        <f>VLOOKUP(B211,'Model allocations'!$A$1:$L$317,4,FALSE)</f>
        <v>64123.600207089214</v>
      </c>
      <c r="E211" s="31">
        <f>VLOOKUP(B211,'Initial adjusted formula count'!$A$1:$P$317,12,FALSE)</f>
        <v>0.187607573149742</v>
      </c>
      <c r="F211">
        <f>VLOOKUP(B211,'Model allocations'!$A$1:$L$317,9,FALSE)</f>
        <v>57711.240186380295</v>
      </c>
      <c r="G211" s="30">
        <f t="shared" si="64"/>
        <v>0.9</v>
      </c>
      <c r="H211">
        <f t="shared" si="65"/>
        <v>57711.240186380295</v>
      </c>
      <c r="I211">
        <f t="shared" si="57"/>
        <v>0</v>
      </c>
      <c r="J211">
        <f t="shared" si="58"/>
        <v>57711.240186380295</v>
      </c>
      <c r="K211">
        <f t="shared" si="59"/>
        <v>57662.752115379015</v>
      </c>
      <c r="L211">
        <f t="shared" si="66"/>
        <v>57662.752115379015</v>
      </c>
      <c r="M211">
        <f t="shared" si="60"/>
        <v>57711.240186380295</v>
      </c>
      <c r="N211" s="29">
        <f t="shared" si="67"/>
        <v>0</v>
      </c>
      <c r="O211" s="29">
        <f t="shared" si="61"/>
        <v>0</v>
      </c>
      <c r="P211" s="29">
        <f t="shared" si="68"/>
        <v>57711.240186380295</v>
      </c>
      <c r="Q211">
        <f t="shared" si="69"/>
        <v>0</v>
      </c>
      <c r="R211" s="29">
        <f t="shared" si="70"/>
        <v>0</v>
      </c>
      <c r="S211" s="29">
        <f t="shared" si="62"/>
        <v>0</v>
      </c>
      <c r="T211" s="29">
        <f t="shared" si="71"/>
        <v>57711.240186380295</v>
      </c>
      <c r="U211">
        <f t="shared" si="72"/>
        <v>0</v>
      </c>
      <c r="V211" s="29">
        <f t="shared" si="73"/>
        <v>0</v>
      </c>
      <c r="W211" s="29">
        <f t="shared" si="63"/>
        <v>0</v>
      </c>
      <c r="X211" s="29">
        <f t="shared" si="74"/>
        <v>57711.240186380295</v>
      </c>
      <c r="Y211">
        <f t="shared" si="75"/>
        <v>0</v>
      </c>
    </row>
    <row r="212" spans="1:25" x14ac:dyDescent="0.25">
      <c r="A212" s="4" t="s">
        <v>1066</v>
      </c>
      <c r="B212" s="7" t="s">
        <v>445</v>
      </c>
      <c r="C212" s="2" t="s">
        <v>1067</v>
      </c>
      <c r="D212">
        <f>VLOOKUP(B212,'Model allocations'!$A$1:$L$317,4,FALSE)</f>
        <v>9067.5274515419987</v>
      </c>
      <c r="E212" s="31">
        <f>VLOOKUP(B212,'Initial adjusted formula count'!$A$1:$P$317,12,FALSE)</f>
        <v>0.17714285714285699</v>
      </c>
      <c r="F212">
        <f>VLOOKUP(B212,'Model allocations'!$A$1:$L$317,9,FALSE)</f>
        <v>8160.7747063877987</v>
      </c>
      <c r="G212" s="30">
        <f t="shared" si="64"/>
        <v>0.9</v>
      </c>
      <c r="H212">
        <f t="shared" si="65"/>
        <v>8160.7747063877987</v>
      </c>
      <c r="I212">
        <f t="shared" si="57"/>
        <v>0</v>
      </c>
      <c r="J212">
        <f t="shared" si="58"/>
        <v>8160.7747063877987</v>
      </c>
      <c r="K212">
        <f t="shared" si="59"/>
        <v>8153.9181525845725</v>
      </c>
      <c r="L212">
        <f t="shared" si="66"/>
        <v>8153.9181525845725</v>
      </c>
      <c r="M212">
        <f t="shared" si="60"/>
        <v>8160.7747063877987</v>
      </c>
      <c r="N212" s="29">
        <f t="shared" si="67"/>
        <v>0</v>
      </c>
      <c r="O212" s="29">
        <f t="shared" si="61"/>
        <v>0</v>
      </c>
      <c r="P212" s="29">
        <f t="shared" si="68"/>
        <v>8160.7747063877987</v>
      </c>
      <c r="Q212">
        <f t="shared" si="69"/>
        <v>0</v>
      </c>
      <c r="R212" s="29">
        <f t="shared" si="70"/>
        <v>0</v>
      </c>
      <c r="S212" s="29">
        <f t="shared" si="62"/>
        <v>0</v>
      </c>
      <c r="T212" s="29">
        <f t="shared" si="71"/>
        <v>8160.7747063877987</v>
      </c>
      <c r="U212">
        <f t="shared" si="72"/>
        <v>0</v>
      </c>
      <c r="V212" s="29">
        <f t="shared" si="73"/>
        <v>0</v>
      </c>
      <c r="W212" s="29">
        <f t="shared" si="63"/>
        <v>0</v>
      </c>
      <c r="X212" s="29">
        <f t="shared" si="74"/>
        <v>8160.7747063877987</v>
      </c>
      <c r="Y212">
        <f t="shared" si="75"/>
        <v>0</v>
      </c>
    </row>
    <row r="213" spans="1:25" x14ac:dyDescent="0.25">
      <c r="A213" s="4" t="s">
        <v>1068</v>
      </c>
      <c r="B213" s="7" t="s">
        <v>557</v>
      </c>
      <c r="C213" s="2" t="s">
        <v>1069</v>
      </c>
      <c r="D213">
        <f>VLOOKUP(B213,'Model allocations'!$A$1:$L$317,4,FALSE)</f>
        <v>96516.264455430864</v>
      </c>
      <c r="E213" s="31">
        <f>VLOOKUP(B213,'Initial adjusted formula count'!$A$1:$P$317,12,FALSE)</f>
        <v>0.14040114613180499</v>
      </c>
      <c r="F213">
        <f>VLOOKUP(B213,'Model allocations'!$A$1:$L$317,9,FALSE)</f>
        <v>82038.824787116231</v>
      </c>
      <c r="G213" s="30">
        <f t="shared" si="64"/>
        <v>0.85</v>
      </c>
      <c r="H213">
        <f t="shared" si="65"/>
        <v>82038.824787116231</v>
      </c>
      <c r="I213">
        <f t="shared" si="57"/>
        <v>0</v>
      </c>
      <c r="J213">
        <f t="shared" si="58"/>
        <v>82038.824787116231</v>
      </c>
      <c r="K213">
        <f t="shared" si="59"/>
        <v>81969.897064400648</v>
      </c>
      <c r="L213">
        <f t="shared" si="66"/>
        <v>81969.897064400648</v>
      </c>
      <c r="M213">
        <f t="shared" si="60"/>
        <v>82038.824787116231</v>
      </c>
      <c r="N213" s="29">
        <f t="shared" si="67"/>
        <v>0</v>
      </c>
      <c r="O213" s="29">
        <f t="shared" si="61"/>
        <v>0</v>
      </c>
      <c r="P213" s="29">
        <f t="shared" si="68"/>
        <v>82038.824787116231</v>
      </c>
      <c r="Q213">
        <f t="shared" si="69"/>
        <v>0</v>
      </c>
      <c r="R213" s="29">
        <f t="shared" si="70"/>
        <v>0</v>
      </c>
      <c r="S213" s="29">
        <f t="shared" si="62"/>
        <v>0</v>
      </c>
      <c r="T213" s="29">
        <f t="shared" si="71"/>
        <v>82038.824787116231</v>
      </c>
      <c r="U213">
        <f t="shared" si="72"/>
        <v>0</v>
      </c>
      <c r="V213" s="29">
        <f t="shared" si="73"/>
        <v>0</v>
      </c>
      <c r="W213" s="29">
        <f t="shared" si="63"/>
        <v>0</v>
      </c>
      <c r="X213" s="29">
        <f t="shared" si="74"/>
        <v>82038.824787116231</v>
      </c>
      <c r="Y213">
        <f t="shared" si="75"/>
        <v>0</v>
      </c>
    </row>
    <row r="214" spans="1:25" x14ac:dyDescent="0.25">
      <c r="A214" s="4" t="s">
        <v>1070</v>
      </c>
      <c r="B214" s="7" t="s">
        <v>197</v>
      </c>
      <c r="C214" s="2" t="s">
        <v>1071</v>
      </c>
      <c r="D214">
        <f>VLOOKUP(B214,'Model allocations'!$A$1:$L$317,4,FALSE)</f>
        <v>28957.215636042005</v>
      </c>
      <c r="E214" s="31">
        <f>VLOOKUP(B214,'Initial adjusted formula count'!$A$1:$P$317,12,FALSE)</f>
        <v>8.6744639376218305E-2</v>
      </c>
      <c r="F214">
        <f>VLOOKUP(B214,'Model allocations'!$A$1:$L$317,9,FALSE)</f>
        <v>24613.633290635702</v>
      </c>
      <c r="G214" s="30">
        <f t="shared" si="64"/>
        <v>0.85</v>
      </c>
      <c r="H214">
        <f t="shared" si="65"/>
        <v>24613.633290635702</v>
      </c>
      <c r="I214">
        <f t="shared" si="57"/>
        <v>0</v>
      </c>
      <c r="J214">
        <f t="shared" si="58"/>
        <v>24613.633290635702</v>
      </c>
      <c r="K214">
        <f t="shared" si="59"/>
        <v>24592.953305337491</v>
      </c>
      <c r="L214">
        <f t="shared" si="66"/>
        <v>24592.953305337491</v>
      </c>
      <c r="M214">
        <f t="shared" si="60"/>
        <v>24613.633290635702</v>
      </c>
      <c r="N214" s="29">
        <f t="shared" si="67"/>
        <v>0</v>
      </c>
      <c r="O214" s="29">
        <f t="shared" si="61"/>
        <v>0</v>
      </c>
      <c r="P214" s="29">
        <f t="shared" si="68"/>
        <v>24613.633290635702</v>
      </c>
      <c r="Q214">
        <f t="shared" si="69"/>
        <v>0</v>
      </c>
      <c r="R214" s="29">
        <f t="shared" si="70"/>
        <v>0</v>
      </c>
      <c r="S214" s="29">
        <f t="shared" si="62"/>
        <v>0</v>
      </c>
      <c r="T214" s="29">
        <f t="shared" si="71"/>
        <v>24613.633290635702</v>
      </c>
      <c r="U214">
        <f t="shared" si="72"/>
        <v>0</v>
      </c>
      <c r="V214" s="29">
        <f t="shared" si="73"/>
        <v>0</v>
      </c>
      <c r="W214" s="29">
        <f t="shared" si="63"/>
        <v>0</v>
      </c>
      <c r="X214" s="29">
        <f t="shared" si="74"/>
        <v>24613.633290635702</v>
      </c>
      <c r="Y214">
        <f t="shared" si="75"/>
        <v>0</v>
      </c>
    </row>
    <row r="215" spans="1:25" x14ac:dyDescent="0.25">
      <c r="A215" s="4" t="s">
        <v>15</v>
      </c>
      <c r="B215" s="7" t="s">
        <v>69</v>
      </c>
      <c r="C215" s="2" t="s">
        <v>1072</v>
      </c>
      <c r="D215">
        <f>VLOOKUP(B215,'Model allocations'!$A$1:$L$317,4,FALSE)</f>
        <v>13023.982108251608</v>
      </c>
      <c r="E215" s="31">
        <f>VLOOKUP(B215,'Initial adjusted formula count'!$A$1:$P$317,12,FALSE)</f>
        <v>0.172194800399085</v>
      </c>
      <c r="F215">
        <f>VLOOKUP(B215,'Model allocations'!$A$1:$L$317,9,FALSE)</f>
        <v>16080.358499366084</v>
      </c>
      <c r="G215" s="30">
        <f t="shared" si="64"/>
        <v>0.9</v>
      </c>
      <c r="H215">
        <f t="shared" si="65"/>
        <v>11721.583897426448</v>
      </c>
      <c r="I215">
        <f t="shared" si="57"/>
        <v>0</v>
      </c>
      <c r="J215">
        <f t="shared" si="58"/>
        <v>16080.358499366084</v>
      </c>
      <c r="K215">
        <f t="shared" si="59"/>
        <v>16066.848036549391</v>
      </c>
      <c r="L215">
        <f t="shared" si="66"/>
        <v>16066.848036549391</v>
      </c>
      <c r="M215">
        <f t="shared" si="60"/>
        <v>0</v>
      </c>
      <c r="N215" s="29">
        <f t="shared" si="67"/>
        <v>16066.848036549391</v>
      </c>
      <c r="O215" s="29">
        <f t="shared" si="61"/>
        <v>16062.817355261919</v>
      </c>
      <c r="P215" s="29">
        <f t="shared" si="68"/>
        <v>16062.817355261919</v>
      </c>
      <c r="Q215">
        <f t="shared" si="69"/>
        <v>0</v>
      </c>
      <c r="R215" s="29">
        <f t="shared" si="70"/>
        <v>16062.817355261919</v>
      </c>
      <c r="S215" s="29">
        <f t="shared" si="62"/>
        <v>16062.817355261916</v>
      </c>
      <c r="T215" s="29">
        <f t="shared" si="71"/>
        <v>16062.817355261916</v>
      </c>
      <c r="U215">
        <f t="shared" si="72"/>
        <v>0</v>
      </c>
      <c r="V215" s="29">
        <f t="shared" si="73"/>
        <v>16062.817355261916</v>
      </c>
      <c r="W215" s="29">
        <f t="shared" si="63"/>
        <v>16062.817355261916</v>
      </c>
      <c r="X215" s="29">
        <f t="shared" si="74"/>
        <v>16062.817355261916</v>
      </c>
      <c r="Y215">
        <f t="shared" si="75"/>
        <v>0</v>
      </c>
    </row>
    <row r="216" spans="1:25" x14ac:dyDescent="0.25">
      <c r="A216" s="4" t="s">
        <v>21</v>
      </c>
      <c r="B216" s="7" t="s">
        <v>71</v>
      </c>
      <c r="C216" s="2" t="s">
        <v>1073</v>
      </c>
      <c r="D216">
        <f>VLOOKUP(B216,'Model allocations'!$A$1:$L$317,4,FALSE)</f>
        <v>11519.321880756779</v>
      </c>
      <c r="E216" s="31">
        <f>VLOOKUP(B216,'Initial adjusted formula count'!$A$1:$P$317,12,FALSE)</f>
        <v>0.143722761819817</v>
      </c>
      <c r="F216">
        <f>VLOOKUP(B216,'Model allocations'!$A$1:$L$317,9,FALSE)</f>
        <v>5695.3363975162511</v>
      </c>
      <c r="G216" s="30">
        <f t="shared" si="64"/>
        <v>0.85</v>
      </c>
      <c r="H216">
        <f t="shared" si="65"/>
        <v>9791.4235986432614</v>
      </c>
      <c r="I216">
        <f t="shared" si="57"/>
        <v>9791.4235986432614</v>
      </c>
      <c r="J216">
        <f t="shared" si="58"/>
        <v>0</v>
      </c>
      <c r="K216">
        <f t="shared" si="59"/>
        <v>0</v>
      </c>
      <c r="L216">
        <f t="shared" si="66"/>
        <v>9791.4235986432614</v>
      </c>
      <c r="M216">
        <f t="shared" si="60"/>
        <v>0</v>
      </c>
      <c r="N216" s="29">
        <f t="shared" si="67"/>
        <v>0</v>
      </c>
      <c r="O216" s="29">
        <f t="shared" si="61"/>
        <v>0</v>
      </c>
      <c r="P216" s="29">
        <f t="shared" si="68"/>
        <v>9791.4235986432614</v>
      </c>
      <c r="Q216">
        <f t="shared" si="69"/>
        <v>0</v>
      </c>
      <c r="R216" s="29">
        <f t="shared" si="70"/>
        <v>0</v>
      </c>
      <c r="S216" s="29">
        <f t="shared" si="62"/>
        <v>0</v>
      </c>
      <c r="T216" s="29">
        <f t="shared" si="71"/>
        <v>9791.4235986432614</v>
      </c>
      <c r="U216">
        <f t="shared" si="72"/>
        <v>0</v>
      </c>
      <c r="V216" s="29">
        <f t="shared" si="73"/>
        <v>0</v>
      </c>
      <c r="W216" s="29">
        <f t="shared" si="63"/>
        <v>0</v>
      </c>
      <c r="X216" s="29">
        <f t="shared" si="74"/>
        <v>9791.4235986432614</v>
      </c>
      <c r="Y216">
        <f t="shared" si="75"/>
        <v>0</v>
      </c>
    </row>
    <row r="217" spans="1:25" x14ac:dyDescent="0.25">
      <c r="A217" s="4" t="s">
        <v>1074</v>
      </c>
      <c r="B217" s="7" t="s">
        <v>559</v>
      </c>
      <c r="C217" s="2" t="s">
        <v>1075</v>
      </c>
      <c r="D217">
        <f>VLOOKUP(B217,'Model allocations'!$A$1:$L$317,4,FALSE)</f>
        <v>25162.38867802906</v>
      </c>
      <c r="E217" s="31">
        <f>VLOOKUP(B217,'Initial adjusted formula count'!$A$1:$P$317,12,FALSE)</f>
        <v>0.19512195121951201</v>
      </c>
      <c r="F217">
        <f>VLOOKUP(B217,'Model allocations'!$A$1:$L$317,9,FALSE)</f>
        <v>28079.224193009097</v>
      </c>
      <c r="G217" s="30">
        <f t="shared" si="64"/>
        <v>0.9</v>
      </c>
      <c r="H217">
        <f t="shared" si="65"/>
        <v>22646.149810226154</v>
      </c>
      <c r="I217">
        <f t="shared" si="57"/>
        <v>0</v>
      </c>
      <c r="J217">
        <f t="shared" si="58"/>
        <v>28079.224193009097</v>
      </c>
      <c r="K217">
        <f t="shared" si="59"/>
        <v>28055.63247306105</v>
      </c>
      <c r="L217">
        <f t="shared" si="66"/>
        <v>28055.63247306105</v>
      </c>
      <c r="M217">
        <f t="shared" si="60"/>
        <v>0</v>
      </c>
      <c r="N217" s="29">
        <f t="shared" si="67"/>
        <v>28055.63247306105</v>
      </c>
      <c r="O217" s="29">
        <f t="shared" si="61"/>
        <v>28048.594172047677</v>
      </c>
      <c r="P217" s="29">
        <f t="shared" si="68"/>
        <v>28048.594172047677</v>
      </c>
      <c r="Q217">
        <f t="shared" si="69"/>
        <v>0</v>
      </c>
      <c r="R217" s="29">
        <f t="shared" si="70"/>
        <v>28048.594172047677</v>
      </c>
      <c r="S217" s="29">
        <f t="shared" si="62"/>
        <v>28048.594172047673</v>
      </c>
      <c r="T217" s="29">
        <f t="shared" si="71"/>
        <v>28048.594172047673</v>
      </c>
      <c r="U217">
        <f t="shared" si="72"/>
        <v>0</v>
      </c>
      <c r="V217" s="29">
        <f t="shared" si="73"/>
        <v>28048.594172047673</v>
      </c>
      <c r="W217" s="29">
        <f t="shared" si="63"/>
        <v>28048.594172047673</v>
      </c>
      <c r="X217" s="29">
        <f t="shared" si="74"/>
        <v>28048.594172047673</v>
      </c>
      <c r="Y217">
        <f t="shared" si="75"/>
        <v>0</v>
      </c>
    </row>
    <row r="218" spans="1:25" x14ac:dyDescent="0.25">
      <c r="A218" s="4" t="s">
        <v>1076</v>
      </c>
      <c r="B218" s="7" t="s">
        <v>561</v>
      </c>
      <c r="C218" s="2" t="s">
        <v>1077</v>
      </c>
      <c r="D218">
        <f>VLOOKUP(B218,'Model allocations'!$A$1:$L$317,4,FALSE)</f>
        <v>22403.442692420776</v>
      </c>
      <c r="E218" s="31">
        <f>VLOOKUP(B218,'Initial adjusted formula count'!$A$1:$P$317,12,FALSE)</f>
        <v>7.9000000000000001E-2</v>
      </c>
      <c r="F218">
        <f>VLOOKUP(B218,'Model allocations'!$A$1:$L$317,9,FALSE)</f>
        <v>19042.926288557661</v>
      </c>
      <c r="G218" s="30">
        <f t="shared" si="64"/>
        <v>0.85</v>
      </c>
      <c r="H218">
        <f t="shared" si="65"/>
        <v>19042.926288557661</v>
      </c>
      <c r="I218">
        <f t="shared" si="57"/>
        <v>0</v>
      </c>
      <c r="J218">
        <f t="shared" si="58"/>
        <v>19042.926288557661</v>
      </c>
      <c r="K218">
        <f t="shared" si="59"/>
        <v>19026.926723152901</v>
      </c>
      <c r="L218">
        <f t="shared" si="66"/>
        <v>19026.926723152901</v>
      </c>
      <c r="M218">
        <f t="shared" si="60"/>
        <v>19042.926288557661</v>
      </c>
      <c r="N218" s="29">
        <f t="shared" si="67"/>
        <v>0</v>
      </c>
      <c r="O218" s="29">
        <f t="shared" si="61"/>
        <v>0</v>
      </c>
      <c r="P218" s="29">
        <f t="shared" si="68"/>
        <v>19042.926288557661</v>
      </c>
      <c r="Q218">
        <f t="shared" si="69"/>
        <v>0</v>
      </c>
      <c r="R218" s="29">
        <f t="shared" si="70"/>
        <v>0</v>
      </c>
      <c r="S218" s="29">
        <f t="shared" si="62"/>
        <v>0</v>
      </c>
      <c r="T218" s="29">
        <f t="shared" si="71"/>
        <v>19042.926288557661</v>
      </c>
      <c r="U218">
        <f t="shared" si="72"/>
        <v>0</v>
      </c>
      <c r="V218" s="29">
        <f t="shared" si="73"/>
        <v>0</v>
      </c>
      <c r="W218" s="29">
        <f t="shared" si="63"/>
        <v>0</v>
      </c>
      <c r="X218" s="29">
        <f t="shared" si="74"/>
        <v>19042.926288557661</v>
      </c>
      <c r="Y218">
        <f t="shared" si="75"/>
        <v>0</v>
      </c>
    </row>
    <row r="219" spans="1:25" x14ac:dyDescent="0.25">
      <c r="A219" s="4" t="s">
        <v>1078</v>
      </c>
      <c r="B219" s="7" t="s">
        <v>563</v>
      </c>
      <c r="C219" s="2" t="s">
        <v>1079</v>
      </c>
      <c r="D219">
        <f>VLOOKUP(B219,'Model allocations'!$A$1:$L$317,4,FALSE)</f>
        <v>0</v>
      </c>
      <c r="E219" s="31">
        <f>VLOOKUP(B219,'Initial adjusted formula count'!$A$1:$P$317,12,FALSE)</f>
        <v>0.13325835521341101</v>
      </c>
      <c r="F219">
        <f>VLOOKUP(B219,'Model allocations'!$A$1:$L$317,9,FALSE)</f>
        <v>0</v>
      </c>
      <c r="G219" s="30">
        <f t="shared" si="64"/>
        <v>0.85</v>
      </c>
      <c r="H219">
        <f t="shared" si="65"/>
        <v>0</v>
      </c>
      <c r="I219">
        <f t="shared" si="57"/>
        <v>0</v>
      </c>
      <c r="J219">
        <f t="shared" si="58"/>
        <v>0</v>
      </c>
      <c r="K219">
        <f t="shared" si="59"/>
        <v>0</v>
      </c>
      <c r="L219">
        <f t="shared" si="66"/>
        <v>0</v>
      </c>
      <c r="M219">
        <f t="shared" si="60"/>
        <v>0</v>
      </c>
      <c r="N219" s="29">
        <f t="shared" si="67"/>
        <v>0</v>
      </c>
      <c r="O219" s="29">
        <f t="shared" si="61"/>
        <v>0</v>
      </c>
      <c r="P219" s="29">
        <f t="shared" si="68"/>
        <v>0</v>
      </c>
      <c r="Q219">
        <f t="shared" si="69"/>
        <v>0</v>
      </c>
      <c r="R219" s="29">
        <f t="shared" si="70"/>
        <v>0</v>
      </c>
      <c r="S219" s="29">
        <f t="shared" si="62"/>
        <v>0</v>
      </c>
      <c r="T219" s="29">
        <f t="shared" si="71"/>
        <v>0</v>
      </c>
      <c r="U219">
        <f t="shared" si="72"/>
        <v>0</v>
      </c>
      <c r="V219" s="29">
        <f t="shared" si="73"/>
        <v>0</v>
      </c>
      <c r="W219" s="29">
        <f t="shared" si="63"/>
        <v>0</v>
      </c>
      <c r="X219" s="29">
        <f t="shared" si="74"/>
        <v>0</v>
      </c>
      <c r="Y219">
        <f t="shared" si="75"/>
        <v>0</v>
      </c>
    </row>
    <row r="220" spans="1:25" x14ac:dyDescent="0.25">
      <c r="A220" s="4" t="s">
        <v>1080</v>
      </c>
      <c r="B220" s="7" t="s">
        <v>564</v>
      </c>
      <c r="C220" s="2" t="s">
        <v>1081</v>
      </c>
      <c r="D220">
        <f>VLOOKUP(B220,'Model allocations'!$A$1:$L$317,4,FALSE)</f>
        <v>20175.248579680941</v>
      </c>
      <c r="E220" s="31">
        <f>VLOOKUP(B220,'Initial adjusted formula count'!$A$1:$P$317,12,FALSE)</f>
        <v>0.25333333333333302</v>
      </c>
      <c r="F220">
        <f>VLOOKUP(B220,'Model allocations'!$A$1:$L$317,9,FALSE)</f>
        <v>22229.385819465544</v>
      </c>
      <c r="G220" s="30">
        <f t="shared" si="64"/>
        <v>0.9</v>
      </c>
      <c r="H220">
        <f t="shared" si="65"/>
        <v>18157.72372171285</v>
      </c>
      <c r="I220">
        <f t="shared" si="57"/>
        <v>0</v>
      </c>
      <c r="J220">
        <f t="shared" si="58"/>
        <v>22229.385819465544</v>
      </c>
      <c r="K220">
        <f t="shared" si="59"/>
        <v>22210.709041173337</v>
      </c>
      <c r="L220">
        <f t="shared" si="66"/>
        <v>22210.709041173337</v>
      </c>
      <c r="M220">
        <f t="shared" si="60"/>
        <v>0</v>
      </c>
      <c r="N220" s="29">
        <f t="shared" si="67"/>
        <v>22210.709041173337</v>
      </c>
      <c r="O220" s="29">
        <f t="shared" si="61"/>
        <v>22205.137052871083</v>
      </c>
      <c r="P220" s="29">
        <f t="shared" si="68"/>
        <v>22205.137052871083</v>
      </c>
      <c r="Q220">
        <f t="shared" si="69"/>
        <v>0</v>
      </c>
      <c r="R220" s="29">
        <f t="shared" si="70"/>
        <v>22205.137052871083</v>
      </c>
      <c r="S220" s="29">
        <f t="shared" si="62"/>
        <v>22205.13705287108</v>
      </c>
      <c r="T220" s="29">
        <f t="shared" si="71"/>
        <v>22205.13705287108</v>
      </c>
      <c r="U220">
        <f t="shared" si="72"/>
        <v>0</v>
      </c>
      <c r="V220" s="29">
        <f t="shared" si="73"/>
        <v>22205.13705287108</v>
      </c>
      <c r="W220" s="29">
        <f t="shared" si="63"/>
        <v>22205.13705287108</v>
      </c>
      <c r="X220" s="29">
        <f t="shared" si="74"/>
        <v>22205.13705287108</v>
      </c>
      <c r="Y220">
        <f t="shared" si="75"/>
        <v>0</v>
      </c>
    </row>
    <row r="221" spans="1:25" x14ac:dyDescent="0.25">
      <c r="A221" s="4" t="s">
        <v>1082</v>
      </c>
      <c r="B221" s="7" t="s">
        <v>199</v>
      </c>
      <c r="C221" s="2" t="s">
        <v>1083</v>
      </c>
      <c r="D221">
        <f>VLOOKUP(B221,'Model allocations'!$A$1:$L$317,4,FALSE)</f>
        <v>0</v>
      </c>
      <c r="E221" s="31">
        <f>VLOOKUP(B221,'Initial adjusted formula count'!$A$1:$P$317,12,FALSE)</f>
        <v>9.6311345311408794E-2</v>
      </c>
      <c r="F221">
        <f>VLOOKUP(B221,'Model allocations'!$A$1:$L$317,9,FALSE)</f>
        <v>0</v>
      </c>
      <c r="G221" s="30">
        <f t="shared" si="64"/>
        <v>0.85</v>
      </c>
      <c r="H221">
        <f t="shared" si="65"/>
        <v>0</v>
      </c>
      <c r="I221">
        <f t="shared" si="57"/>
        <v>0</v>
      </c>
      <c r="J221">
        <f t="shared" si="58"/>
        <v>0</v>
      </c>
      <c r="K221">
        <f t="shared" si="59"/>
        <v>0</v>
      </c>
      <c r="L221">
        <f t="shared" si="66"/>
        <v>0</v>
      </c>
      <c r="M221">
        <f t="shared" si="60"/>
        <v>0</v>
      </c>
      <c r="N221" s="29">
        <f t="shared" si="67"/>
        <v>0</v>
      </c>
      <c r="O221" s="29">
        <f t="shared" si="61"/>
        <v>0</v>
      </c>
      <c r="P221" s="29">
        <f t="shared" si="68"/>
        <v>0</v>
      </c>
      <c r="Q221">
        <f t="shared" si="69"/>
        <v>0</v>
      </c>
      <c r="R221" s="29">
        <f t="shared" si="70"/>
        <v>0</v>
      </c>
      <c r="S221" s="29">
        <f t="shared" si="62"/>
        <v>0</v>
      </c>
      <c r="T221" s="29">
        <f t="shared" si="71"/>
        <v>0</v>
      </c>
      <c r="U221">
        <f t="shared" si="72"/>
        <v>0</v>
      </c>
      <c r="V221" s="29">
        <f t="shared" si="73"/>
        <v>0</v>
      </c>
      <c r="W221" s="29">
        <f t="shared" si="63"/>
        <v>0</v>
      </c>
      <c r="X221" s="29">
        <f t="shared" si="74"/>
        <v>0</v>
      </c>
      <c r="Y221">
        <f t="shared" si="75"/>
        <v>0</v>
      </c>
    </row>
    <row r="222" spans="1:25" x14ac:dyDescent="0.25">
      <c r="A222" s="4" t="s">
        <v>1084</v>
      </c>
      <c r="B222" s="7" t="s">
        <v>201</v>
      </c>
      <c r="C222" s="2" t="s">
        <v>1085</v>
      </c>
      <c r="D222">
        <f>VLOOKUP(B222,'Model allocations'!$A$1:$L$317,4,FALSE)</f>
        <v>0</v>
      </c>
      <c r="E222" s="31">
        <f>VLOOKUP(B222,'Initial adjusted formula count'!$A$1:$P$317,12,FALSE)</f>
        <v>3.9135654261704698E-2</v>
      </c>
      <c r="F222">
        <f>VLOOKUP(B222,'Model allocations'!$A$1:$L$317,9,FALSE)</f>
        <v>0</v>
      </c>
      <c r="G222" s="30">
        <f t="shared" si="64"/>
        <v>0.85</v>
      </c>
      <c r="H222">
        <f t="shared" si="65"/>
        <v>0</v>
      </c>
      <c r="I222">
        <f t="shared" si="57"/>
        <v>0</v>
      </c>
      <c r="J222">
        <f t="shared" si="58"/>
        <v>0</v>
      </c>
      <c r="K222">
        <f t="shared" si="59"/>
        <v>0</v>
      </c>
      <c r="L222">
        <f t="shared" si="66"/>
        <v>0</v>
      </c>
      <c r="M222">
        <f t="shared" si="60"/>
        <v>0</v>
      </c>
      <c r="N222" s="29">
        <f t="shared" si="67"/>
        <v>0</v>
      </c>
      <c r="O222" s="29">
        <f t="shared" si="61"/>
        <v>0</v>
      </c>
      <c r="P222" s="29">
        <f t="shared" si="68"/>
        <v>0</v>
      </c>
      <c r="Q222">
        <f t="shared" si="69"/>
        <v>0</v>
      </c>
      <c r="R222" s="29">
        <f t="shared" si="70"/>
        <v>0</v>
      </c>
      <c r="S222" s="29">
        <f t="shared" si="62"/>
        <v>0</v>
      </c>
      <c r="T222" s="29">
        <f t="shared" si="71"/>
        <v>0</v>
      </c>
      <c r="U222">
        <f t="shared" si="72"/>
        <v>0</v>
      </c>
      <c r="V222" s="29">
        <f t="shared" si="73"/>
        <v>0</v>
      </c>
      <c r="W222" s="29">
        <f t="shared" si="63"/>
        <v>0</v>
      </c>
      <c r="X222" s="29">
        <f t="shared" si="74"/>
        <v>0</v>
      </c>
      <c r="Y222">
        <f t="shared" si="75"/>
        <v>0</v>
      </c>
    </row>
    <row r="223" spans="1:25" x14ac:dyDescent="0.25">
      <c r="A223" s="4" t="s">
        <v>1086</v>
      </c>
      <c r="B223" s="7" t="s">
        <v>203</v>
      </c>
      <c r="C223" s="2" t="s">
        <v>1087</v>
      </c>
      <c r="D223">
        <f>VLOOKUP(B223,'Model allocations'!$A$1:$L$317,4,FALSE)</f>
        <v>0</v>
      </c>
      <c r="E223" s="31">
        <f>VLOOKUP(B223,'Initial adjusted formula count'!$A$1:$P$317,12,FALSE)</f>
        <v>0.115942028985507</v>
      </c>
      <c r="F223">
        <f>VLOOKUP(B223,'Model allocations'!$A$1:$L$317,9,FALSE)</f>
        <v>0</v>
      </c>
      <c r="G223" s="30">
        <f t="shared" si="64"/>
        <v>0.85</v>
      </c>
      <c r="H223">
        <f t="shared" si="65"/>
        <v>0</v>
      </c>
      <c r="I223">
        <f t="shared" si="57"/>
        <v>0</v>
      </c>
      <c r="J223">
        <f t="shared" si="58"/>
        <v>0</v>
      </c>
      <c r="K223">
        <f t="shared" si="59"/>
        <v>0</v>
      </c>
      <c r="L223">
        <f t="shared" si="66"/>
        <v>0</v>
      </c>
      <c r="M223">
        <f t="shared" si="60"/>
        <v>0</v>
      </c>
      <c r="N223" s="29">
        <f t="shared" si="67"/>
        <v>0</v>
      </c>
      <c r="O223" s="29">
        <f t="shared" si="61"/>
        <v>0</v>
      </c>
      <c r="P223" s="29">
        <f t="shared" si="68"/>
        <v>0</v>
      </c>
      <c r="Q223">
        <f t="shared" si="69"/>
        <v>0</v>
      </c>
      <c r="R223" s="29">
        <f t="shared" si="70"/>
        <v>0</v>
      </c>
      <c r="S223" s="29">
        <f t="shared" si="62"/>
        <v>0</v>
      </c>
      <c r="T223" s="29">
        <f t="shared" si="71"/>
        <v>0</v>
      </c>
      <c r="U223">
        <f t="shared" si="72"/>
        <v>0</v>
      </c>
      <c r="V223" s="29">
        <f t="shared" si="73"/>
        <v>0</v>
      </c>
      <c r="W223" s="29">
        <f t="shared" si="63"/>
        <v>0</v>
      </c>
      <c r="X223" s="29">
        <f t="shared" si="74"/>
        <v>0</v>
      </c>
      <c r="Y223">
        <f t="shared" si="75"/>
        <v>0</v>
      </c>
    </row>
    <row r="224" spans="1:25" x14ac:dyDescent="0.25">
      <c r="A224" s="4" t="s">
        <v>1088</v>
      </c>
      <c r="B224" s="7" t="s">
        <v>296</v>
      </c>
      <c r="C224" s="2" t="s">
        <v>1089</v>
      </c>
      <c r="D224">
        <f>VLOOKUP(B224,'Model allocations'!$A$1:$L$317,4,FALSE)</f>
        <v>0</v>
      </c>
      <c r="E224" s="31">
        <f>VLOOKUP(B224,'Initial adjusted formula count'!$A$1:$P$317,12,FALSE)</f>
        <v>0.11764705882352899</v>
      </c>
      <c r="F224">
        <f>VLOOKUP(B224,'Model allocations'!$A$1:$L$317,9,FALSE)</f>
        <v>0</v>
      </c>
      <c r="G224" s="30">
        <f t="shared" si="64"/>
        <v>0.85</v>
      </c>
      <c r="H224">
        <f t="shared" si="65"/>
        <v>0</v>
      </c>
      <c r="I224">
        <f t="shared" si="57"/>
        <v>0</v>
      </c>
      <c r="J224">
        <f t="shared" si="58"/>
        <v>0</v>
      </c>
      <c r="K224">
        <f t="shared" si="59"/>
        <v>0</v>
      </c>
      <c r="L224">
        <f t="shared" si="66"/>
        <v>0</v>
      </c>
      <c r="M224">
        <f t="shared" si="60"/>
        <v>0</v>
      </c>
      <c r="N224" s="29">
        <f t="shared" si="67"/>
        <v>0</v>
      </c>
      <c r="O224" s="29">
        <f t="shared" si="61"/>
        <v>0</v>
      </c>
      <c r="P224" s="29">
        <f t="shared" si="68"/>
        <v>0</v>
      </c>
      <c r="Q224">
        <f t="shared" si="69"/>
        <v>0</v>
      </c>
      <c r="R224" s="29">
        <f t="shared" si="70"/>
        <v>0</v>
      </c>
      <c r="S224" s="29">
        <f t="shared" si="62"/>
        <v>0</v>
      </c>
      <c r="T224" s="29">
        <f t="shared" si="71"/>
        <v>0</v>
      </c>
      <c r="U224">
        <f t="shared" si="72"/>
        <v>0</v>
      </c>
      <c r="V224" s="29">
        <f t="shared" si="73"/>
        <v>0</v>
      </c>
      <c r="W224" s="29">
        <f t="shared" si="63"/>
        <v>0</v>
      </c>
      <c r="X224" s="29">
        <f t="shared" si="74"/>
        <v>0</v>
      </c>
      <c r="Y224">
        <f t="shared" si="75"/>
        <v>0</v>
      </c>
    </row>
    <row r="225" spans="1:25" x14ac:dyDescent="0.25">
      <c r="A225" s="4" t="s">
        <v>1090</v>
      </c>
      <c r="B225" s="7" t="s">
        <v>205</v>
      </c>
      <c r="C225" s="2" t="s">
        <v>1091</v>
      </c>
      <c r="D225">
        <f>VLOOKUP(B225,'Model allocations'!$A$1:$L$317,4,FALSE)</f>
        <v>0</v>
      </c>
      <c r="E225" s="31">
        <f>VLOOKUP(B225,'Initial adjusted formula count'!$A$1:$P$317,12,FALSE)</f>
        <v>3.3472803347280297E-2</v>
      </c>
      <c r="F225">
        <f>VLOOKUP(B225,'Model allocations'!$A$1:$L$317,9,FALSE)</f>
        <v>0</v>
      </c>
      <c r="G225" s="30">
        <f t="shared" si="64"/>
        <v>0.85</v>
      </c>
      <c r="H225">
        <f t="shared" si="65"/>
        <v>0</v>
      </c>
      <c r="I225">
        <f t="shared" si="57"/>
        <v>0</v>
      </c>
      <c r="J225">
        <f t="shared" si="58"/>
        <v>0</v>
      </c>
      <c r="K225">
        <f t="shared" si="59"/>
        <v>0</v>
      </c>
      <c r="L225">
        <f t="shared" si="66"/>
        <v>0</v>
      </c>
      <c r="M225">
        <f t="shared" si="60"/>
        <v>0</v>
      </c>
      <c r="N225" s="29">
        <f t="shared" si="67"/>
        <v>0</v>
      </c>
      <c r="O225" s="29">
        <f t="shared" si="61"/>
        <v>0</v>
      </c>
      <c r="P225" s="29">
        <f t="shared" si="68"/>
        <v>0</v>
      </c>
      <c r="Q225">
        <f t="shared" si="69"/>
        <v>0</v>
      </c>
      <c r="R225" s="29">
        <f t="shared" si="70"/>
        <v>0</v>
      </c>
      <c r="S225" s="29">
        <f t="shared" si="62"/>
        <v>0</v>
      </c>
      <c r="T225" s="29">
        <f t="shared" si="71"/>
        <v>0</v>
      </c>
      <c r="U225">
        <f t="shared" si="72"/>
        <v>0</v>
      </c>
      <c r="V225" s="29">
        <f t="shared" si="73"/>
        <v>0</v>
      </c>
      <c r="W225" s="29">
        <f t="shared" si="63"/>
        <v>0</v>
      </c>
      <c r="X225" s="29">
        <f t="shared" si="74"/>
        <v>0</v>
      </c>
      <c r="Y225">
        <f t="shared" si="75"/>
        <v>0</v>
      </c>
    </row>
    <row r="226" spans="1:25" x14ac:dyDescent="0.25">
      <c r="A226" s="4" t="s">
        <v>1092</v>
      </c>
      <c r="B226" s="7" t="s">
        <v>566</v>
      </c>
      <c r="C226" s="2" t="s">
        <v>1093</v>
      </c>
      <c r="D226">
        <f>VLOOKUP(B226,'Model allocations'!$A$1:$L$317,4,FALSE)</f>
        <v>58523.670500309971</v>
      </c>
      <c r="E226" s="31">
        <f>VLOOKUP(B226,'Initial adjusted formula count'!$A$1:$P$317,12,FALSE)</f>
        <v>0.103629032258065</v>
      </c>
      <c r="F226">
        <f>VLOOKUP(B226,'Model allocations'!$A$1:$L$317,9,FALSE)</f>
        <v>49745.119925263476</v>
      </c>
      <c r="G226" s="30">
        <f t="shared" si="64"/>
        <v>0.85</v>
      </c>
      <c r="H226">
        <f t="shared" si="65"/>
        <v>49745.119925263476</v>
      </c>
      <c r="I226">
        <f t="shared" si="57"/>
        <v>0</v>
      </c>
      <c r="J226">
        <f t="shared" si="58"/>
        <v>49745.119925263476</v>
      </c>
      <c r="K226">
        <f t="shared" si="59"/>
        <v>49703.324862479974</v>
      </c>
      <c r="L226">
        <f t="shared" si="66"/>
        <v>49703.324862479974</v>
      </c>
      <c r="M226">
        <f t="shared" si="60"/>
        <v>49745.119925263476</v>
      </c>
      <c r="N226" s="29">
        <f t="shared" si="67"/>
        <v>0</v>
      </c>
      <c r="O226" s="29">
        <f t="shared" si="61"/>
        <v>0</v>
      </c>
      <c r="P226" s="29">
        <f t="shared" si="68"/>
        <v>49745.119925263476</v>
      </c>
      <c r="Q226">
        <f t="shared" si="69"/>
        <v>0</v>
      </c>
      <c r="R226" s="29">
        <f t="shared" si="70"/>
        <v>0</v>
      </c>
      <c r="S226" s="29">
        <f t="shared" si="62"/>
        <v>0</v>
      </c>
      <c r="T226" s="29">
        <f t="shared" si="71"/>
        <v>49745.119925263476</v>
      </c>
      <c r="U226">
        <f t="shared" si="72"/>
        <v>0</v>
      </c>
      <c r="V226" s="29">
        <f t="shared" si="73"/>
        <v>0</v>
      </c>
      <c r="W226" s="29">
        <f t="shared" si="63"/>
        <v>0</v>
      </c>
      <c r="X226" s="29">
        <f t="shared" si="74"/>
        <v>49745.119925263476</v>
      </c>
      <c r="Y226">
        <f t="shared" si="75"/>
        <v>0</v>
      </c>
    </row>
    <row r="227" spans="1:25" x14ac:dyDescent="0.25">
      <c r="A227" s="4" t="s">
        <v>1094</v>
      </c>
      <c r="B227" s="7" t="s">
        <v>298</v>
      </c>
      <c r="C227" s="2" t="s">
        <v>1095</v>
      </c>
      <c r="D227">
        <f>VLOOKUP(B227,'Model allocations'!$A$1:$L$317,4,FALSE)</f>
        <v>1798.5848221144099</v>
      </c>
      <c r="E227" s="31">
        <f>VLOOKUP(B227,'Initial adjusted formula count'!$A$1:$P$317,12,FALSE)</f>
        <v>9.3023255813953501E-2</v>
      </c>
      <c r="F227">
        <f>VLOOKUP(B227,'Model allocations'!$A$1:$L$317,9,FALSE)</f>
        <v>1528.7970987972483</v>
      </c>
      <c r="G227" s="30">
        <f t="shared" si="64"/>
        <v>0.85</v>
      </c>
      <c r="H227">
        <f t="shared" si="65"/>
        <v>1528.7970987972483</v>
      </c>
      <c r="I227">
        <f t="shared" si="57"/>
        <v>0</v>
      </c>
      <c r="J227">
        <f t="shared" si="58"/>
        <v>1528.7970987972483</v>
      </c>
      <c r="K227">
        <f t="shared" si="59"/>
        <v>1527.5126276607134</v>
      </c>
      <c r="L227">
        <f t="shared" si="66"/>
        <v>1527.5126276607134</v>
      </c>
      <c r="M227">
        <f t="shared" si="60"/>
        <v>1528.7970987972483</v>
      </c>
      <c r="N227" s="29">
        <f t="shared" si="67"/>
        <v>0</v>
      </c>
      <c r="O227" s="29">
        <f t="shared" si="61"/>
        <v>0</v>
      </c>
      <c r="P227" s="29">
        <f t="shared" si="68"/>
        <v>1528.7970987972483</v>
      </c>
      <c r="Q227">
        <f t="shared" si="69"/>
        <v>0</v>
      </c>
      <c r="R227" s="29">
        <f t="shared" si="70"/>
        <v>0</v>
      </c>
      <c r="S227" s="29">
        <f t="shared" si="62"/>
        <v>0</v>
      </c>
      <c r="T227" s="29">
        <f t="shared" si="71"/>
        <v>1528.7970987972483</v>
      </c>
      <c r="U227">
        <f t="shared" si="72"/>
        <v>0</v>
      </c>
      <c r="V227" s="29">
        <f t="shared" si="73"/>
        <v>0</v>
      </c>
      <c r="W227" s="29">
        <f t="shared" si="63"/>
        <v>0</v>
      </c>
      <c r="X227" s="29">
        <f t="shared" si="74"/>
        <v>1528.7970987972483</v>
      </c>
      <c r="Y227">
        <f t="shared" si="75"/>
        <v>0</v>
      </c>
    </row>
    <row r="228" spans="1:25" x14ac:dyDescent="0.25">
      <c r="A228" s="4" t="s">
        <v>1096</v>
      </c>
      <c r="B228" s="7" t="s">
        <v>568</v>
      </c>
      <c r="C228" s="2" t="s">
        <v>1097</v>
      </c>
      <c r="D228">
        <f>VLOOKUP(B228,'Model allocations'!$A$1:$L$317,4,FALSE)</f>
        <v>6834.6223240347581</v>
      </c>
      <c r="E228" s="31">
        <f>VLOOKUP(B228,'Initial adjusted formula count'!$A$1:$P$317,12,FALSE)</f>
        <v>0.19028340080971701</v>
      </c>
      <c r="F228">
        <f>VLOOKUP(B228,'Model allocations'!$A$1:$L$317,9,FALSE)</f>
        <v>10997.696142261901</v>
      </c>
      <c r="G228" s="30">
        <f t="shared" si="64"/>
        <v>0.9</v>
      </c>
      <c r="H228">
        <f t="shared" si="65"/>
        <v>6151.1600916312827</v>
      </c>
      <c r="I228">
        <f t="shared" si="57"/>
        <v>0</v>
      </c>
      <c r="J228">
        <f t="shared" si="58"/>
        <v>10997.696142261901</v>
      </c>
      <c r="K228">
        <f t="shared" si="59"/>
        <v>10988.456051948915</v>
      </c>
      <c r="L228">
        <f t="shared" si="66"/>
        <v>10988.456051948915</v>
      </c>
      <c r="M228">
        <f t="shared" si="60"/>
        <v>0</v>
      </c>
      <c r="N228" s="29">
        <f t="shared" si="67"/>
        <v>10988.456051948915</v>
      </c>
      <c r="O228" s="29">
        <f t="shared" si="61"/>
        <v>10985.699384052012</v>
      </c>
      <c r="P228" s="29">
        <f t="shared" si="68"/>
        <v>10985.699384052012</v>
      </c>
      <c r="Q228">
        <f t="shared" si="69"/>
        <v>0</v>
      </c>
      <c r="R228" s="29">
        <f t="shared" si="70"/>
        <v>10985.699384052012</v>
      </c>
      <c r="S228" s="29">
        <f t="shared" si="62"/>
        <v>10985.69938405201</v>
      </c>
      <c r="T228" s="29">
        <f t="shared" si="71"/>
        <v>10985.69938405201</v>
      </c>
      <c r="U228">
        <f t="shared" si="72"/>
        <v>0</v>
      </c>
      <c r="V228" s="29">
        <f t="shared" si="73"/>
        <v>10985.69938405201</v>
      </c>
      <c r="W228" s="29">
        <f t="shared" si="63"/>
        <v>10985.69938405201</v>
      </c>
      <c r="X228" s="29">
        <f t="shared" si="74"/>
        <v>10985.69938405201</v>
      </c>
      <c r="Y228">
        <f t="shared" si="75"/>
        <v>0</v>
      </c>
    </row>
    <row r="229" spans="1:25" x14ac:dyDescent="0.25">
      <c r="A229" s="4" t="s">
        <v>1098</v>
      </c>
      <c r="B229" s="7" t="s">
        <v>570</v>
      </c>
      <c r="C229" s="2" t="s">
        <v>1099</v>
      </c>
      <c r="D229">
        <f>VLOOKUP(B229,'Model allocations'!$A$1:$L$317,4,FALSE)</f>
        <v>61612.428665154868</v>
      </c>
      <c r="E229" s="31">
        <f>VLOOKUP(B229,'Initial adjusted formula count'!$A$1:$P$317,12,FALSE)</f>
        <v>0.14450516089860399</v>
      </c>
      <c r="F229">
        <f>VLOOKUP(B229,'Model allocations'!$A$1:$L$317,9,FALSE)</f>
        <v>52370.564365381637</v>
      </c>
      <c r="G229" s="30">
        <f t="shared" si="64"/>
        <v>0.85</v>
      </c>
      <c r="H229">
        <f t="shared" si="65"/>
        <v>52370.564365381637</v>
      </c>
      <c r="I229">
        <f t="shared" si="57"/>
        <v>0</v>
      </c>
      <c r="J229">
        <f t="shared" si="58"/>
        <v>52370.564365381637</v>
      </c>
      <c r="K229">
        <f t="shared" si="59"/>
        <v>52326.563445714601</v>
      </c>
      <c r="L229">
        <f t="shared" si="66"/>
        <v>52326.563445714601</v>
      </c>
      <c r="M229">
        <f t="shared" si="60"/>
        <v>52370.564365381637</v>
      </c>
      <c r="N229" s="29">
        <f t="shared" si="67"/>
        <v>0</v>
      </c>
      <c r="O229" s="29">
        <f t="shared" si="61"/>
        <v>0</v>
      </c>
      <c r="P229" s="29">
        <f t="shared" si="68"/>
        <v>52370.564365381637</v>
      </c>
      <c r="Q229">
        <f t="shared" si="69"/>
        <v>0</v>
      </c>
      <c r="R229" s="29">
        <f t="shared" si="70"/>
        <v>0</v>
      </c>
      <c r="S229" s="29">
        <f t="shared" si="62"/>
        <v>0</v>
      </c>
      <c r="T229" s="29">
        <f t="shared" si="71"/>
        <v>52370.564365381637</v>
      </c>
      <c r="U229">
        <f t="shared" si="72"/>
        <v>0</v>
      </c>
      <c r="V229" s="29">
        <f t="shared" si="73"/>
        <v>0</v>
      </c>
      <c r="W229" s="29">
        <f t="shared" si="63"/>
        <v>0</v>
      </c>
      <c r="X229" s="29">
        <f t="shared" si="74"/>
        <v>52370.564365381637</v>
      </c>
      <c r="Y229">
        <f t="shared" si="75"/>
        <v>0</v>
      </c>
    </row>
    <row r="230" spans="1:25" x14ac:dyDescent="0.25">
      <c r="A230" s="4" t="s">
        <v>1100</v>
      </c>
      <c r="B230" s="7" t="s">
        <v>207</v>
      </c>
      <c r="C230" s="2" t="s">
        <v>1101</v>
      </c>
      <c r="D230">
        <f>VLOOKUP(B230,'Model allocations'!$A$1:$L$317,4,FALSE)</f>
        <v>0</v>
      </c>
      <c r="E230" s="31">
        <f>VLOOKUP(B230,'Initial adjusted formula count'!$A$1:$P$317,12,FALSE)</f>
        <v>9.8850574712643705E-2</v>
      </c>
      <c r="F230">
        <f>VLOOKUP(B230,'Model allocations'!$A$1:$L$317,9,FALSE)</f>
        <v>0</v>
      </c>
      <c r="G230" s="30">
        <f t="shared" si="64"/>
        <v>0.85</v>
      </c>
      <c r="H230">
        <f t="shared" si="65"/>
        <v>0</v>
      </c>
      <c r="I230">
        <f t="shared" si="57"/>
        <v>0</v>
      </c>
      <c r="J230">
        <f t="shared" si="58"/>
        <v>0</v>
      </c>
      <c r="K230">
        <f t="shared" si="59"/>
        <v>0</v>
      </c>
      <c r="L230">
        <f t="shared" si="66"/>
        <v>0</v>
      </c>
      <c r="M230">
        <f t="shared" si="60"/>
        <v>0</v>
      </c>
      <c r="N230" s="29">
        <f t="shared" si="67"/>
        <v>0</v>
      </c>
      <c r="O230" s="29">
        <f t="shared" si="61"/>
        <v>0</v>
      </c>
      <c r="P230" s="29">
        <f t="shared" si="68"/>
        <v>0</v>
      </c>
      <c r="Q230">
        <f t="shared" si="69"/>
        <v>0</v>
      </c>
      <c r="R230" s="29">
        <f t="shared" si="70"/>
        <v>0</v>
      </c>
      <c r="S230" s="29">
        <f t="shared" si="62"/>
        <v>0</v>
      </c>
      <c r="T230" s="29">
        <f t="shared" si="71"/>
        <v>0</v>
      </c>
      <c r="U230">
        <f t="shared" si="72"/>
        <v>0</v>
      </c>
      <c r="V230" s="29">
        <f t="shared" si="73"/>
        <v>0</v>
      </c>
      <c r="W230" s="29">
        <f t="shared" si="63"/>
        <v>0</v>
      </c>
      <c r="X230" s="29">
        <f t="shared" si="74"/>
        <v>0</v>
      </c>
      <c r="Y230">
        <f t="shared" si="75"/>
        <v>0</v>
      </c>
    </row>
    <row r="231" spans="1:25" x14ac:dyDescent="0.25">
      <c r="A231" s="4" t="s">
        <v>1102</v>
      </c>
      <c r="B231" s="7" t="s">
        <v>572</v>
      </c>
      <c r="C231" s="2" t="s">
        <v>1103</v>
      </c>
      <c r="D231">
        <f>VLOOKUP(B231,'Model allocations'!$A$1:$L$317,4,FALSE)</f>
        <v>4189.6446444547455</v>
      </c>
      <c r="E231" s="31">
        <f>VLOOKUP(B231,'Initial adjusted formula count'!$A$1:$P$317,12,FALSE)</f>
        <v>0.13636363636363599</v>
      </c>
      <c r="F231">
        <f>VLOOKUP(B231,'Model allocations'!$A$1:$L$317,9,FALSE)</f>
        <v>3561.1979477865334</v>
      </c>
      <c r="G231" s="30">
        <f t="shared" si="64"/>
        <v>0.85</v>
      </c>
      <c r="H231">
        <f t="shared" si="65"/>
        <v>3561.1979477865334</v>
      </c>
      <c r="I231">
        <f t="shared" si="57"/>
        <v>0</v>
      </c>
      <c r="J231">
        <f t="shared" si="58"/>
        <v>3561.1979477865334</v>
      </c>
      <c r="K231">
        <f t="shared" si="59"/>
        <v>3558.2058856096637</v>
      </c>
      <c r="L231">
        <f t="shared" si="66"/>
        <v>3558.2058856096637</v>
      </c>
      <c r="M231">
        <f t="shared" si="60"/>
        <v>3561.1979477865334</v>
      </c>
      <c r="N231" s="29">
        <f t="shared" si="67"/>
        <v>0</v>
      </c>
      <c r="O231" s="29">
        <f t="shared" si="61"/>
        <v>0</v>
      </c>
      <c r="P231" s="29">
        <f t="shared" si="68"/>
        <v>3561.1979477865334</v>
      </c>
      <c r="Q231">
        <f t="shared" si="69"/>
        <v>0</v>
      </c>
      <c r="R231" s="29">
        <f t="shared" si="70"/>
        <v>0</v>
      </c>
      <c r="S231" s="29">
        <f t="shared" si="62"/>
        <v>0</v>
      </c>
      <c r="T231" s="29">
        <f t="shared" si="71"/>
        <v>3561.1979477865334</v>
      </c>
      <c r="U231">
        <f t="shared" si="72"/>
        <v>0</v>
      </c>
      <c r="V231" s="29">
        <f t="shared" si="73"/>
        <v>0</v>
      </c>
      <c r="W231" s="29">
        <f t="shared" si="63"/>
        <v>0</v>
      </c>
      <c r="X231" s="29">
        <f t="shared" si="74"/>
        <v>3561.1979477865334</v>
      </c>
      <c r="Y231">
        <f t="shared" si="75"/>
        <v>0</v>
      </c>
    </row>
    <row r="232" spans="1:25" x14ac:dyDescent="0.25">
      <c r="A232" s="8" t="s">
        <v>50</v>
      </c>
      <c r="B232" s="7" t="s">
        <v>82</v>
      </c>
      <c r="C232" s="2" t="s">
        <v>1104</v>
      </c>
      <c r="D232">
        <f>VLOOKUP(B232,'Model allocations'!$A$1:$L$317,4,FALSE)</f>
        <v>0</v>
      </c>
      <c r="E232" s="31">
        <f>VLOOKUP(B232,'Initial adjusted formula count'!$A$1:$P$317,12,FALSE)</f>
        <v>0.13887299293747199</v>
      </c>
      <c r="F232">
        <f>VLOOKUP(B232,'Model allocations'!$A$1:$L$317,9,FALSE)</f>
        <v>0</v>
      </c>
      <c r="G232" s="30">
        <f t="shared" si="64"/>
        <v>0.85</v>
      </c>
      <c r="H232">
        <f t="shared" si="65"/>
        <v>0</v>
      </c>
      <c r="I232">
        <f t="shared" si="57"/>
        <v>0</v>
      </c>
      <c r="J232">
        <f t="shared" si="58"/>
        <v>0</v>
      </c>
      <c r="K232">
        <f t="shared" si="59"/>
        <v>0</v>
      </c>
      <c r="L232">
        <f t="shared" si="66"/>
        <v>0</v>
      </c>
      <c r="M232">
        <f t="shared" si="60"/>
        <v>0</v>
      </c>
      <c r="N232" s="29">
        <f t="shared" si="67"/>
        <v>0</v>
      </c>
      <c r="O232" s="29">
        <f t="shared" si="61"/>
        <v>0</v>
      </c>
      <c r="P232" s="29">
        <f t="shared" si="68"/>
        <v>0</v>
      </c>
      <c r="Q232">
        <f t="shared" si="69"/>
        <v>0</v>
      </c>
      <c r="R232" s="29">
        <f t="shared" si="70"/>
        <v>0</v>
      </c>
      <c r="S232" s="29">
        <f t="shared" si="62"/>
        <v>0</v>
      </c>
      <c r="T232" s="29">
        <f t="shared" si="71"/>
        <v>0</v>
      </c>
      <c r="U232">
        <f t="shared" si="72"/>
        <v>0</v>
      </c>
      <c r="V232" s="29">
        <f t="shared" si="73"/>
        <v>0</v>
      </c>
      <c r="W232" s="29">
        <f t="shared" si="63"/>
        <v>0</v>
      </c>
      <c r="X232" s="29">
        <f t="shared" si="74"/>
        <v>0</v>
      </c>
      <c r="Y232">
        <f t="shared" si="75"/>
        <v>0</v>
      </c>
    </row>
    <row r="233" spans="1:25" x14ac:dyDescent="0.25">
      <c r="A233" s="4" t="s">
        <v>46</v>
      </c>
      <c r="B233" s="7" t="s">
        <v>81</v>
      </c>
      <c r="C233" s="2" t="s">
        <v>1105</v>
      </c>
      <c r="D233">
        <f>VLOOKUP(B233,'Model allocations'!$A$1:$L$317,4,FALSE)</f>
        <v>0</v>
      </c>
      <c r="E233" s="31">
        <f>VLOOKUP(B233,'Initial adjusted formula count'!$A$1:$P$317,12,FALSE)</f>
        <v>6.8532985430347401E-2</v>
      </c>
      <c r="F233">
        <f>VLOOKUP(B233,'Model allocations'!$A$1:$L$317,9,FALSE)</f>
        <v>0</v>
      </c>
      <c r="G233" s="30">
        <f t="shared" si="64"/>
        <v>0.85</v>
      </c>
      <c r="H233">
        <f t="shared" si="65"/>
        <v>0</v>
      </c>
      <c r="I233">
        <f t="shared" si="57"/>
        <v>0</v>
      </c>
      <c r="J233">
        <f t="shared" si="58"/>
        <v>0</v>
      </c>
      <c r="K233">
        <f t="shared" si="59"/>
        <v>0</v>
      </c>
      <c r="L233">
        <f t="shared" si="66"/>
        <v>0</v>
      </c>
      <c r="M233">
        <f t="shared" si="60"/>
        <v>0</v>
      </c>
      <c r="N233" s="29">
        <f t="shared" si="67"/>
        <v>0</v>
      </c>
      <c r="O233" s="29">
        <f t="shared" si="61"/>
        <v>0</v>
      </c>
      <c r="P233" s="29">
        <f t="shared" si="68"/>
        <v>0</v>
      </c>
      <c r="Q233">
        <f t="shared" si="69"/>
        <v>0</v>
      </c>
      <c r="R233" s="29">
        <f t="shared" si="70"/>
        <v>0</v>
      </c>
      <c r="S233" s="29">
        <f t="shared" si="62"/>
        <v>0</v>
      </c>
      <c r="T233" s="29">
        <f t="shared" si="71"/>
        <v>0</v>
      </c>
      <c r="U233">
        <f t="shared" si="72"/>
        <v>0</v>
      </c>
      <c r="V233" s="29">
        <f t="shared" si="73"/>
        <v>0</v>
      </c>
      <c r="W233" s="29">
        <f t="shared" si="63"/>
        <v>0</v>
      </c>
      <c r="X233" s="29">
        <f t="shared" si="74"/>
        <v>0</v>
      </c>
      <c r="Y233">
        <f t="shared" si="75"/>
        <v>0</v>
      </c>
    </row>
    <row r="234" spans="1:25" x14ac:dyDescent="0.25">
      <c r="A234" s="4" t="s">
        <v>24</v>
      </c>
      <c r="B234" s="7" t="s">
        <v>59</v>
      </c>
      <c r="C234" s="2" t="s">
        <v>1106</v>
      </c>
      <c r="D234">
        <f>VLOOKUP(B234,'Model allocations'!$A$1:$L$317,4,FALSE)</f>
        <v>1231452.7994660432</v>
      </c>
      <c r="E234" s="31">
        <f>VLOOKUP(B234,'Initial adjusted formula count'!$A$1:$P$317,12,FALSE)</f>
        <v>9.5002912490484606E-2</v>
      </c>
      <c r="F234">
        <f>VLOOKUP(B234,'Model allocations'!$A$1:$L$317,9,FALSE)</f>
        <v>1521391.8685470673</v>
      </c>
      <c r="G234" s="30">
        <f t="shared" si="64"/>
        <v>0.85</v>
      </c>
      <c r="H234">
        <f t="shared" si="65"/>
        <v>1046734.8795461367</v>
      </c>
      <c r="I234">
        <f t="shared" si="57"/>
        <v>0</v>
      </c>
      <c r="J234">
        <f t="shared" si="58"/>
        <v>1521391.8685470673</v>
      </c>
      <c r="K234">
        <f t="shared" si="59"/>
        <v>1520113.6191678364</v>
      </c>
      <c r="L234">
        <f t="shared" si="66"/>
        <v>1520113.6191678364</v>
      </c>
      <c r="M234">
        <f t="shared" si="60"/>
        <v>0</v>
      </c>
      <c r="N234" s="29">
        <f t="shared" si="67"/>
        <v>1520113.6191678364</v>
      </c>
      <c r="O234" s="29">
        <f t="shared" si="61"/>
        <v>1519732.2691042973</v>
      </c>
      <c r="P234" s="29">
        <f t="shared" si="68"/>
        <v>1519732.2691042973</v>
      </c>
      <c r="Q234">
        <f t="shared" si="69"/>
        <v>0</v>
      </c>
      <c r="R234" s="29">
        <f t="shared" si="70"/>
        <v>1519732.2691042973</v>
      </c>
      <c r="S234" s="29">
        <f t="shared" si="62"/>
        <v>1519732.269104297</v>
      </c>
      <c r="T234" s="29">
        <f t="shared" si="71"/>
        <v>1519732.269104297</v>
      </c>
      <c r="U234">
        <f t="shared" si="72"/>
        <v>0</v>
      </c>
      <c r="V234" s="29">
        <f t="shared" si="73"/>
        <v>1519732.269104297</v>
      </c>
      <c r="W234" s="29">
        <f t="shared" si="63"/>
        <v>1519732.269104297</v>
      </c>
      <c r="X234" s="29">
        <f t="shared" si="74"/>
        <v>1519732.269104297</v>
      </c>
      <c r="Y234">
        <f t="shared" si="75"/>
        <v>0</v>
      </c>
    </row>
    <row r="235" spans="1:25" x14ac:dyDescent="0.25">
      <c r="A235" s="4" t="s">
        <v>1107</v>
      </c>
      <c r="B235" s="7" t="s">
        <v>300</v>
      </c>
      <c r="C235" s="2" t="s">
        <v>1108</v>
      </c>
      <c r="D235">
        <f>VLOOKUP(B235,'Model allocations'!$A$1:$L$317,4,FALSE)</f>
        <v>0</v>
      </c>
      <c r="E235" s="31">
        <f>VLOOKUP(B235,'Initial adjusted formula count'!$A$1:$P$317,12,FALSE)</f>
        <v>0.112776025236593</v>
      </c>
      <c r="F235">
        <f>VLOOKUP(B235,'Model allocations'!$A$1:$L$317,9,FALSE)</f>
        <v>0</v>
      </c>
      <c r="G235" s="30">
        <f t="shared" si="64"/>
        <v>0.85</v>
      </c>
      <c r="H235">
        <f t="shared" si="65"/>
        <v>0</v>
      </c>
      <c r="I235">
        <f t="shared" si="57"/>
        <v>0</v>
      </c>
      <c r="J235">
        <f t="shared" si="58"/>
        <v>0</v>
      </c>
      <c r="K235">
        <f t="shared" si="59"/>
        <v>0</v>
      </c>
      <c r="L235">
        <f t="shared" si="66"/>
        <v>0</v>
      </c>
      <c r="M235">
        <f t="shared" si="60"/>
        <v>0</v>
      </c>
      <c r="N235" s="29">
        <f t="shared" si="67"/>
        <v>0</v>
      </c>
      <c r="O235" s="29">
        <f t="shared" si="61"/>
        <v>0</v>
      </c>
      <c r="P235" s="29">
        <f t="shared" si="68"/>
        <v>0</v>
      </c>
      <c r="Q235">
        <f t="shared" si="69"/>
        <v>0</v>
      </c>
      <c r="R235" s="29">
        <f t="shared" si="70"/>
        <v>0</v>
      </c>
      <c r="S235" s="29">
        <f t="shared" si="62"/>
        <v>0</v>
      </c>
      <c r="T235" s="29">
        <f t="shared" si="71"/>
        <v>0</v>
      </c>
      <c r="U235">
        <f t="shared" si="72"/>
        <v>0</v>
      </c>
      <c r="V235" s="29">
        <f t="shared" si="73"/>
        <v>0</v>
      </c>
      <c r="W235" s="29">
        <f t="shared" si="63"/>
        <v>0</v>
      </c>
      <c r="X235" s="29">
        <f t="shared" si="74"/>
        <v>0</v>
      </c>
      <c r="Y235">
        <f t="shared" si="75"/>
        <v>0</v>
      </c>
    </row>
    <row r="236" spans="1:25" x14ac:dyDescent="0.25">
      <c r="A236" s="4" t="s">
        <v>1109</v>
      </c>
      <c r="B236" s="7" t="s">
        <v>574</v>
      </c>
      <c r="C236" s="2" t="s">
        <v>1110</v>
      </c>
      <c r="D236">
        <f>VLOOKUP(B236,'Model allocations'!$A$1:$L$317,4,FALSE)</f>
        <v>0</v>
      </c>
      <c r="E236" s="31">
        <f>VLOOKUP(B236,'Initial adjusted formula count'!$A$1:$P$317,12,FALSE)</f>
        <v>0.121110579224509</v>
      </c>
      <c r="F236">
        <f>VLOOKUP(B236,'Model allocations'!$A$1:$L$317,9,FALSE)</f>
        <v>0</v>
      </c>
      <c r="G236" s="30">
        <f t="shared" si="64"/>
        <v>0.85</v>
      </c>
      <c r="H236">
        <f t="shared" si="65"/>
        <v>0</v>
      </c>
      <c r="I236">
        <f t="shared" si="57"/>
        <v>0</v>
      </c>
      <c r="J236">
        <f t="shared" si="58"/>
        <v>0</v>
      </c>
      <c r="K236">
        <f t="shared" si="59"/>
        <v>0</v>
      </c>
      <c r="L236">
        <f t="shared" si="66"/>
        <v>0</v>
      </c>
      <c r="M236">
        <f t="shared" si="60"/>
        <v>0</v>
      </c>
      <c r="N236" s="29">
        <f t="shared" si="67"/>
        <v>0</v>
      </c>
      <c r="O236" s="29">
        <f t="shared" si="61"/>
        <v>0</v>
      </c>
      <c r="P236" s="29">
        <f t="shared" si="68"/>
        <v>0</v>
      </c>
      <c r="Q236">
        <f t="shared" si="69"/>
        <v>0</v>
      </c>
      <c r="R236" s="29">
        <f t="shared" si="70"/>
        <v>0</v>
      </c>
      <c r="S236" s="29">
        <f t="shared" si="62"/>
        <v>0</v>
      </c>
      <c r="T236" s="29">
        <f t="shared" si="71"/>
        <v>0</v>
      </c>
      <c r="U236">
        <f t="shared" si="72"/>
        <v>0</v>
      </c>
      <c r="V236" s="29">
        <f t="shared" si="73"/>
        <v>0</v>
      </c>
      <c r="W236" s="29">
        <f t="shared" si="63"/>
        <v>0</v>
      </c>
      <c r="X236" s="29">
        <f t="shared" si="74"/>
        <v>0</v>
      </c>
      <c r="Y236">
        <f t="shared" si="75"/>
        <v>0</v>
      </c>
    </row>
    <row r="237" spans="1:25" x14ac:dyDescent="0.25">
      <c r="A237" s="4" t="s">
        <v>1111</v>
      </c>
      <c r="B237" s="7" t="s">
        <v>576</v>
      </c>
      <c r="C237" s="2" t="s">
        <v>1112</v>
      </c>
      <c r="D237">
        <f>VLOOKUP(B237,'Model allocations'!$A$1:$L$317,4,FALSE)</f>
        <v>19495.184020815301</v>
      </c>
      <c r="E237" s="31">
        <f>VLOOKUP(B237,'Initial adjusted formula count'!$A$1:$P$317,12,FALSE)</f>
        <v>0.25937500000000002</v>
      </c>
      <c r="F237">
        <f>VLOOKUP(B237,'Model allocations'!$A$1:$L$317,9,FALSE)</f>
        <v>19421.463400164626</v>
      </c>
      <c r="G237" s="30">
        <f t="shared" si="64"/>
        <v>0.9</v>
      </c>
      <c r="H237">
        <f t="shared" si="65"/>
        <v>17545.665618733772</v>
      </c>
      <c r="I237">
        <f t="shared" si="57"/>
        <v>0</v>
      </c>
      <c r="J237">
        <f t="shared" si="58"/>
        <v>19421.463400164626</v>
      </c>
      <c r="K237">
        <f t="shared" si="59"/>
        <v>19405.145793867228</v>
      </c>
      <c r="L237">
        <f t="shared" si="66"/>
        <v>19405.145793867228</v>
      </c>
      <c r="M237">
        <f t="shared" si="60"/>
        <v>0</v>
      </c>
      <c r="N237" s="29">
        <f t="shared" si="67"/>
        <v>19405.145793867228</v>
      </c>
      <c r="O237" s="29">
        <f t="shared" si="61"/>
        <v>19400.277635666313</v>
      </c>
      <c r="P237" s="29">
        <f t="shared" si="68"/>
        <v>19400.277635666313</v>
      </c>
      <c r="Q237">
        <f t="shared" si="69"/>
        <v>0</v>
      </c>
      <c r="R237" s="29">
        <f t="shared" si="70"/>
        <v>19400.277635666313</v>
      </c>
      <c r="S237" s="29">
        <f t="shared" si="62"/>
        <v>19400.277635666309</v>
      </c>
      <c r="T237" s="29">
        <f t="shared" si="71"/>
        <v>19400.277635666309</v>
      </c>
      <c r="U237">
        <f t="shared" si="72"/>
        <v>0</v>
      </c>
      <c r="V237" s="29">
        <f t="shared" si="73"/>
        <v>19400.277635666309</v>
      </c>
      <c r="W237" s="29">
        <f t="shared" si="63"/>
        <v>19400.277635666309</v>
      </c>
      <c r="X237" s="29">
        <f t="shared" si="74"/>
        <v>19400.277635666309</v>
      </c>
      <c r="Y237">
        <f t="shared" si="75"/>
        <v>0</v>
      </c>
    </row>
    <row r="238" spans="1:25" x14ac:dyDescent="0.25">
      <c r="A238" s="4" t="s">
        <v>1113</v>
      </c>
      <c r="B238" s="7" t="s">
        <v>578</v>
      </c>
      <c r="C238" s="2" t="s">
        <v>1114</v>
      </c>
      <c r="D238">
        <f>VLOOKUP(B238,'Model allocations'!$A$1:$L$317,4,FALSE)</f>
        <v>89749.382623509067</v>
      </c>
      <c r="E238" s="31">
        <f>VLOOKUP(B238,'Initial adjusted formula count'!$A$1:$P$317,12,FALSE)</f>
        <v>0.14715291106845799</v>
      </c>
      <c r="F238">
        <f>VLOOKUP(B238,'Model allocations'!$A$1:$L$317,9,FALSE)</f>
        <v>76286.975229982709</v>
      </c>
      <c r="G238" s="30">
        <f t="shared" si="64"/>
        <v>0.85</v>
      </c>
      <c r="H238">
        <f t="shared" si="65"/>
        <v>76286.975229982709</v>
      </c>
      <c r="I238">
        <f t="shared" si="57"/>
        <v>0</v>
      </c>
      <c r="J238">
        <f t="shared" si="58"/>
        <v>76286.975229982709</v>
      </c>
      <c r="K238">
        <f t="shared" si="59"/>
        <v>76222.88012026962</v>
      </c>
      <c r="L238">
        <f t="shared" si="66"/>
        <v>76222.88012026962</v>
      </c>
      <c r="M238">
        <f t="shared" si="60"/>
        <v>76286.975229982709</v>
      </c>
      <c r="N238" s="29">
        <f t="shared" si="67"/>
        <v>0</v>
      </c>
      <c r="O238" s="29">
        <f t="shared" si="61"/>
        <v>0</v>
      </c>
      <c r="P238" s="29">
        <f t="shared" si="68"/>
        <v>76286.975229982709</v>
      </c>
      <c r="Q238">
        <f t="shared" si="69"/>
        <v>0</v>
      </c>
      <c r="R238" s="29">
        <f t="shared" si="70"/>
        <v>0</v>
      </c>
      <c r="S238" s="29">
        <f t="shared" si="62"/>
        <v>0</v>
      </c>
      <c r="T238" s="29">
        <f t="shared" si="71"/>
        <v>76286.975229982709</v>
      </c>
      <c r="U238">
        <f t="shared" si="72"/>
        <v>0</v>
      </c>
      <c r="V238" s="29">
        <f t="shared" si="73"/>
        <v>0</v>
      </c>
      <c r="W238" s="29">
        <f t="shared" si="63"/>
        <v>0</v>
      </c>
      <c r="X238" s="29">
        <f t="shared" si="74"/>
        <v>76286.975229982709</v>
      </c>
      <c r="Y238">
        <f t="shared" si="75"/>
        <v>0</v>
      </c>
    </row>
    <row r="239" spans="1:25" x14ac:dyDescent="0.25">
      <c r="A239" s="4" t="s">
        <v>1115</v>
      </c>
      <c r="B239" s="7" t="s">
        <v>209</v>
      </c>
      <c r="C239" s="2" t="s">
        <v>1116</v>
      </c>
      <c r="D239">
        <f>VLOOKUP(B239,'Model allocations'!$A$1:$L$317,4,FALSE)</f>
        <v>0</v>
      </c>
      <c r="E239" s="31">
        <f>VLOOKUP(B239,'Initial adjusted formula count'!$A$1:$P$317,12,FALSE)</f>
        <v>0.18181818181818199</v>
      </c>
      <c r="F239">
        <f>VLOOKUP(B239,'Model allocations'!$A$1:$L$317,9,FALSE)</f>
        <v>0</v>
      </c>
      <c r="G239" s="30">
        <f t="shared" si="64"/>
        <v>0.9</v>
      </c>
      <c r="H239">
        <f t="shared" si="65"/>
        <v>0</v>
      </c>
      <c r="I239">
        <f t="shared" si="57"/>
        <v>0</v>
      </c>
      <c r="J239">
        <f t="shared" si="58"/>
        <v>0</v>
      </c>
      <c r="K239">
        <f t="shared" si="59"/>
        <v>0</v>
      </c>
      <c r="L239">
        <f t="shared" si="66"/>
        <v>0</v>
      </c>
      <c r="M239">
        <f t="shared" si="60"/>
        <v>0</v>
      </c>
      <c r="N239" s="29">
        <f t="shared" si="67"/>
        <v>0</v>
      </c>
      <c r="O239" s="29">
        <f t="shared" si="61"/>
        <v>0</v>
      </c>
      <c r="P239" s="29">
        <f t="shared" si="68"/>
        <v>0</v>
      </c>
      <c r="Q239">
        <f t="shared" si="69"/>
        <v>0</v>
      </c>
      <c r="R239" s="29">
        <f t="shared" si="70"/>
        <v>0</v>
      </c>
      <c r="S239" s="29">
        <f t="shared" si="62"/>
        <v>0</v>
      </c>
      <c r="T239" s="29">
        <f t="shared" si="71"/>
        <v>0</v>
      </c>
      <c r="U239">
        <f t="shared" si="72"/>
        <v>0</v>
      </c>
      <c r="V239" s="29">
        <f t="shared" si="73"/>
        <v>0</v>
      </c>
      <c r="W239" s="29">
        <f t="shared" si="63"/>
        <v>0</v>
      </c>
      <c r="X239" s="29">
        <f t="shared" si="74"/>
        <v>0</v>
      </c>
      <c r="Y239">
        <f t="shared" si="75"/>
        <v>0</v>
      </c>
    </row>
    <row r="240" spans="1:25" x14ac:dyDescent="0.25">
      <c r="A240" s="4" t="s">
        <v>1117</v>
      </c>
      <c r="B240" s="7" t="s">
        <v>580</v>
      </c>
      <c r="C240" s="2" t="s">
        <v>1118</v>
      </c>
      <c r="D240">
        <f>VLOOKUP(B240,'Model allocations'!$A$1:$L$317,4,FALSE)</f>
        <v>161053.07640045992</v>
      </c>
      <c r="E240" s="31">
        <f>VLOOKUP(B240,'Initial adjusted formula count'!$A$1:$P$317,12,FALSE)</f>
        <v>0.18101386896221899</v>
      </c>
      <c r="F240">
        <f>VLOOKUP(B240,'Model allocations'!$A$1:$L$317,9,FALSE)</f>
        <v>177133.10595089913</v>
      </c>
      <c r="G240" s="30">
        <f t="shared" si="64"/>
        <v>0.9</v>
      </c>
      <c r="H240">
        <f t="shared" si="65"/>
        <v>144947.76876041392</v>
      </c>
      <c r="I240">
        <f t="shared" si="57"/>
        <v>0</v>
      </c>
      <c r="J240">
        <f t="shared" si="58"/>
        <v>177133.10595089913</v>
      </c>
      <c r="K240">
        <f t="shared" si="59"/>
        <v>176984.28151756019</v>
      </c>
      <c r="L240">
        <f t="shared" si="66"/>
        <v>176984.28151756019</v>
      </c>
      <c r="M240">
        <f t="shared" si="60"/>
        <v>0</v>
      </c>
      <c r="N240" s="29">
        <f t="shared" si="67"/>
        <v>176984.28151756019</v>
      </c>
      <c r="O240" s="29">
        <f t="shared" si="61"/>
        <v>176939.88156866751</v>
      </c>
      <c r="P240" s="29">
        <f t="shared" si="68"/>
        <v>176939.88156866751</v>
      </c>
      <c r="Q240">
        <f t="shared" si="69"/>
        <v>0</v>
      </c>
      <c r="R240" s="29">
        <f t="shared" si="70"/>
        <v>176939.88156866751</v>
      </c>
      <c r="S240" s="29">
        <f t="shared" si="62"/>
        <v>176939.88156866748</v>
      </c>
      <c r="T240" s="29">
        <f t="shared" si="71"/>
        <v>176939.88156866748</v>
      </c>
      <c r="U240">
        <f t="shared" si="72"/>
        <v>0</v>
      </c>
      <c r="V240" s="29">
        <f t="shared" si="73"/>
        <v>176939.88156866748</v>
      </c>
      <c r="W240" s="29">
        <f t="shared" si="63"/>
        <v>176939.88156866748</v>
      </c>
      <c r="X240" s="29">
        <f t="shared" si="74"/>
        <v>176939.88156866748</v>
      </c>
      <c r="Y240">
        <f t="shared" si="75"/>
        <v>0</v>
      </c>
    </row>
    <row r="241" spans="1:25" x14ac:dyDescent="0.25">
      <c r="A241" s="4" t="s">
        <v>1119</v>
      </c>
      <c r="B241" s="7" t="s">
        <v>211</v>
      </c>
      <c r="C241" s="2" t="s">
        <v>1120</v>
      </c>
      <c r="D241">
        <f>VLOOKUP(B241,'Model allocations'!$A$1:$L$317,4,FALSE)</f>
        <v>0</v>
      </c>
      <c r="E241" s="31">
        <f>VLOOKUP(B241,'Initial adjusted formula count'!$A$1:$P$317,12,FALSE)</f>
        <v>6.5039081347100305E-2</v>
      </c>
      <c r="F241">
        <f>VLOOKUP(B241,'Model allocations'!$A$1:$L$317,9,FALSE)</f>
        <v>0</v>
      </c>
      <c r="G241" s="30">
        <f t="shared" si="64"/>
        <v>0.85</v>
      </c>
      <c r="H241">
        <f t="shared" si="65"/>
        <v>0</v>
      </c>
      <c r="I241">
        <f t="shared" si="57"/>
        <v>0</v>
      </c>
      <c r="J241">
        <f t="shared" si="58"/>
        <v>0</v>
      </c>
      <c r="K241">
        <f t="shared" si="59"/>
        <v>0</v>
      </c>
      <c r="L241">
        <f t="shared" si="66"/>
        <v>0</v>
      </c>
      <c r="M241">
        <f t="shared" si="60"/>
        <v>0</v>
      </c>
      <c r="N241" s="29">
        <f t="shared" si="67"/>
        <v>0</v>
      </c>
      <c r="O241" s="29">
        <f t="shared" si="61"/>
        <v>0</v>
      </c>
      <c r="P241" s="29">
        <f t="shared" si="68"/>
        <v>0</v>
      </c>
      <c r="Q241">
        <f t="shared" si="69"/>
        <v>0</v>
      </c>
      <c r="R241" s="29">
        <f t="shared" si="70"/>
        <v>0</v>
      </c>
      <c r="S241" s="29">
        <f t="shared" si="62"/>
        <v>0</v>
      </c>
      <c r="T241" s="29">
        <f t="shared" si="71"/>
        <v>0</v>
      </c>
      <c r="U241">
        <f t="shared" si="72"/>
        <v>0</v>
      </c>
      <c r="V241" s="29">
        <f t="shared" si="73"/>
        <v>0</v>
      </c>
      <c r="W241" s="29">
        <f t="shared" si="63"/>
        <v>0</v>
      </c>
      <c r="X241" s="29">
        <f t="shared" si="74"/>
        <v>0</v>
      </c>
      <c r="Y241">
        <f t="shared" si="75"/>
        <v>0</v>
      </c>
    </row>
    <row r="242" spans="1:25" x14ac:dyDescent="0.25">
      <c r="A242" s="4" t="s">
        <v>1121</v>
      </c>
      <c r="B242" s="7" t="s">
        <v>302</v>
      </c>
      <c r="C242" s="2" t="s">
        <v>1122</v>
      </c>
      <c r="D242">
        <f>VLOOKUP(B242,'Model allocations'!$A$1:$L$317,4,FALSE)</f>
        <v>0</v>
      </c>
      <c r="E242" s="31">
        <f>VLOOKUP(B242,'Initial adjusted formula count'!$A$1:$P$317,12,FALSE)</f>
        <v>0.126984126984127</v>
      </c>
      <c r="F242">
        <f>VLOOKUP(B242,'Model allocations'!$A$1:$L$317,9,FALSE)</f>
        <v>0</v>
      </c>
      <c r="G242" s="30">
        <f t="shared" si="64"/>
        <v>0.85</v>
      </c>
      <c r="H242">
        <f t="shared" si="65"/>
        <v>0</v>
      </c>
      <c r="I242">
        <f t="shared" si="57"/>
        <v>0</v>
      </c>
      <c r="J242">
        <f t="shared" si="58"/>
        <v>0</v>
      </c>
      <c r="K242">
        <f t="shared" si="59"/>
        <v>0</v>
      </c>
      <c r="L242">
        <f t="shared" si="66"/>
        <v>0</v>
      </c>
      <c r="M242">
        <f t="shared" si="60"/>
        <v>0</v>
      </c>
      <c r="N242" s="29">
        <f t="shared" si="67"/>
        <v>0</v>
      </c>
      <c r="O242" s="29">
        <f t="shared" si="61"/>
        <v>0</v>
      </c>
      <c r="P242" s="29">
        <f t="shared" si="68"/>
        <v>0</v>
      </c>
      <c r="Q242">
        <f t="shared" si="69"/>
        <v>0</v>
      </c>
      <c r="R242" s="29">
        <f t="shared" si="70"/>
        <v>0</v>
      </c>
      <c r="S242" s="29">
        <f t="shared" si="62"/>
        <v>0</v>
      </c>
      <c r="T242" s="29">
        <f t="shared" si="71"/>
        <v>0</v>
      </c>
      <c r="U242">
        <f t="shared" si="72"/>
        <v>0</v>
      </c>
      <c r="V242" s="29">
        <f t="shared" si="73"/>
        <v>0</v>
      </c>
      <c r="W242" s="29">
        <f t="shared" si="63"/>
        <v>0</v>
      </c>
      <c r="X242" s="29">
        <f t="shared" si="74"/>
        <v>0</v>
      </c>
      <c r="Y242">
        <f t="shared" si="75"/>
        <v>0</v>
      </c>
    </row>
    <row r="243" spans="1:25" x14ac:dyDescent="0.25">
      <c r="A243" s="4" t="s">
        <v>1123</v>
      </c>
      <c r="B243" s="7" t="s">
        <v>213</v>
      </c>
      <c r="C243" s="2" t="s">
        <v>1124</v>
      </c>
      <c r="D243">
        <f>VLOOKUP(B243,'Model allocations'!$A$1:$L$317,4,FALSE)</f>
        <v>0</v>
      </c>
      <c r="E243" s="31">
        <f>VLOOKUP(B243,'Initial adjusted formula count'!$A$1:$P$317,12,FALSE)</f>
        <v>7.3529411764705899E-2</v>
      </c>
      <c r="F243">
        <f>VLOOKUP(B243,'Model allocations'!$A$1:$L$317,9,FALSE)</f>
        <v>0</v>
      </c>
      <c r="G243" s="30">
        <f t="shared" si="64"/>
        <v>0.85</v>
      </c>
      <c r="H243">
        <f t="shared" si="65"/>
        <v>0</v>
      </c>
      <c r="I243">
        <f t="shared" si="57"/>
        <v>0</v>
      </c>
      <c r="J243">
        <f t="shared" si="58"/>
        <v>0</v>
      </c>
      <c r="K243">
        <f t="shared" si="59"/>
        <v>0</v>
      </c>
      <c r="L243">
        <f t="shared" si="66"/>
        <v>0</v>
      </c>
      <c r="M243">
        <f t="shared" si="60"/>
        <v>0</v>
      </c>
      <c r="N243" s="29">
        <f t="shared" si="67"/>
        <v>0</v>
      </c>
      <c r="O243" s="29">
        <f t="shared" si="61"/>
        <v>0</v>
      </c>
      <c r="P243" s="29">
        <f t="shared" si="68"/>
        <v>0</v>
      </c>
      <c r="Q243">
        <f t="shared" si="69"/>
        <v>0</v>
      </c>
      <c r="R243" s="29">
        <f t="shared" si="70"/>
        <v>0</v>
      </c>
      <c r="S243" s="29">
        <f t="shared" si="62"/>
        <v>0</v>
      </c>
      <c r="T243" s="29">
        <f t="shared" si="71"/>
        <v>0</v>
      </c>
      <c r="U243">
        <f t="shared" si="72"/>
        <v>0</v>
      </c>
      <c r="V243" s="29">
        <f t="shared" si="73"/>
        <v>0</v>
      </c>
      <c r="W243" s="29">
        <f t="shared" si="63"/>
        <v>0</v>
      </c>
      <c r="X243" s="29">
        <f t="shared" si="74"/>
        <v>0</v>
      </c>
      <c r="Y243">
        <f t="shared" si="75"/>
        <v>0</v>
      </c>
    </row>
    <row r="244" spans="1:25" x14ac:dyDescent="0.25">
      <c r="A244" s="4" t="s">
        <v>1125</v>
      </c>
      <c r="B244" s="7" t="s">
        <v>215</v>
      </c>
      <c r="C244" s="2" t="s">
        <v>1126</v>
      </c>
      <c r="D244">
        <f>VLOOKUP(B244,'Model allocations'!$A$1:$L$317,4,FALSE)</f>
        <v>0</v>
      </c>
      <c r="E244" s="31">
        <f>VLOOKUP(B244,'Initial adjusted formula count'!$A$1:$P$317,12,FALSE)</f>
        <v>5.33778148457048E-2</v>
      </c>
      <c r="F244">
        <f>VLOOKUP(B244,'Model allocations'!$A$1:$L$317,9,FALSE)</f>
        <v>0</v>
      </c>
      <c r="G244" s="30">
        <f t="shared" si="64"/>
        <v>0.85</v>
      </c>
      <c r="H244">
        <f t="shared" si="65"/>
        <v>0</v>
      </c>
      <c r="I244">
        <f t="shared" si="57"/>
        <v>0</v>
      </c>
      <c r="J244">
        <f t="shared" si="58"/>
        <v>0</v>
      </c>
      <c r="K244">
        <f t="shared" si="59"/>
        <v>0</v>
      </c>
      <c r="L244">
        <f t="shared" si="66"/>
        <v>0</v>
      </c>
      <c r="M244">
        <f t="shared" si="60"/>
        <v>0</v>
      </c>
      <c r="N244" s="29">
        <f t="shared" si="67"/>
        <v>0</v>
      </c>
      <c r="O244" s="29">
        <f t="shared" si="61"/>
        <v>0</v>
      </c>
      <c r="P244" s="29">
        <f t="shared" si="68"/>
        <v>0</v>
      </c>
      <c r="Q244">
        <f t="shared" si="69"/>
        <v>0</v>
      </c>
      <c r="R244" s="29">
        <f t="shared" si="70"/>
        <v>0</v>
      </c>
      <c r="S244" s="29">
        <f t="shared" si="62"/>
        <v>0</v>
      </c>
      <c r="T244" s="29">
        <f t="shared" si="71"/>
        <v>0</v>
      </c>
      <c r="U244">
        <f t="shared" si="72"/>
        <v>0</v>
      </c>
      <c r="V244" s="29">
        <f t="shared" si="73"/>
        <v>0</v>
      </c>
      <c r="W244" s="29">
        <f t="shared" si="63"/>
        <v>0</v>
      </c>
      <c r="X244" s="29">
        <f t="shared" si="74"/>
        <v>0</v>
      </c>
      <c r="Y244">
        <f t="shared" si="75"/>
        <v>0</v>
      </c>
    </row>
    <row r="245" spans="1:25" x14ac:dyDescent="0.25">
      <c r="A245" s="8" t="s">
        <v>1127</v>
      </c>
      <c r="B245" s="7" t="s">
        <v>217</v>
      </c>
      <c r="C245" s="2" t="s">
        <v>1128</v>
      </c>
      <c r="D245">
        <f>VLOOKUP(B245,'Model allocations'!$A$1:$L$317,4,FALSE)</f>
        <v>0</v>
      </c>
      <c r="E245" s="31">
        <f>VLOOKUP(B245,'Initial adjusted formula count'!$A$1:$P$317,12,FALSE)</f>
        <v>3.1929960087549898E-2</v>
      </c>
      <c r="F245">
        <f>VLOOKUP(B245,'Model allocations'!$A$1:$L$317,9,FALSE)</f>
        <v>0</v>
      </c>
      <c r="G245" s="30">
        <f t="shared" si="64"/>
        <v>0.85</v>
      </c>
      <c r="H245">
        <f t="shared" si="65"/>
        <v>0</v>
      </c>
      <c r="I245">
        <f t="shared" si="57"/>
        <v>0</v>
      </c>
      <c r="J245">
        <f t="shared" si="58"/>
        <v>0</v>
      </c>
      <c r="K245">
        <f t="shared" si="59"/>
        <v>0</v>
      </c>
      <c r="L245">
        <f t="shared" si="66"/>
        <v>0</v>
      </c>
      <c r="M245">
        <f t="shared" si="60"/>
        <v>0</v>
      </c>
      <c r="N245" s="29">
        <f t="shared" si="67"/>
        <v>0</v>
      </c>
      <c r="O245" s="29">
        <f t="shared" si="61"/>
        <v>0</v>
      </c>
      <c r="P245" s="29">
        <f t="shared" si="68"/>
        <v>0</v>
      </c>
      <c r="Q245">
        <f t="shared" si="69"/>
        <v>0</v>
      </c>
      <c r="R245" s="29">
        <f t="shared" si="70"/>
        <v>0</v>
      </c>
      <c r="S245" s="29">
        <f t="shared" si="62"/>
        <v>0</v>
      </c>
      <c r="T245" s="29">
        <f t="shared" si="71"/>
        <v>0</v>
      </c>
      <c r="U245">
        <f t="shared" si="72"/>
        <v>0</v>
      </c>
      <c r="V245" s="29">
        <f t="shared" si="73"/>
        <v>0</v>
      </c>
      <c r="W245" s="29">
        <f t="shared" si="63"/>
        <v>0</v>
      </c>
      <c r="X245" s="29">
        <f t="shared" si="74"/>
        <v>0</v>
      </c>
      <c r="Y245">
        <f t="shared" si="75"/>
        <v>0</v>
      </c>
    </row>
    <row r="246" spans="1:25" x14ac:dyDescent="0.25">
      <c r="A246" s="4" t="s">
        <v>1129</v>
      </c>
      <c r="B246" s="7" t="s">
        <v>582</v>
      </c>
      <c r="C246" s="2" t="s">
        <v>1130</v>
      </c>
      <c r="D246">
        <f>VLOOKUP(B246,'Model allocations'!$A$1:$L$317,4,FALSE)</f>
        <v>35363.357061013798</v>
      </c>
      <c r="E246" s="31">
        <f>VLOOKUP(B246,'Initial adjusted formula count'!$A$1:$P$317,12,FALSE)</f>
        <v>0.33606557377049201</v>
      </c>
      <c r="F246">
        <f>VLOOKUP(B246,'Model allocations'!$A$1:$L$317,9,FALSE)</f>
        <v>47968.674663057216</v>
      </c>
      <c r="G246" s="30">
        <f t="shared" si="64"/>
        <v>0.95</v>
      </c>
      <c r="H246">
        <f t="shared" si="65"/>
        <v>33595.189207963107</v>
      </c>
      <c r="I246">
        <f t="shared" si="57"/>
        <v>0</v>
      </c>
      <c r="J246">
        <f t="shared" si="58"/>
        <v>47968.674663057216</v>
      </c>
      <c r="K246">
        <f t="shared" si="59"/>
        <v>47928.372141479304</v>
      </c>
      <c r="L246">
        <f t="shared" si="66"/>
        <v>47928.372141479304</v>
      </c>
      <c r="M246">
        <f t="shared" si="60"/>
        <v>0</v>
      </c>
      <c r="N246" s="29">
        <f t="shared" si="67"/>
        <v>47928.372141479304</v>
      </c>
      <c r="O246" s="29">
        <f t="shared" si="61"/>
        <v>47916.348377248127</v>
      </c>
      <c r="P246" s="29">
        <f t="shared" si="68"/>
        <v>47916.348377248127</v>
      </c>
      <c r="Q246">
        <f t="shared" si="69"/>
        <v>0</v>
      </c>
      <c r="R246" s="29">
        <f t="shared" si="70"/>
        <v>47916.348377248127</v>
      </c>
      <c r="S246" s="29">
        <f t="shared" si="62"/>
        <v>47916.34837724812</v>
      </c>
      <c r="T246" s="29">
        <f t="shared" si="71"/>
        <v>47916.34837724812</v>
      </c>
      <c r="U246">
        <f t="shared" si="72"/>
        <v>0</v>
      </c>
      <c r="V246" s="29">
        <f t="shared" si="73"/>
        <v>47916.34837724812</v>
      </c>
      <c r="W246" s="29">
        <f t="shared" si="63"/>
        <v>47916.34837724812</v>
      </c>
      <c r="X246" s="29">
        <f t="shared" si="74"/>
        <v>47916.34837724812</v>
      </c>
      <c r="Y246">
        <f t="shared" si="75"/>
        <v>0</v>
      </c>
    </row>
    <row r="247" spans="1:25" x14ac:dyDescent="0.25">
      <c r="A247" s="4" t="s">
        <v>1131</v>
      </c>
      <c r="B247" s="7" t="s">
        <v>584</v>
      </c>
      <c r="C247" s="2" t="s">
        <v>1132</v>
      </c>
      <c r="D247">
        <f>VLOOKUP(B247,'Model allocations'!$A$1:$L$317,4,FALSE)</f>
        <v>20855.313138546597</v>
      </c>
      <c r="E247" s="31">
        <f>VLOOKUP(B247,'Initial adjusted formula count'!$A$1:$P$317,12,FALSE)</f>
        <v>0.18133333333333301</v>
      </c>
      <c r="F247">
        <f>VLOOKUP(B247,'Model allocations'!$A$1:$L$317,9,FALSE)</f>
        <v>18769.781824691938</v>
      </c>
      <c r="G247" s="30">
        <f t="shared" si="64"/>
        <v>0.9</v>
      </c>
      <c r="H247">
        <f t="shared" si="65"/>
        <v>18769.781824691938</v>
      </c>
      <c r="I247">
        <f t="shared" si="57"/>
        <v>0</v>
      </c>
      <c r="J247">
        <f t="shared" si="58"/>
        <v>18769.781824691938</v>
      </c>
      <c r="K247">
        <f t="shared" si="59"/>
        <v>18754.011750944519</v>
      </c>
      <c r="L247">
        <f t="shared" si="66"/>
        <v>18754.011750944519</v>
      </c>
      <c r="M247">
        <f t="shared" si="60"/>
        <v>18769.781824691938</v>
      </c>
      <c r="N247" s="29">
        <f t="shared" si="67"/>
        <v>0</v>
      </c>
      <c r="O247" s="29">
        <f t="shared" si="61"/>
        <v>0</v>
      </c>
      <c r="P247" s="29">
        <f t="shared" si="68"/>
        <v>18769.781824691938</v>
      </c>
      <c r="Q247">
        <f t="shared" si="69"/>
        <v>0</v>
      </c>
      <c r="R247" s="29">
        <f t="shared" si="70"/>
        <v>0</v>
      </c>
      <c r="S247" s="29">
        <f t="shared" si="62"/>
        <v>0</v>
      </c>
      <c r="T247" s="29">
        <f t="shared" si="71"/>
        <v>18769.781824691938</v>
      </c>
      <c r="U247">
        <f t="shared" si="72"/>
        <v>0</v>
      </c>
      <c r="V247" s="29">
        <f t="shared" si="73"/>
        <v>0</v>
      </c>
      <c r="W247" s="29">
        <f t="shared" si="63"/>
        <v>0</v>
      </c>
      <c r="X247" s="29">
        <f t="shared" si="74"/>
        <v>18769.781824691938</v>
      </c>
      <c r="Y247">
        <f t="shared" si="75"/>
        <v>0</v>
      </c>
    </row>
    <row r="248" spans="1:25" x14ac:dyDescent="0.25">
      <c r="A248" s="4" t="s">
        <v>1133</v>
      </c>
      <c r="B248" s="7" t="s">
        <v>219</v>
      </c>
      <c r="C248" s="2" t="s">
        <v>1134</v>
      </c>
      <c r="D248">
        <f>VLOOKUP(B248,'Model allocations'!$A$1:$L$317,4,FALSE)</f>
        <v>0</v>
      </c>
      <c r="E248" s="31">
        <f>VLOOKUP(B248,'Initial adjusted formula count'!$A$1:$P$317,12,FALSE)</f>
        <v>8.4976847882010001E-2</v>
      </c>
      <c r="F248">
        <f>VLOOKUP(B248,'Model allocations'!$A$1:$L$317,9,FALSE)</f>
        <v>0</v>
      </c>
      <c r="G248" s="30">
        <f t="shared" si="64"/>
        <v>0.85</v>
      </c>
      <c r="H248">
        <f t="shared" si="65"/>
        <v>0</v>
      </c>
      <c r="I248">
        <f t="shared" si="57"/>
        <v>0</v>
      </c>
      <c r="J248">
        <f t="shared" si="58"/>
        <v>0</v>
      </c>
      <c r="K248">
        <f t="shared" si="59"/>
        <v>0</v>
      </c>
      <c r="L248">
        <f t="shared" si="66"/>
        <v>0</v>
      </c>
      <c r="M248">
        <f t="shared" si="60"/>
        <v>0</v>
      </c>
      <c r="N248" s="29">
        <f t="shared" si="67"/>
        <v>0</v>
      </c>
      <c r="O248" s="29">
        <f t="shared" si="61"/>
        <v>0</v>
      </c>
      <c r="P248" s="29">
        <f t="shared" si="68"/>
        <v>0</v>
      </c>
      <c r="Q248">
        <f t="shared" si="69"/>
        <v>0</v>
      </c>
      <c r="R248" s="29">
        <f t="shared" si="70"/>
        <v>0</v>
      </c>
      <c r="S248" s="29">
        <f t="shared" si="62"/>
        <v>0</v>
      </c>
      <c r="T248" s="29">
        <f t="shared" si="71"/>
        <v>0</v>
      </c>
      <c r="U248">
        <f t="shared" si="72"/>
        <v>0</v>
      </c>
      <c r="V248" s="29">
        <f t="shared" si="73"/>
        <v>0</v>
      </c>
      <c r="W248" s="29">
        <f t="shared" si="63"/>
        <v>0</v>
      </c>
      <c r="X248" s="29">
        <f t="shared" si="74"/>
        <v>0</v>
      </c>
      <c r="Y248">
        <f t="shared" si="75"/>
        <v>0</v>
      </c>
    </row>
    <row r="249" spans="1:25" x14ac:dyDescent="0.25">
      <c r="A249" s="4" t="s">
        <v>1135</v>
      </c>
      <c r="B249" s="7" t="s">
        <v>221</v>
      </c>
      <c r="C249" s="2" t="s">
        <v>1136</v>
      </c>
      <c r="D249">
        <f>VLOOKUP(B249,'Model allocations'!$A$1:$L$317,4,FALSE)</f>
        <v>0</v>
      </c>
      <c r="E249" s="31">
        <f>VLOOKUP(B249,'Initial adjusted formula count'!$A$1:$P$317,12,FALSE)</f>
        <v>8.6107921928817402E-2</v>
      </c>
      <c r="F249">
        <f>VLOOKUP(B249,'Model allocations'!$A$1:$L$317,9,FALSE)</f>
        <v>0</v>
      </c>
      <c r="G249" s="30">
        <f t="shared" si="64"/>
        <v>0.85</v>
      </c>
      <c r="H249">
        <f t="shared" si="65"/>
        <v>0</v>
      </c>
      <c r="I249">
        <f t="shared" si="57"/>
        <v>0</v>
      </c>
      <c r="J249">
        <f t="shared" si="58"/>
        <v>0</v>
      </c>
      <c r="K249">
        <f t="shared" si="59"/>
        <v>0</v>
      </c>
      <c r="L249">
        <f t="shared" si="66"/>
        <v>0</v>
      </c>
      <c r="M249">
        <f t="shared" si="60"/>
        <v>0</v>
      </c>
      <c r="N249" s="29">
        <f t="shared" si="67"/>
        <v>0</v>
      </c>
      <c r="O249" s="29">
        <f t="shared" si="61"/>
        <v>0</v>
      </c>
      <c r="P249" s="29">
        <f t="shared" si="68"/>
        <v>0</v>
      </c>
      <c r="Q249">
        <f t="shared" si="69"/>
        <v>0</v>
      </c>
      <c r="R249" s="29">
        <f t="shared" si="70"/>
        <v>0</v>
      </c>
      <c r="S249" s="29">
        <f t="shared" si="62"/>
        <v>0</v>
      </c>
      <c r="T249" s="29">
        <f t="shared" si="71"/>
        <v>0</v>
      </c>
      <c r="U249">
        <f t="shared" si="72"/>
        <v>0</v>
      </c>
      <c r="V249" s="29">
        <f t="shared" si="73"/>
        <v>0</v>
      </c>
      <c r="W249" s="29">
        <f t="shared" si="63"/>
        <v>0</v>
      </c>
      <c r="X249" s="29">
        <f t="shared" si="74"/>
        <v>0</v>
      </c>
      <c r="Y249">
        <f t="shared" si="75"/>
        <v>0</v>
      </c>
    </row>
    <row r="250" spans="1:25" x14ac:dyDescent="0.25">
      <c r="A250" s="4" t="s">
        <v>1137</v>
      </c>
      <c r="B250" s="7" t="s">
        <v>586</v>
      </c>
      <c r="C250" s="2" t="s">
        <v>1138</v>
      </c>
      <c r="D250">
        <f>VLOOKUP(B250,'Model allocations'!$A$1:$L$317,4,FALSE)</f>
        <v>13601.291177313002</v>
      </c>
      <c r="E250" s="31">
        <f>VLOOKUP(B250,'Initial adjusted formula count'!$A$1:$P$317,12,FALSE)</f>
        <v>0.19327731092437</v>
      </c>
      <c r="F250">
        <f>VLOOKUP(B250,'Model allocations'!$A$1:$L$317,9,FALSE)</f>
        <v>16145.553910980238</v>
      </c>
      <c r="G250" s="30">
        <f t="shared" si="64"/>
        <v>0.9</v>
      </c>
      <c r="H250">
        <f t="shared" si="65"/>
        <v>12241.162059581702</v>
      </c>
      <c r="I250">
        <f t="shared" si="57"/>
        <v>0</v>
      </c>
      <c r="J250">
        <f t="shared" si="58"/>
        <v>16145.553910980238</v>
      </c>
      <c r="K250">
        <f t="shared" si="59"/>
        <v>16131.988672010111</v>
      </c>
      <c r="L250">
        <f t="shared" si="66"/>
        <v>16131.988672010111</v>
      </c>
      <c r="M250">
        <f t="shared" si="60"/>
        <v>0</v>
      </c>
      <c r="N250" s="29">
        <f t="shared" si="67"/>
        <v>16131.988672010111</v>
      </c>
      <c r="O250" s="29">
        <f t="shared" si="61"/>
        <v>16127.941648927423</v>
      </c>
      <c r="P250" s="29">
        <f t="shared" si="68"/>
        <v>16127.941648927423</v>
      </c>
      <c r="Q250">
        <f t="shared" si="69"/>
        <v>0</v>
      </c>
      <c r="R250" s="29">
        <f t="shared" si="70"/>
        <v>16127.941648927423</v>
      </c>
      <c r="S250" s="29">
        <f t="shared" si="62"/>
        <v>16127.941648927421</v>
      </c>
      <c r="T250" s="29">
        <f t="shared" si="71"/>
        <v>16127.941648927421</v>
      </c>
      <c r="U250">
        <f t="shared" si="72"/>
        <v>0</v>
      </c>
      <c r="V250" s="29">
        <f t="shared" si="73"/>
        <v>16127.941648927421</v>
      </c>
      <c r="W250" s="29">
        <f t="shared" si="63"/>
        <v>16127.941648927421</v>
      </c>
      <c r="X250" s="29">
        <f t="shared" si="74"/>
        <v>16127.941648927421</v>
      </c>
      <c r="Y250">
        <f t="shared" si="75"/>
        <v>0</v>
      </c>
    </row>
    <row r="251" spans="1:25" x14ac:dyDescent="0.25">
      <c r="A251" s="4" t="s">
        <v>32</v>
      </c>
      <c r="B251" s="7" t="s">
        <v>61</v>
      </c>
      <c r="C251" s="2" t="s">
        <v>1139</v>
      </c>
      <c r="D251">
        <f>VLOOKUP(B251,'Model allocations'!$A$1:$L$317,4,FALSE)</f>
        <v>1362556.4679487601</v>
      </c>
      <c r="E251" s="31">
        <f>VLOOKUP(B251,'Initial adjusted formula count'!$A$1:$P$317,12,FALSE)</f>
        <v>0.14178376698008699</v>
      </c>
      <c r="F251">
        <f>VLOOKUP(B251,'Model allocations'!$A$1:$L$317,9,FALSE)</f>
        <v>1163701.8576828816</v>
      </c>
      <c r="G251" s="30">
        <f t="shared" si="64"/>
        <v>0.85</v>
      </c>
      <c r="H251">
        <f t="shared" si="65"/>
        <v>1158172.997756446</v>
      </c>
      <c r="I251">
        <f t="shared" si="57"/>
        <v>0</v>
      </c>
      <c r="J251">
        <f t="shared" si="58"/>
        <v>1163701.8576828816</v>
      </c>
      <c r="K251">
        <f t="shared" si="59"/>
        <v>1162724.1337920518</v>
      </c>
      <c r="L251">
        <f t="shared" si="66"/>
        <v>1162724.1337920518</v>
      </c>
      <c r="M251">
        <f t="shared" si="60"/>
        <v>0</v>
      </c>
      <c r="N251" s="29">
        <f t="shared" si="67"/>
        <v>1162724.1337920518</v>
      </c>
      <c r="O251" s="29">
        <f t="shared" si="61"/>
        <v>1162432.441831195</v>
      </c>
      <c r="P251" s="29">
        <f t="shared" si="68"/>
        <v>1162432.441831195</v>
      </c>
      <c r="Q251">
        <f t="shared" si="69"/>
        <v>0</v>
      </c>
      <c r="R251" s="29">
        <f t="shared" si="70"/>
        <v>1162432.441831195</v>
      </c>
      <c r="S251" s="29">
        <f t="shared" si="62"/>
        <v>1162432.4418311948</v>
      </c>
      <c r="T251" s="29">
        <f t="shared" si="71"/>
        <v>1162432.4418311948</v>
      </c>
      <c r="U251">
        <f t="shared" si="72"/>
        <v>0</v>
      </c>
      <c r="V251" s="29">
        <f t="shared" si="73"/>
        <v>1162432.4418311948</v>
      </c>
      <c r="W251" s="29">
        <f t="shared" si="63"/>
        <v>1162432.4418311948</v>
      </c>
      <c r="X251" s="29">
        <f t="shared" si="74"/>
        <v>1162432.4418311948</v>
      </c>
      <c r="Y251">
        <f t="shared" si="75"/>
        <v>0</v>
      </c>
    </row>
    <row r="252" spans="1:25" x14ac:dyDescent="0.25">
      <c r="A252" s="4" t="s">
        <v>35</v>
      </c>
      <c r="B252" s="7" t="s">
        <v>78</v>
      </c>
      <c r="C252" s="2" t="s">
        <v>1140</v>
      </c>
      <c r="D252">
        <f>VLOOKUP(B252,'Model allocations'!$A$1:$L$317,4,FALSE)</f>
        <v>0</v>
      </c>
      <c r="E252" s="31">
        <f>VLOOKUP(B252,'Initial adjusted formula count'!$A$1:$P$317,12,FALSE)</f>
        <v>9.8287212688936795E-2</v>
      </c>
      <c r="F252">
        <f>VLOOKUP(B252,'Model allocations'!$A$1:$L$317,9,FALSE)</f>
        <v>0</v>
      </c>
      <c r="G252" s="30">
        <f t="shared" si="64"/>
        <v>0.85</v>
      </c>
      <c r="H252">
        <f t="shared" si="65"/>
        <v>0</v>
      </c>
      <c r="I252">
        <f t="shared" si="57"/>
        <v>0</v>
      </c>
      <c r="J252">
        <f t="shared" si="58"/>
        <v>0</v>
      </c>
      <c r="K252">
        <f t="shared" si="59"/>
        <v>0</v>
      </c>
      <c r="L252">
        <f t="shared" si="66"/>
        <v>0</v>
      </c>
      <c r="M252">
        <f t="shared" si="60"/>
        <v>0</v>
      </c>
      <c r="N252" s="29">
        <f t="shared" si="67"/>
        <v>0</v>
      </c>
      <c r="O252" s="29">
        <f t="shared" si="61"/>
        <v>0</v>
      </c>
      <c r="P252" s="29">
        <f t="shared" si="68"/>
        <v>0</v>
      </c>
      <c r="Q252">
        <f t="shared" si="69"/>
        <v>0</v>
      </c>
      <c r="R252" s="29">
        <f t="shared" si="70"/>
        <v>0</v>
      </c>
      <c r="S252" s="29">
        <f t="shared" si="62"/>
        <v>0</v>
      </c>
      <c r="T252" s="29">
        <f t="shared" si="71"/>
        <v>0</v>
      </c>
      <c r="U252">
        <f t="shared" si="72"/>
        <v>0</v>
      </c>
      <c r="V252" s="29">
        <f t="shared" si="73"/>
        <v>0</v>
      </c>
      <c r="W252" s="29">
        <f t="shared" si="63"/>
        <v>0</v>
      </c>
      <c r="X252" s="29">
        <f t="shared" si="74"/>
        <v>0</v>
      </c>
      <c r="Y252">
        <f t="shared" si="75"/>
        <v>0</v>
      </c>
    </row>
    <row r="253" spans="1:25" x14ac:dyDescent="0.25">
      <c r="A253" s="4" t="s">
        <v>1141</v>
      </c>
      <c r="B253" s="7" t="s">
        <v>588</v>
      </c>
      <c r="C253" s="2" t="s">
        <v>1142</v>
      </c>
      <c r="D253">
        <f>VLOOKUP(B253,'Model allocations'!$A$1:$L$317,4,FALSE)</f>
        <v>4987.140098348098</v>
      </c>
      <c r="E253" s="31">
        <f>VLOOKUP(B253,'Initial adjusted formula count'!$A$1:$P$317,12,FALSE)</f>
        <v>0.15503875968992201</v>
      </c>
      <c r="F253">
        <f>VLOOKUP(B253,'Model allocations'!$A$1:$L$317,9,FALSE)</f>
        <v>4679.8706988348504</v>
      </c>
      <c r="G253" s="30">
        <f t="shared" si="64"/>
        <v>0.9</v>
      </c>
      <c r="H253">
        <f t="shared" si="65"/>
        <v>4488.4260885132881</v>
      </c>
      <c r="I253">
        <f t="shared" si="57"/>
        <v>0</v>
      </c>
      <c r="J253">
        <f t="shared" si="58"/>
        <v>4679.8706988348504</v>
      </c>
      <c r="K253">
        <f t="shared" si="59"/>
        <v>4675.938745510176</v>
      </c>
      <c r="L253">
        <f t="shared" si="66"/>
        <v>4675.938745510176</v>
      </c>
      <c r="M253">
        <f t="shared" si="60"/>
        <v>0</v>
      </c>
      <c r="N253" s="29">
        <f t="shared" si="67"/>
        <v>4675.938745510176</v>
      </c>
      <c r="O253" s="29">
        <f t="shared" si="61"/>
        <v>4674.7656953412807</v>
      </c>
      <c r="P253" s="29">
        <f t="shared" si="68"/>
        <v>4674.7656953412807</v>
      </c>
      <c r="Q253">
        <f t="shared" si="69"/>
        <v>0</v>
      </c>
      <c r="R253" s="29">
        <f t="shared" si="70"/>
        <v>4674.7656953412807</v>
      </c>
      <c r="S253" s="29">
        <f t="shared" si="62"/>
        <v>4674.7656953412798</v>
      </c>
      <c r="T253" s="29">
        <f t="shared" si="71"/>
        <v>4674.7656953412798</v>
      </c>
      <c r="U253">
        <f t="shared" si="72"/>
        <v>0</v>
      </c>
      <c r="V253" s="29">
        <f t="shared" si="73"/>
        <v>4674.7656953412798</v>
      </c>
      <c r="W253" s="29">
        <f t="shared" si="63"/>
        <v>4674.7656953412798</v>
      </c>
      <c r="X253" s="29">
        <f t="shared" si="74"/>
        <v>4674.7656953412798</v>
      </c>
      <c r="Y253">
        <f t="shared" si="75"/>
        <v>0</v>
      </c>
    </row>
    <row r="254" spans="1:25" x14ac:dyDescent="0.25">
      <c r="A254" s="4" t="s">
        <v>1143</v>
      </c>
      <c r="B254" s="7" t="s">
        <v>590</v>
      </c>
      <c r="C254" s="2" t="s">
        <v>1144</v>
      </c>
      <c r="D254">
        <f>VLOOKUP(B254,'Model allocations'!$A$1:$L$317,4,FALSE)</f>
        <v>0</v>
      </c>
      <c r="E254" s="31">
        <f>VLOOKUP(B254,'Initial adjusted formula count'!$A$1:$P$317,12,FALSE)</f>
        <v>0.148148148148148</v>
      </c>
      <c r="F254">
        <f>VLOOKUP(B254,'Model allocations'!$A$1:$L$317,9,FALSE)</f>
        <v>0</v>
      </c>
      <c r="G254" s="30">
        <f t="shared" si="64"/>
        <v>0.85</v>
      </c>
      <c r="H254">
        <f t="shared" si="65"/>
        <v>0</v>
      </c>
      <c r="I254">
        <f t="shared" si="57"/>
        <v>0</v>
      </c>
      <c r="J254">
        <f t="shared" si="58"/>
        <v>0</v>
      </c>
      <c r="K254">
        <f t="shared" si="59"/>
        <v>0</v>
      </c>
      <c r="L254">
        <f t="shared" si="66"/>
        <v>0</v>
      </c>
      <c r="M254">
        <f t="shared" si="60"/>
        <v>0</v>
      </c>
      <c r="N254" s="29">
        <f t="shared" si="67"/>
        <v>0</v>
      </c>
      <c r="O254" s="29">
        <f t="shared" si="61"/>
        <v>0</v>
      </c>
      <c r="P254" s="29">
        <f t="shared" si="68"/>
        <v>0</v>
      </c>
      <c r="Q254">
        <f t="shared" si="69"/>
        <v>0</v>
      </c>
      <c r="R254" s="29">
        <f t="shared" si="70"/>
        <v>0</v>
      </c>
      <c r="S254" s="29">
        <f t="shared" si="62"/>
        <v>0</v>
      </c>
      <c r="T254" s="29">
        <f t="shared" si="71"/>
        <v>0</v>
      </c>
      <c r="U254">
        <f t="shared" si="72"/>
        <v>0</v>
      </c>
      <c r="V254" s="29">
        <f t="shared" si="73"/>
        <v>0</v>
      </c>
      <c r="W254" s="29">
        <f t="shared" si="63"/>
        <v>0</v>
      </c>
      <c r="X254" s="29">
        <f t="shared" si="74"/>
        <v>0</v>
      </c>
      <c r="Y254">
        <f t="shared" si="75"/>
        <v>0</v>
      </c>
    </row>
    <row r="255" spans="1:25" x14ac:dyDescent="0.25">
      <c r="A255" s="4" t="s">
        <v>1145</v>
      </c>
      <c r="B255" s="7" t="s">
        <v>223</v>
      </c>
      <c r="C255" s="2" t="s">
        <v>1146</v>
      </c>
      <c r="D255">
        <f>VLOOKUP(B255,'Model allocations'!$A$1:$L$317,4,FALSE)</f>
        <v>0</v>
      </c>
      <c r="E255" s="31">
        <f>VLOOKUP(B255,'Initial adjusted formula count'!$A$1:$P$317,12,FALSE)</f>
        <v>7.8952222837114894E-2</v>
      </c>
      <c r="F255">
        <f>VLOOKUP(B255,'Model allocations'!$A$1:$L$317,9,FALSE)</f>
        <v>0</v>
      </c>
      <c r="G255" s="30">
        <f t="shared" si="64"/>
        <v>0.85</v>
      </c>
      <c r="H255">
        <f t="shared" si="65"/>
        <v>0</v>
      </c>
      <c r="I255">
        <f t="shared" si="57"/>
        <v>0</v>
      </c>
      <c r="J255">
        <f t="shared" si="58"/>
        <v>0</v>
      </c>
      <c r="K255">
        <f t="shared" si="59"/>
        <v>0</v>
      </c>
      <c r="L255">
        <f t="shared" si="66"/>
        <v>0</v>
      </c>
      <c r="M255">
        <f t="shared" si="60"/>
        <v>0</v>
      </c>
      <c r="N255" s="29">
        <f t="shared" si="67"/>
        <v>0</v>
      </c>
      <c r="O255" s="29">
        <f t="shared" si="61"/>
        <v>0</v>
      </c>
      <c r="P255" s="29">
        <f t="shared" si="68"/>
        <v>0</v>
      </c>
      <c r="Q255">
        <f t="shared" si="69"/>
        <v>0</v>
      </c>
      <c r="R255" s="29">
        <f t="shared" si="70"/>
        <v>0</v>
      </c>
      <c r="S255" s="29">
        <f t="shared" si="62"/>
        <v>0</v>
      </c>
      <c r="T255" s="29">
        <f t="shared" si="71"/>
        <v>0</v>
      </c>
      <c r="U255">
        <f t="shared" si="72"/>
        <v>0</v>
      </c>
      <c r="V255" s="29">
        <f t="shared" si="73"/>
        <v>0</v>
      </c>
      <c r="W255" s="29">
        <f t="shared" si="63"/>
        <v>0</v>
      </c>
      <c r="X255" s="29">
        <f t="shared" si="74"/>
        <v>0</v>
      </c>
      <c r="Y255">
        <f t="shared" si="75"/>
        <v>0</v>
      </c>
    </row>
    <row r="256" spans="1:25" x14ac:dyDescent="0.25">
      <c r="A256" s="4" t="s">
        <v>1147</v>
      </c>
      <c r="B256" s="7" t="s">
        <v>225</v>
      </c>
      <c r="C256" s="2" t="s">
        <v>1148</v>
      </c>
      <c r="D256">
        <f>VLOOKUP(B256,'Model allocations'!$A$1:$L$317,4,FALSE)</f>
        <v>0</v>
      </c>
      <c r="E256" s="31">
        <f>VLOOKUP(B256,'Initial adjusted formula count'!$A$1:$P$317,12,FALSE)</f>
        <v>0.04</v>
      </c>
      <c r="F256">
        <f>VLOOKUP(B256,'Model allocations'!$A$1:$L$317,9,FALSE)</f>
        <v>0</v>
      </c>
      <c r="G256" s="30">
        <f t="shared" si="64"/>
        <v>0.85</v>
      </c>
      <c r="H256">
        <f t="shared" si="65"/>
        <v>0</v>
      </c>
      <c r="I256">
        <f t="shared" si="57"/>
        <v>0</v>
      </c>
      <c r="J256">
        <f t="shared" si="58"/>
        <v>0</v>
      </c>
      <c r="K256">
        <f t="shared" si="59"/>
        <v>0</v>
      </c>
      <c r="L256">
        <f t="shared" si="66"/>
        <v>0</v>
      </c>
      <c r="M256">
        <f t="shared" si="60"/>
        <v>0</v>
      </c>
      <c r="N256" s="29">
        <f t="shared" si="67"/>
        <v>0</v>
      </c>
      <c r="O256" s="29">
        <f t="shared" si="61"/>
        <v>0</v>
      </c>
      <c r="P256" s="29">
        <f t="shared" si="68"/>
        <v>0</v>
      </c>
      <c r="Q256">
        <f t="shared" si="69"/>
        <v>0</v>
      </c>
      <c r="R256" s="29">
        <f t="shared" si="70"/>
        <v>0</v>
      </c>
      <c r="S256" s="29">
        <f t="shared" si="62"/>
        <v>0</v>
      </c>
      <c r="T256" s="29">
        <f t="shared" si="71"/>
        <v>0</v>
      </c>
      <c r="U256">
        <f t="shared" si="72"/>
        <v>0</v>
      </c>
      <c r="V256" s="29">
        <f t="shared" si="73"/>
        <v>0</v>
      </c>
      <c r="W256" s="29">
        <f t="shared" si="63"/>
        <v>0</v>
      </c>
      <c r="X256" s="29">
        <f t="shared" si="74"/>
        <v>0</v>
      </c>
      <c r="Y256">
        <f t="shared" si="75"/>
        <v>0</v>
      </c>
    </row>
    <row r="257" spans="1:25" x14ac:dyDescent="0.25">
      <c r="A257" s="4" t="s">
        <v>1149</v>
      </c>
      <c r="B257" s="7" t="s">
        <v>592</v>
      </c>
      <c r="C257" s="2" t="s">
        <v>1150</v>
      </c>
      <c r="D257">
        <f>VLOOKUP(B257,'Model allocations'!$A$1:$L$317,4,FALSE)</f>
        <v>3400.3227943282504</v>
      </c>
      <c r="E257" s="31">
        <f>VLOOKUP(B257,'Initial adjusted formula count'!$A$1:$P$317,12,FALSE)</f>
        <v>0.3125</v>
      </c>
      <c r="F257">
        <f>VLOOKUP(B257,'Model allocations'!$A$1:$L$317,9,FALSE)</f>
        <v>3230.306654611838</v>
      </c>
      <c r="G257" s="30">
        <f t="shared" si="64"/>
        <v>0.95</v>
      </c>
      <c r="H257">
        <f t="shared" si="65"/>
        <v>3230.306654611838</v>
      </c>
      <c r="I257">
        <f t="shared" si="57"/>
        <v>0</v>
      </c>
      <c r="J257">
        <f t="shared" si="58"/>
        <v>3230.306654611838</v>
      </c>
      <c r="K257">
        <f t="shared" si="59"/>
        <v>3227.5926020647275</v>
      </c>
      <c r="L257">
        <f t="shared" si="66"/>
        <v>3227.5926020647275</v>
      </c>
      <c r="M257">
        <f t="shared" si="60"/>
        <v>3230.306654611838</v>
      </c>
      <c r="N257" s="29">
        <f t="shared" si="67"/>
        <v>0</v>
      </c>
      <c r="O257" s="29">
        <f t="shared" si="61"/>
        <v>0</v>
      </c>
      <c r="P257" s="29">
        <f t="shared" si="68"/>
        <v>3230.306654611838</v>
      </c>
      <c r="Q257">
        <f t="shared" si="69"/>
        <v>0</v>
      </c>
      <c r="R257" s="29">
        <f t="shared" si="70"/>
        <v>0</v>
      </c>
      <c r="S257" s="29">
        <f t="shared" si="62"/>
        <v>0</v>
      </c>
      <c r="T257" s="29">
        <f t="shared" si="71"/>
        <v>3230.306654611838</v>
      </c>
      <c r="U257">
        <f t="shared" si="72"/>
        <v>0</v>
      </c>
      <c r="V257" s="29">
        <f t="shared" si="73"/>
        <v>0</v>
      </c>
      <c r="W257" s="29">
        <f t="shared" si="63"/>
        <v>0</v>
      </c>
      <c r="X257" s="29">
        <f t="shared" si="74"/>
        <v>3230.306654611838</v>
      </c>
      <c r="Y257">
        <f t="shared" si="75"/>
        <v>0</v>
      </c>
    </row>
    <row r="258" spans="1:25" x14ac:dyDescent="0.25">
      <c r="A258" s="4" t="s">
        <v>1151</v>
      </c>
      <c r="B258" s="7" t="s">
        <v>227</v>
      </c>
      <c r="C258" s="2" t="s">
        <v>1152</v>
      </c>
      <c r="D258">
        <f>VLOOKUP(B258,'Model allocations'!$A$1:$L$317,4,FALSE)</f>
        <v>0</v>
      </c>
      <c r="E258" s="31">
        <f>VLOOKUP(B258,'Initial adjusted formula count'!$A$1:$P$317,12,FALSE)</f>
        <v>0.133333333333333</v>
      </c>
      <c r="F258">
        <f>VLOOKUP(B258,'Model allocations'!$A$1:$L$317,9,FALSE)</f>
        <v>0</v>
      </c>
      <c r="G258" s="30">
        <f t="shared" si="64"/>
        <v>0.85</v>
      </c>
      <c r="H258">
        <f t="shared" si="65"/>
        <v>0</v>
      </c>
      <c r="I258">
        <f t="shared" si="57"/>
        <v>0</v>
      </c>
      <c r="J258">
        <f t="shared" si="58"/>
        <v>0</v>
      </c>
      <c r="K258">
        <f t="shared" si="59"/>
        <v>0</v>
      </c>
      <c r="L258">
        <f t="shared" si="66"/>
        <v>0</v>
      </c>
      <c r="M258">
        <f t="shared" si="60"/>
        <v>0</v>
      </c>
      <c r="N258" s="29">
        <f t="shared" si="67"/>
        <v>0</v>
      </c>
      <c r="O258" s="29">
        <f t="shared" si="61"/>
        <v>0</v>
      </c>
      <c r="P258" s="29">
        <f t="shared" si="68"/>
        <v>0</v>
      </c>
      <c r="Q258">
        <f t="shared" si="69"/>
        <v>0</v>
      </c>
      <c r="R258" s="29">
        <f t="shared" si="70"/>
        <v>0</v>
      </c>
      <c r="S258" s="29">
        <f t="shared" si="62"/>
        <v>0</v>
      </c>
      <c r="T258" s="29">
        <f t="shared" si="71"/>
        <v>0</v>
      </c>
      <c r="U258">
        <f t="shared" si="72"/>
        <v>0</v>
      </c>
      <c r="V258" s="29">
        <f t="shared" si="73"/>
        <v>0</v>
      </c>
      <c r="W258" s="29">
        <f t="shared" si="63"/>
        <v>0</v>
      </c>
      <c r="X258" s="29">
        <f t="shared" si="74"/>
        <v>0</v>
      </c>
      <c r="Y258">
        <f t="shared" si="75"/>
        <v>0</v>
      </c>
    </row>
    <row r="259" spans="1:25" x14ac:dyDescent="0.25">
      <c r="A259" s="4" t="s">
        <v>1153</v>
      </c>
      <c r="B259" s="7" t="s">
        <v>229</v>
      </c>
      <c r="C259" s="2" t="s">
        <v>1154</v>
      </c>
      <c r="D259">
        <f>VLOOKUP(B259,'Model allocations'!$A$1:$L$317,4,FALSE)</f>
        <v>0</v>
      </c>
      <c r="E259" s="31">
        <f>VLOOKUP(B259,'Initial adjusted formula count'!$A$1:$P$317,12,FALSE)</f>
        <v>6.2751004016064302E-2</v>
      </c>
      <c r="F259">
        <f>VLOOKUP(B259,'Model allocations'!$A$1:$L$317,9,FALSE)</f>
        <v>0</v>
      </c>
      <c r="G259" s="30">
        <f t="shared" si="64"/>
        <v>0.85</v>
      </c>
      <c r="H259">
        <f t="shared" si="65"/>
        <v>0</v>
      </c>
      <c r="I259">
        <f t="shared" ref="I259:I316" si="76">IF(F259&lt;H259,H259,0)</f>
        <v>0</v>
      </c>
      <c r="J259">
        <f t="shared" ref="J259:J316" si="77">IF(I259=0,F259,0)</f>
        <v>0</v>
      </c>
      <c r="K259">
        <f t="shared" ref="K259:K316" si="78">(J259/$J$3)*($F$3-$I$3)</f>
        <v>0</v>
      </c>
      <c r="L259">
        <f t="shared" si="66"/>
        <v>0</v>
      </c>
      <c r="M259">
        <f t="shared" ref="M259:M316" si="79">IF(L259&lt;H259,H259,0)</f>
        <v>0</v>
      </c>
      <c r="N259" s="29">
        <f t="shared" si="67"/>
        <v>0</v>
      </c>
      <c r="O259" s="29">
        <f t="shared" ref="O259:O316" si="80">((N259/$N$3)*($F$3-$I$3-$M$3))</f>
        <v>0</v>
      </c>
      <c r="P259" s="29">
        <f t="shared" si="68"/>
        <v>0</v>
      </c>
      <c r="Q259">
        <f t="shared" si="69"/>
        <v>0</v>
      </c>
      <c r="R259" s="29">
        <f t="shared" si="70"/>
        <v>0</v>
      </c>
      <c r="S259" s="29">
        <f t="shared" ref="S259:S316" si="81">((R259/$R$3)*($F$3-$I$3-$M$3-$Q$3))</f>
        <v>0</v>
      </c>
      <c r="T259" s="29">
        <f t="shared" si="71"/>
        <v>0</v>
      </c>
      <c r="U259">
        <f t="shared" si="72"/>
        <v>0</v>
      </c>
      <c r="V259" s="29">
        <f t="shared" si="73"/>
        <v>0</v>
      </c>
      <c r="W259" s="29">
        <f t="shared" ref="W259:W316" si="82">((V259/$V$3)*($F$3-$I$3-$M$3-$Q$3-$U$3))</f>
        <v>0</v>
      </c>
      <c r="X259" s="29">
        <f t="shared" si="74"/>
        <v>0</v>
      </c>
      <c r="Y259">
        <f t="shared" si="75"/>
        <v>0</v>
      </c>
    </row>
    <row r="260" spans="1:25" x14ac:dyDescent="0.25">
      <c r="A260" s="4" t="s">
        <v>1155</v>
      </c>
      <c r="B260" s="7" t="s">
        <v>594</v>
      </c>
      <c r="C260" s="2" t="s">
        <v>1156</v>
      </c>
      <c r="D260">
        <f>VLOOKUP(B260,'Model allocations'!$A$1:$L$317,4,FALSE)</f>
        <v>1797.067595648725</v>
      </c>
      <c r="E260" s="31">
        <f>VLOOKUP(B260,'Initial adjusted formula count'!$A$1:$P$317,12,FALSE)</f>
        <v>0.15094339622641501</v>
      </c>
      <c r="F260">
        <f>VLOOKUP(B260,'Model allocations'!$A$1:$L$317,9,FALSE)</f>
        <v>1617.3608360838525</v>
      </c>
      <c r="G260" s="30">
        <f t="shared" ref="G260:G316" si="83">IF(E260&lt;0.15,0.85,IF(AND(E260&gt;=0.15,E260&lt;0.3),0.9,0.95))</f>
        <v>0.9</v>
      </c>
      <c r="H260">
        <f t="shared" ref="H260:H316" si="84">IF(F260 = 0, 0, D260*G260)</f>
        <v>1617.3608360838525</v>
      </c>
      <c r="I260">
        <f t="shared" si="76"/>
        <v>0</v>
      </c>
      <c r="J260">
        <f t="shared" si="77"/>
        <v>1617.3608360838525</v>
      </c>
      <c r="K260">
        <f t="shared" si="78"/>
        <v>1616.0019550963452</v>
      </c>
      <c r="L260">
        <f t="shared" ref="L260:L316" si="85">I260+K260</f>
        <v>1616.0019550963452</v>
      </c>
      <c r="M260">
        <f t="shared" si="79"/>
        <v>1617.3608360838525</v>
      </c>
      <c r="N260" s="29">
        <f t="shared" ref="N260:N316" si="86">IF(I260+M260=0,L260,0)</f>
        <v>0</v>
      </c>
      <c r="O260" s="29">
        <f t="shared" si="80"/>
        <v>0</v>
      </c>
      <c r="P260" s="29">
        <f t="shared" ref="P260:P316" si="87">$I260+$M260+O260</f>
        <v>1617.3608360838525</v>
      </c>
      <c r="Q260">
        <f t="shared" ref="Q260:Q316" si="88">IF(P260&lt;H260,H260,0)</f>
        <v>0</v>
      </c>
      <c r="R260" s="29">
        <f t="shared" ref="R260:R316" si="89">IF($I260+$M260+$Q260=0,P260,0)</f>
        <v>0</v>
      </c>
      <c r="S260" s="29">
        <f t="shared" si="81"/>
        <v>0</v>
      </c>
      <c r="T260" s="29">
        <f t="shared" ref="T260:T316" si="90">$I260+$M260+$Q260+S260</f>
        <v>1617.3608360838525</v>
      </c>
      <c r="U260">
        <f t="shared" ref="U260:U316" si="91">IF(T260&lt;H260,H260,0)</f>
        <v>0</v>
      </c>
      <c r="V260" s="29">
        <f t="shared" ref="V260:V316" si="92">IF($I260+$M260+$Q260+U260=0,T260,0)</f>
        <v>0</v>
      </c>
      <c r="W260" s="29">
        <f t="shared" si="82"/>
        <v>0</v>
      </c>
      <c r="X260" s="29">
        <f t="shared" ref="X260:X316" si="93">$I260+$M260+$Q260+$U260+W260</f>
        <v>1617.3608360838525</v>
      </c>
      <c r="Y260">
        <f t="shared" ref="Y260:Y316" si="94">IF(X260&lt;H260,H260,0)</f>
        <v>0</v>
      </c>
    </row>
    <row r="261" spans="1:25" x14ac:dyDescent="0.25">
      <c r="A261" s="4" t="s">
        <v>1157</v>
      </c>
      <c r="B261" s="7" t="s">
        <v>596</v>
      </c>
      <c r="C261" s="2" t="s">
        <v>1158</v>
      </c>
      <c r="D261">
        <f>VLOOKUP(B261,'Model allocations'!$A$1:$L$317,4,FALSE)</f>
        <v>20873.00211974937</v>
      </c>
      <c r="E261" s="31">
        <f>VLOOKUP(B261,'Initial adjusted formula count'!$A$1:$P$317,12,FALSE)</f>
        <v>0.15604395604395599</v>
      </c>
      <c r="F261">
        <f>VLOOKUP(B261,'Model allocations'!$A$1:$L$317,9,FALSE)</f>
        <v>33227.081961727432</v>
      </c>
      <c r="G261" s="30">
        <f t="shared" si="83"/>
        <v>0.9</v>
      </c>
      <c r="H261">
        <f t="shared" si="84"/>
        <v>18785.701907774433</v>
      </c>
      <c r="I261">
        <f t="shared" si="76"/>
        <v>0</v>
      </c>
      <c r="J261">
        <f t="shared" si="77"/>
        <v>33227.081961727432</v>
      </c>
      <c r="K261">
        <f t="shared" si="78"/>
        <v>33199.165093122239</v>
      </c>
      <c r="L261">
        <f t="shared" si="85"/>
        <v>33199.165093122239</v>
      </c>
      <c r="M261">
        <f t="shared" si="79"/>
        <v>0</v>
      </c>
      <c r="N261" s="29">
        <f t="shared" si="86"/>
        <v>33199.165093122239</v>
      </c>
      <c r="O261" s="29">
        <f t="shared" si="80"/>
        <v>33190.836436923077</v>
      </c>
      <c r="P261" s="29">
        <f t="shared" si="87"/>
        <v>33190.836436923077</v>
      </c>
      <c r="Q261">
        <f t="shared" si="88"/>
        <v>0</v>
      </c>
      <c r="R261" s="29">
        <f t="shared" si="89"/>
        <v>33190.836436923077</v>
      </c>
      <c r="S261" s="29">
        <f t="shared" si="81"/>
        <v>33190.836436923069</v>
      </c>
      <c r="T261" s="29">
        <f t="shared" si="90"/>
        <v>33190.836436923069</v>
      </c>
      <c r="U261">
        <f t="shared" si="91"/>
        <v>0</v>
      </c>
      <c r="V261" s="29">
        <f t="shared" si="92"/>
        <v>33190.836436923069</v>
      </c>
      <c r="W261" s="29">
        <f t="shared" si="82"/>
        <v>33190.836436923069</v>
      </c>
      <c r="X261" s="29">
        <f t="shared" si="93"/>
        <v>33190.836436923069</v>
      </c>
      <c r="Y261">
        <f t="shared" si="94"/>
        <v>0</v>
      </c>
    </row>
    <row r="262" spans="1:25" x14ac:dyDescent="0.25">
      <c r="A262" s="4" t="s">
        <v>1159</v>
      </c>
      <c r="B262" s="7" t="s">
        <v>231</v>
      </c>
      <c r="C262" s="2" t="s">
        <v>1160</v>
      </c>
      <c r="D262">
        <f>VLOOKUP(B262,'Model allocations'!$A$1:$L$317,4,FALSE)</f>
        <v>0</v>
      </c>
      <c r="E262" s="31">
        <f>VLOOKUP(B262,'Initial adjusted formula count'!$A$1:$P$317,12,FALSE)</f>
        <v>8.5884691848906597E-2</v>
      </c>
      <c r="F262">
        <f>VLOOKUP(B262,'Model allocations'!$A$1:$L$317,9,FALSE)</f>
        <v>0</v>
      </c>
      <c r="G262" s="30">
        <f t="shared" si="83"/>
        <v>0.85</v>
      </c>
      <c r="H262">
        <f t="shared" si="84"/>
        <v>0</v>
      </c>
      <c r="I262">
        <f t="shared" si="76"/>
        <v>0</v>
      </c>
      <c r="J262">
        <f t="shared" si="77"/>
        <v>0</v>
      </c>
      <c r="K262">
        <f t="shared" si="78"/>
        <v>0</v>
      </c>
      <c r="L262">
        <f t="shared" si="85"/>
        <v>0</v>
      </c>
      <c r="M262">
        <f t="shared" si="79"/>
        <v>0</v>
      </c>
      <c r="N262" s="29">
        <f t="shared" si="86"/>
        <v>0</v>
      </c>
      <c r="O262" s="29">
        <f t="shared" si="80"/>
        <v>0</v>
      </c>
      <c r="P262" s="29">
        <f t="shared" si="87"/>
        <v>0</v>
      </c>
      <c r="Q262">
        <f t="shared" si="88"/>
        <v>0</v>
      </c>
      <c r="R262" s="29">
        <f t="shared" si="89"/>
        <v>0</v>
      </c>
      <c r="S262" s="29">
        <f t="shared" si="81"/>
        <v>0</v>
      </c>
      <c r="T262" s="29">
        <f t="shared" si="90"/>
        <v>0</v>
      </c>
      <c r="U262">
        <f t="shared" si="91"/>
        <v>0</v>
      </c>
      <c r="V262" s="29">
        <f t="shared" si="92"/>
        <v>0</v>
      </c>
      <c r="W262" s="29">
        <f t="shared" si="82"/>
        <v>0</v>
      </c>
      <c r="X262" s="29">
        <f t="shared" si="93"/>
        <v>0</v>
      </c>
      <c r="Y262">
        <f t="shared" si="94"/>
        <v>0</v>
      </c>
    </row>
    <row r="263" spans="1:25" x14ac:dyDescent="0.25">
      <c r="A263" s="4" t="s">
        <v>25</v>
      </c>
      <c r="B263" s="7" t="s">
        <v>72</v>
      </c>
      <c r="C263" s="2" t="s">
        <v>1161</v>
      </c>
      <c r="D263">
        <f>VLOOKUP(B263,'Model allocations'!$A$1:$L$317,4,FALSE)</f>
        <v>23143.36486952041</v>
      </c>
      <c r="E263" s="31">
        <f>VLOOKUP(B263,'Initial adjusted formula count'!$A$1:$P$317,12,FALSE)</f>
        <v>0.131424483967399</v>
      </c>
      <c r="F263">
        <f>VLOOKUP(B263,'Model allocations'!$A$1:$L$317,9,FALSE)</f>
        <v>23665.104686231345</v>
      </c>
      <c r="G263" s="30">
        <f t="shared" si="83"/>
        <v>0.85</v>
      </c>
      <c r="H263">
        <f t="shared" si="84"/>
        <v>19671.860139092347</v>
      </c>
      <c r="I263">
        <f t="shared" si="76"/>
        <v>0</v>
      </c>
      <c r="J263">
        <f t="shared" si="77"/>
        <v>23665.104686231345</v>
      </c>
      <c r="K263">
        <f t="shared" si="78"/>
        <v>23645.221639660642</v>
      </c>
      <c r="L263">
        <f t="shared" si="85"/>
        <v>23645.221639660642</v>
      </c>
      <c r="M263">
        <f t="shared" si="79"/>
        <v>0</v>
      </c>
      <c r="N263" s="29">
        <f t="shared" si="86"/>
        <v>23645.221639660642</v>
      </c>
      <c r="O263" s="29">
        <f t="shared" si="80"/>
        <v>23639.289775975602</v>
      </c>
      <c r="P263" s="29">
        <f t="shared" si="87"/>
        <v>23639.289775975602</v>
      </c>
      <c r="Q263">
        <f t="shared" si="88"/>
        <v>0</v>
      </c>
      <c r="R263" s="29">
        <f t="shared" si="89"/>
        <v>23639.289775975602</v>
      </c>
      <c r="S263" s="29">
        <f t="shared" si="81"/>
        <v>23639.289775975598</v>
      </c>
      <c r="T263" s="29">
        <f t="shared" si="90"/>
        <v>23639.289775975598</v>
      </c>
      <c r="U263">
        <f t="shared" si="91"/>
        <v>0</v>
      </c>
      <c r="V263" s="29">
        <f t="shared" si="92"/>
        <v>23639.289775975598</v>
      </c>
      <c r="W263" s="29">
        <f t="shared" si="82"/>
        <v>23639.289775975598</v>
      </c>
      <c r="X263" s="29">
        <f t="shared" si="93"/>
        <v>23639.289775975598</v>
      </c>
      <c r="Y263">
        <f t="shared" si="94"/>
        <v>0</v>
      </c>
    </row>
    <row r="264" spans="1:25" x14ac:dyDescent="0.25">
      <c r="A264" s="4" t="s">
        <v>27</v>
      </c>
      <c r="B264" s="7" t="s">
        <v>73</v>
      </c>
      <c r="C264" s="2" t="s">
        <v>1163</v>
      </c>
      <c r="D264">
        <f>VLOOKUP(B264,'Model allocations'!$A$1:$L$317,4,FALSE)</f>
        <v>0</v>
      </c>
      <c r="E264" s="31">
        <f>VLOOKUP(B264,'Initial adjusted formula count'!$A$1:$P$317,12,FALSE)</f>
        <v>0.121891311010182</v>
      </c>
      <c r="F264">
        <f>VLOOKUP(B264,'Model allocations'!$A$1:$L$317,9,FALSE)</f>
        <v>0</v>
      </c>
      <c r="G264" s="30">
        <f t="shared" si="83"/>
        <v>0.85</v>
      </c>
      <c r="H264">
        <f t="shared" si="84"/>
        <v>0</v>
      </c>
      <c r="I264">
        <f t="shared" si="76"/>
        <v>0</v>
      </c>
      <c r="J264">
        <f t="shared" si="77"/>
        <v>0</v>
      </c>
      <c r="K264">
        <f t="shared" si="78"/>
        <v>0</v>
      </c>
      <c r="L264">
        <f t="shared" si="85"/>
        <v>0</v>
      </c>
      <c r="M264">
        <f t="shared" si="79"/>
        <v>0</v>
      </c>
      <c r="N264" s="29">
        <f t="shared" si="86"/>
        <v>0</v>
      </c>
      <c r="O264" s="29">
        <f t="shared" si="80"/>
        <v>0</v>
      </c>
      <c r="P264" s="29">
        <f t="shared" si="87"/>
        <v>0</v>
      </c>
      <c r="Q264">
        <f t="shared" si="88"/>
        <v>0</v>
      </c>
      <c r="R264" s="29">
        <f t="shared" si="89"/>
        <v>0</v>
      </c>
      <c r="S264" s="29">
        <f t="shared" si="81"/>
        <v>0</v>
      </c>
      <c r="T264" s="29">
        <f t="shared" si="90"/>
        <v>0</v>
      </c>
      <c r="U264">
        <f t="shared" si="91"/>
        <v>0</v>
      </c>
      <c r="V264" s="29">
        <f t="shared" si="92"/>
        <v>0</v>
      </c>
      <c r="W264" s="29">
        <f t="shared" si="82"/>
        <v>0</v>
      </c>
      <c r="X264" s="29">
        <f t="shared" si="93"/>
        <v>0</v>
      </c>
      <c r="Y264">
        <f t="shared" si="94"/>
        <v>0</v>
      </c>
    </row>
    <row r="265" spans="1:25" x14ac:dyDescent="0.25">
      <c r="A265" s="4" t="s">
        <v>1164</v>
      </c>
      <c r="B265" s="7" t="s">
        <v>598</v>
      </c>
      <c r="C265" s="2" t="s">
        <v>1165</v>
      </c>
      <c r="D265">
        <f>VLOOKUP(B265,'Model allocations'!$A$1:$L$317,4,FALSE)</f>
        <v>5141.8366091035523</v>
      </c>
      <c r="E265" s="31">
        <f>VLOOKUP(B265,'Initial adjusted formula count'!$A$1:$P$317,12,FALSE)</f>
        <v>0.22807017543859601</v>
      </c>
      <c r="F265">
        <f>VLOOKUP(B265,'Model allocations'!$A$1:$L$317,9,FALSE)</f>
        <v>6083.8319084853065</v>
      </c>
      <c r="G265" s="30">
        <f t="shared" si="83"/>
        <v>0.9</v>
      </c>
      <c r="H265">
        <f t="shared" si="84"/>
        <v>4627.6529481931975</v>
      </c>
      <c r="I265">
        <f t="shared" si="76"/>
        <v>0</v>
      </c>
      <c r="J265">
        <f t="shared" si="77"/>
        <v>6083.8319084853065</v>
      </c>
      <c r="K265">
        <f t="shared" si="78"/>
        <v>6078.7203691632294</v>
      </c>
      <c r="L265">
        <f t="shared" si="85"/>
        <v>6078.7203691632294</v>
      </c>
      <c r="M265">
        <f t="shared" si="79"/>
        <v>0</v>
      </c>
      <c r="N265" s="29">
        <f t="shared" si="86"/>
        <v>6078.7203691632294</v>
      </c>
      <c r="O265" s="29">
        <f t="shared" si="80"/>
        <v>6077.195403943665</v>
      </c>
      <c r="P265" s="29">
        <f t="shared" si="87"/>
        <v>6077.195403943665</v>
      </c>
      <c r="Q265">
        <f t="shared" si="88"/>
        <v>0</v>
      </c>
      <c r="R265" s="29">
        <f t="shared" si="89"/>
        <v>6077.195403943665</v>
      </c>
      <c r="S265" s="29">
        <f t="shared" si="81"/>
        <v>6077.1954039436632</v>
      </c>
      <c r="T265" s="29">
        <f t="shared" si="90"/>
        <v>6077.1954039436632</v>
      </c>
      <c r="U265">
        <f t="shared" si="91"/>
        <v>0</v>
      </c>
      <c r="V265" s="29">
        <f t="shared" si="92"/>
        <v>6077.1954039436632</v>
      </c>
      <c r="W265" s="29">
        <f t="shared" si="82"/>
        <v>6077.1954039436632</v>
      </c>
      <c r="X265" s="29">
        <f t="shared" si="93"/>
        <v>6077.1954039436632</v>
      </c>
      <c r="Y265">
        <f t="shared" si="94"/>
        <v>0</v>
      </c>
    </row>
    <row r="266" spans="1:25" x14ac:dyDescent="0.25">
      <c r="A266" s="4" t="s">
        <v>1166</v>
      </c>
      <c r="B266" s="7" t="s">
        <v>233</v>
      </c>
      <c r="C266" s="2" t="s">
        <v>1167</v>
      </c>
      <c r="D266">
        <f>VLOOKUP(B266,'Model allocations'!$A$1:$L$317,4,FALSE)</f>
        <v>0</v>
      </c>
      <c r="E266" s="31">
        <f>VLOOKUP(B266,'Initial adjusted formula count'!$A$1:$P$317,12,FALSE)</f>
        <v>5.2346232940736599E-2</v>
      </c>
      <c r="F266">
        <f>VLOOKUP(B266,'Model allocations'!$A$1:$L$317,9,FALSE)</f>
        <v>0</v>
      </c>
      <c r="G266" s="30">
        <f t="shared" si="83"/>
        <v>0.85</v>
      </c>
      <c r="H266">
        <f t="shared" si="84"/>
        <v>0</v>
      </c>
      <c r="I266">
        <f t="shared" si="76"/>
        <v>0</v>
      </c>
      <c r="J266">
        <f t="shared" si="77"/>
        <v>0</v>
      </c>
      <c r="K266">
        <f t="shared" si="78"/>
        <v>0</v>
      </c>
      <c r="L266">
        <f t="shared" si="85"/>
        <v>0</v>
      </c>
      <c r="M266">
        <f t="shared" si="79"/>
        <v>0</v>
      </c>
      <c r="N266" s="29">
        <f t="shared" si="86"/>
        <v>0</v>
      </c>
      <c r="O266" s="29">
        <f t="shared" si="80"/>
        <v>0</v>
      </c>
      <c r="P266" s="29">
        <f t="shared" si="87"/>
        <v>0</v>
      </c>
      <c r="Q266">
        <f t="shared" si="88"/>
        <v>0</v>
      </c>
      <c r="R266" s="29">
        <f t="shared" si="89"/>
        <v>0</v>
      </c>
      <c r="S266" s="29">
        <f t="shared" si="81"/>
        <v>0</v>
      </c>
      <c r="T266" s="29">
        <f t="shared" si="90"/>
        <v>0</v>
      </c>
      <c r="U266">
        <f t="shared" si="91"/>
        <v>0</v>
      </c>
      <c r="V266" s="29">
        <f t="shared" si="92"/>
        <v>0</v>
      </c>
      <c r="W266" s="29">
        <f t="shared" si="82"/>
        <v>0</v>
      </c>
      <c r="X266" s="29">
        <f t="shared" si="93"/>
        <v>0</v>
      </c>
      <c r="Y266">
        <f t="shared" si="94"/>
        <v>0</v>
      </c>
    </row>
    <row r="267" spans="1:25" x14ac:dyDescent="0.25">
      <c r="A267" s="4" t="s">
        <v>1168</v>
      </c>
      <c r="B267" s="7" t="s">
        <v>600</v>
      </c>
      <c r="C267" s="2" t="s">
        <v>1169</v>
      </c>
      <c r="D267">
        <f>VLOOKUP(B267,'Model allocations'!$A$1:$L$317,4,FALSE)</f>
        <v>270212.3180559515</v>
      </c>
      <c r="E267" s="31">
        <f>VLOOKUP(B267,'Initial adjusted formula count'!$A$1:$P$317,12,FALSE)</f>
        <v>0.21151055940673899</v>
      </c>
      <c r="F267">
        <f>VLOOKUP(B267,'Model allocations'!$A$1:$L$317,9,FALSE)</f>
        <v>306999.51784356631</v>
      </c>
      <c r="G267" s="30">
        <f t="shared" si="83"/>
        <v>0.9</v>
      </c>
      <c r="H267">
        <f t="shared" si="84"/>
        <v>243191.08625035637</v>
      </c>
      <c r="I267">
        <f t="shared" si="76"/>
        <v>0</v>
      </c>
      <c r="J267">
        <f t="shared" si="77"/>
        <v>306999.51784356631</v>
      </c>
      <c r="K267">
        <f t="shared" si="78"/>
        <v>306741.58170546766</v>
      </c>
      <c r="L267">
        <f t="shared" si="85"/>
        <v>306741.58170546766</v>
      </c>
      <c r="M267">
        <f t="shared" si="79"/>
        <v>0</v>
      </c>
      <c r="N267" s="29">
        <f t="shared" si="86"/>
        <v>306741.58170546766</v>
      </c>
      <c r="O267" s="29">
        <f t="shared" si="80"/>
        <v>306664.6296143881</v>
      </c>
      <c r="P267" s="29">
        <f t="shared" si="87"/>
        <v>306664.6296143881</v>
      </c>
      <c r="Q267">
        <f t="shared" si="88"/>
        <v>0</v>
      </c>
      <c r="R267" s="29">
        <f t="shared" si="89"/>
        <v>306664.6296143881</v>
      </c>
      <c r="S267" s="29">
        <f t="shared" si="81"/>
        <v>306664.62961438805</v>
      </c>
      <c r="T267" s="29">
        <f t="shared" si="90"/>
        <v>306664.62961438805</v>
      </c>
      <c r="U267">
        <f t="shared" si="91"/>
        <v>0</v>
      </c>
      <c r="V267" s="29">
        <f t="shared" si="92"/>
        <v>306664.62961438805</v>
      </c>
      <c r="W267" s="29">
        <f t="shared" si="82"/>
        <v>306664.62961438805</v>
      </c>
      <c r="X267" s="29">
        <f t="shared" si="93"/>
        <v>306664.62961438805</v>
      </c>
      <c r="Y267">
        <f t="shared" si="94"/>
        <v>0</v>
      </c>
    </row>
    <row r="268" spans="1:25" x14ac:dyDescent="0.25">
      <c r="A268" s="4" t="s">
        <v>11</v>
      </c>
      <c r="B268" s="7" t="s">
        <v>67</v>
      </c>
      <c r="C268" s="2" t="s">
        <v>1170</v>
      </c>
      <c r="D268">
        <f>VLOOKUP(B268,'Model allocations'!$A$1:$L$317,4,FALSE)</f>
        <v>4132.1797824629894</v>
      </c>
      <c r="E268" s="31">
        <f>VLOOKUP(B268,'Initial adjusted formula count'!$A$1:$P$317,12,FALSE)</f>
        <v>0.194148516573487</v>
      </c>
      <c r="F268">
        <f>VLOOKUP(B268,'Model allocations'!$A$1:$L$317,9,FALSE)</f>
        <v>3904.5947454464667</v>
      </c>
      <c r="G268" s="30">
        <f t="shared" si="83"/>
        <v>0.9</v>
      </c>
      <c r="H268">
        <f t="shared" si="84"/>
        <v>3718.9618042166903</v>
      </c>
      <c r="I268">
        <f t="shared" si="76"/>
        <v>0</v>
      </c>
      <c r="J268">
        <f t="shared" si="77"/>
        <v>3904.5947454464667</v>
      </c>
      <c r="K268">
        <f t="shared" si="78"/>
        <v>3901.3141667128093</v>
      </c>
      <c r="L268">
        <f t="shared" si="85"/>
        <v>3901.3141667128093</v>
      </c>
      <c r="M268">
        <f t="shared" si="79"/>
        <v>0</v>
      </c>
      <c r="N268" s="29">
        <f t="shared" si="86"/>
        <v>3901.3141667128093</v>
      </c>
      <c r="O268" s="29">
        <f t="shared" si="80"/>
        <v>3900.3354461838949</v>
      </c>
      <c r="P268" s="29">
        <f t="shared" si="87"/>
        <v>3900.3354461838949</v>
      </c>
      <c r="Q268">
        <f t="shared" si="88"/>
        <v>0</v>
      </c>
      <c r="R268" s="29">
        <f t="shared" si="89"/>
        <v>3900.3354461838949</v>
      </c>
      <c r="S268" s="29">
        <f t="shared" si="81"/>
        <v>3900.3354461838944</v>
      </c>
      <c r="T268" s="29">
        <f t="shared" si="90"/>
        <v>3900.3354461838944</v>
      </c>
      <c r="U268">
        <f t="shared" si="91"/>
        <v>0</v>
      </c>
      <c r="V268" s="29">
        <f t="shared" si="92"/>
        <v>3900.3354461838944</v>
      </c>
      <c r="W268" s="29">
        <f t="shared" si="82"/>
        <v>3900.3354461838944</v>
      </c>
      <c r="X268" s="29">
        <f t="shared" si="93"/>
        <v>3900.3354461838944</v>
      </c>
      <c r="Y268">
        <f t="shared" si="94"/>
        <v>0</v>
      </c>
    </row>
    <row r="269" spans="1:25" x14ac:dyDescent="0.25">
      <c r="A269" s="4" t="s">
        <v>39</v>
      </c>
      <c r="B269" s="7" t="s">
        <v>62</v>
      </c>
      <c r="C269" s="2" t="s">
        <v>1171</v>
      </c>
      <c r="D269">
        <f>VLOOKUP(B269,'Model allocations'!$A$1:$L$317,4,FALSE)</f>
        <v>0</v>
      </c>
      <c r="E269" s="31">
        <f>VLOOKUP(B269,'Initial adjusted formula count'!$A$1:$P$317,12,FALSE)</f>
        <v>0.13322423799507099</v>
      </c>
      <c r="F269">
        <f>VLOOKUP(B269,'Model allocations'!$A$1:$L$317,9,FALSE)</f>
        <v>0</v>
      </c>
      <c r="G269" s="30">
        <f t="shared" si="83"/>
        <v>0.85</v>
      </c>
      <c r="H269">
        <f t="shared" si="84"/>
        <v>0</v>
      </c>
      <c r="I269">
        <f t="shared" si="76"/>
        <v>0</v>
      </c>
      <c r="J269">
        <f t="shared" si="77"/>
        <v>0</v>
      </c>
      <c r="K269">
        <f t="shared" si="78"/>
        <v>0</v>
      </c>
      <c r="L269">
        <f t="shared" si="85"/>
        <v>0</v>
      </c>
      <c r="M269">
        <f t="shared" si="79"/>
        <v>0</v>
      </c>
      <c r="N269" s="29">
        <f t="shared" si="86"/>
        <v>0</v>
      </c>
      <c r="O269" s="29">
        <f t="shared" si="80"/>
        <v>0</v>
      </c>
      <c r="P269" s="29">
        <f t="shared" si="87"/>
        <v>0</v>
      </c>
      <c r="Q269">
        <f t="shared" si="88"/>
        <v>0</v>
      </c>
      <c r="R269" s="29">
        <f t="shared" si="89"/>
        <v>0</v>
      </c>
      <c r="S269" s="29">
        <f t="shared" si="81"/>
        <v>0</v>
      </c>
      <c r="T269" s="29">
        <f t="shared" si="90"/>
        <v>0</v>
      </c>
      <c r="U269">
        <f t="shared" si="91"/>
        <v>0</v>
      </c>
      <c r="V269" s="29">
        <f t="shared" si="92"/>
        <v>0</v>
      </c>
      <c r="W269" s="29">
        <f t="shared" si="82"/>
        <v>0</v>
      </c>
      <c r="X269" s="29">
        <f t="shared" si="93"/>
        <v>0</v>
      </c>
      <c r="Y269">
        <f t="shared" si="94"/>
        <v>0</v>
      </c>
    </row>
    <row r="270" spans="1:25" x14ac:dyDescent="0.25">
      <c r="A270" s="4" t="s">
        <v>1172</v>
      </c>
      <c r="B270" s="7" t="s">
        <v>602</v>
      </c>
      <c r="C270" s="2" t="s">
        <v>1173</v>
      </c>
      <c r="D270">
        <f>VLOOKUP(B270,'Model allocations'!$A$1:$L$317,4,FALSE)</f>
        <v>19721.872207103839</v>
      </c>
      <c r="E270" s="31">
        <f>VLOOKUP(B270,'Initial adjusted formula count'!$A$1:$P$317,12,FALSE)</f>
        <v>0.155619596541787</v>
      </c>
      <c r="F270">
        <f>VLOOKUP(B270,'Model allocations'!$A$1:$L$317,9,FALSE)</f>
        <v>17749.684986393455</v>
      </c>
      <c r="G270" s="30">
        <f t="shared" si="83"/>
        <v>0.9</v>
      </c>
      <c r="H270">
        <f t="shared" si="84"/>
        <v>17749.684986393455</v>
      </c>
      <c r="I270">
        <f t="shared" si="76"/>
        <v>0</v>
      </c>
      <c r="J270">
        <f t="shared" si="77"/>
        <v>17749.684986393455</v>
      </c>
      <c r="K270">
        <f t="shared" si="78"/>
        <v>17734.771981871436</v>
      </c>
      <c r="L270">
        <f t="shared" si="85"/>
        <v>17734.771981871436</v>
      </c>
      <c r="M270">
        <f t="shared" si="79"/>
        <v>17749.684986393455</v>
      </c>
      <c r="N270" s="29">
        <f t="shared" si="86"/>
        <v>0</v>
      </c>
      <c r="O270" s="29">
        <f t="shared" si="80"/>
        <v>0</v>
      </c>
      <c r="P270" s="29">
        <f t="shared" si="87"/>
        <v>17749.684986393455</v>
      </c>
      <c r="Q270">
        <f t="shared" si="88"/>
        <v>0</v>
      </c>
      <c r="R270" s="29">
        <f t="shared" si="89"/>
        <v>0</v>
      </c>
      <c r="S270" s="29">
        <f t="shared" si="81"/>
        <v>0</v>
      </c>
      <c r="T270" s="29">
        <f t="shared" si="90"/>
        <v>17749.684986393455</v>
      </c>
      <c r="U270">
        <f t="shared" si="91"/>
        <v>0</v>
      </c>
      <c r="V270" s="29">
        <f t="shared" si="92"/>
        <v>0</v>
      </c>
      <c r="W270" s="29">
        <f t="shared" si="82"/>
        <v>0</v>
      </c>
      <c r="X270" s="29">
        <f t="shared" si="93"/>
        <v>17749.684986393455</v>
      </c>
      <c r="Y270">
        <f t="shared" si="94"/>
        <v>0</v>
      </c>
    </row>
    <row r="271" spans="1:25" x14ac:dyDescent="0.25">
      <c r="A271" s="4" t="s">
        <v>1174</v>
      </c>
      <c r="B271" s="7" t="s">
        <v>235</v>
      </c>
      <c r="C271" s="2" t="s">
        <v>1175</v>
      </c>
      <c r="D271">
        <f>VLOOKUP(B271,'Model allocations'!$A$1:$L$317,4,FALSE)</f>
        <v>0</v>
      </c>
      <c r="E271" s="31">
        <f>VLOOKUP(B271,'Initial adjusted formula count'!$A$1:$P$317,12,FALSE)</f>
        <v>4.5739417262231997E-2</v>
      </c>
      <c r="F271">
        <f>VLOOKUP(B271,'Model allocations'!$A$1:$L$317,9,FALSE)</f>
        <v>0</v>
      </c>
      <c r="G271" s="30">
        <f t="shared" si="83"/>
        <v>0.85</v>
      </c>
      <c r="H271">
        <f t="shared" si="84"/>
        <v>0</v>
      </c>
      <c r="I271">
        <f t="shared" si="76"/>
        <v>0</v>
      </c>
      <c r="J271">
        <f t="shared" si="77"/>
        <v>0</v>
      </c>
      <c r="K271">
        <f t="shared" si="78"/>
        <v>0</v>
      </c>
      <c r="L271">
        <f t="shared" si="85"/>
        <v>0</v>
      </c>
      <c r="M271">
        <f t="shared" si="79"/>
        <v>0</v>
      </c>
      <c r="N271" s="29">
        <f t="shared" si="86"/>
        <v>0</v>
      </c>
      <c r="O271" s="29">
        <f t="shared" si="80"/>
        <v>0</v>
      </c>
      <c r="P271" s="29">
        <f t="shared" si="87"/>
        <v>0</v>
      </c>
      <c r="Q271">
        <f t="shared" si="88"/>
        <v>0</v>
      </c>
      <c r="R271" s="29">
        <f t="shared" si="89"/>
        <v>0</v>
      </c>
      <c r="S271" s="29">
        <f t="shared" si="81"/>
        <v>0</v>
      </c>
      <c r="T271" s="29">
        <f t="shared" si="90"/>
        <v>0</v>
      </c>
      <c r="U271">
        <f t="shared" si="91"/>
        <v>0</v>
      </c>
      <c r="V271" s="29">
        <f t="shared" si="92"/>
        <v>0</v>
      </c>
      <c r="W271" s="29">
        <f t="shared" si="82"/>
        <v>0</v>
      </c>
      <c r="X271" s="29">
        <f t="shared" si="93"/>
        <v>0</v>
      </c>
      <c r="Y271">
        <f t="shared" si="94"/>
        <v>0</v>
      </c>
    </row>
    <row r="272" spans="1:25" x14ac:dyDescent="0.25">
      <c r="A272" s="4" t="s">
        <v>1176</v>
      </c>
      <c r="B272" s="7" t="s">
        <v>237</v>
      </c>
      <c r="C272" s="2" t="s">
        <v>1177</v>
      </c>
      <c r="D272">
        <f>VLOOKUP(B272,'Model allocations'!$A$1:$L$317,4,FALSE)</f>
        <v>6347.2692160794022</v>
      </c>
      <c r="E272" s="31">
        <f>VLOOKUP(B272,'Initial adjusted formula count'!$A$1:$P$317,12,FALSE)</f>
        <v>0.124260355029586</v>
      </c>
      <c r="F272">
        <f>VLOOKUP(B272,'Model allocations'!$A$1:$L$317,9,FALSE)</f>
        <v>5395.1788336674917</v>
      </c>
      <c r="G272" s="30">
        <f t="shared" si="83"/>
        <v>0.85</v>
      </c>
      <c r="H272">
        <f t="shared" si="84"/>
        <v>5395.1788336674917</v>
      </c>
      <c r="I272">
        <f t="shared" si="76"/>
        <v>0</v>
      </c>
      <c r="J272">
        <f t="shared" si="77"/>
        <v>5395.1788336674917</v>
      </c>
      <c r="K272">
        <f t="shared" si="78"/>
        <v>5390.6458897642478</v>
      </c>
      <c r="L272">
        <f t="shared" si="85"/>
        <v>5390.6458897642478</v>
      </c>
      <c r="M272">
        <f t="shared" si="79"/>
        <v>5395.1788336674917</v>
      </c>
      <c r="N272" s="29">
        <f t="shared" si="86"/>
        <v>0</v>
      </c>
      <c r="O272" s="29">
        <f t="shared" si="80"/>
        <v>0</v>
      </c>
      <c r="P272" s="29">
        <f t="shared" si="87"/>
        <v>5395.1788336674917</v>
      </c>
      <c r="Q272">
        <f t="shared" si="88"/>
        <v>0</v>
      </c>
      <c r="R272" s="29">
        <f t="shared" si="89"/>
        <v>0</v>
      </c>
      <c r="S272" s="29">
        <f t="shared" si="81"/>
        <v>0</v>
      </c>
      <c r="T272" s="29">
        <f t="shared" si="90"/>
        <v>5395.1788336674917</v>
      </c>
      <c r="U272">
        <f t="shared" si="91"/>
        <v>0</v>
      </c>
      <c r="V272" s="29">
        <f t="shared" si="92"/>
        <v>0</v>
      </c>
      <c r="W272" s="29">
        <f t="shared" si="82"/>
        <v>0</v>
      </c>
      <c r="X272" s="29">
        <f t="shared" si="93"/>
        <v>5395.1788336674917</v>
      </c>
      <c r="Y272">
        <f t="shared" si="94"/>
        <v>0</v>
      </c>
    </row>
    <row r="273" spans="1:25" x14ac:dyDescent="0.25">
      <c r="A273" s="4" t="s">
        <v>1178</v>
      </c>
      <c r="B273" s="7" t="s">
        <v>304</v>
      </c>
      <c r="C273" s="2" t="s">
        <v>1179</v>
      </c>
      <c r="D273">
        <f>VLOOKUP(B273,'Model allocations'!$A$1:$L$317,4,FALSE)</f>
        <v>0</v>
      </c>
      <c r="E273" s="31">
        <f>VLOOKUP(B273,'Initial adjusted formula count'!$A$1:$P$317,12,FALSE)</f>
        <v>8.4050297816015904E-2</v>
      </c>
      <c r="F273">
        <f>VLOOKUP(B273,'Model allocations'!$A$1:$L$317,9,FALSE)</f>
        <v>0</v>
      </c>
      <c r="G273" s="30">
        <f t="shared" si="83"/>
        <v>0.85</v>
      </c>
      <c r="H273">
        <f t="shared" si="84"/>
        <v>0</v>
      </c>
      <c r="I273">
        <f t="shared" si="76"/>
        <v>0</v>
      </c>
      <c r="J273">
        <f t="shared" si="77"/>
        <v>0</v>
      </c>
      <c r="K273">
        <f t="shared" si="78"/>
        <v>0</v>
      </c>
      <c r="L273">
        <f t="shared" si="85"/>
        <v>0</v>
      </c>
      <c r="M273">
        <f t="shared" si="79"/>
        <v>0</v>
      </c>
      <c r="N273" s="29">
        <f t="shared" si="86"/>
        <v>0</v>
      </c>
      <c r="O273" s="29">
        <f t="shared" si="80"/>
        <v>0</v>
      </c>
      <c r="P273" s="29">
        <f t="shared" si="87"/>
        <v>0</v>
      </c>
      <c r="Q273">
        <f t="shared" si="88"/>
        <v>0</v>
      </c>
      <c r="R273" s="29">
        <f t="shared" si="89"/>
        <v>0</v>
      </c>
      <c r="S273" s="29">
        <f t="shared" si="81"/>
        <v>0</v>
      </c>
      <c r="T273" s="29">
        <f t="shared" si="90"/>
        <v>0</v>
      </c>
      <c r="U273">
        <f t="shared" si="91"/>
        <v>0</v>
      </c>
      <c r="V273" s="29">
        <f t="shared" si="92"/>
        <v>0</v>
      </c>
      <c r="W273" s="29">
        <f t="shared" si="82"/>
        <v>0</v>
      </c>
      <c r="X273" s="29">
        <f t="shared" si="93"/>
        <v>0</v>
      </c>
      <c r="Y273">
        <f t="shared" si="94"/>
        <v>0</v>
      </c>
    </row>
    <row r="274" spans="1:25" x14ac:dyDescent="0.25">
      <c r="A274" s="4" t="s">
        <v>1180</v>
      </c>
      <c r="B274" s="7" t="s">
        <v>239</v>
      </c>
      <c r="C274" s="2" t="s">
        <v>1181</v>
      </c>
      <c r="D274">
        <f>VLOOKUP(B274,'Model allocations'!$A$1:$L$317,4,FALSE)</f>
        <v>5575.6129485546735</v>
      </c>
      <c r="E274" s="31">
        <f>VLOOKUP(B274,'Initial adjusted formula count'!$A$1:$P$317,12,FALSE)</f>
        <v>0.14903846153846201</v>
      </c>
      <c r="F274">
        <f>VLOOKUP(B274,'Model allocations'!$A$1:$L$317,9,FALSE)</f>
        <v>4739.2710062714723</v>
      </c>
      <c r="G274" s="30">
        <f t="shared" si="83"/>
        <v>0.85</v>
      </c>
      <c r="H274">
        <f t="shared" si="84"/>
        <v>4739.2710062714723</v>
      </c>
      <c r="I274">
        <f t="shared" si="76"/>
        <v>0</v>
      </c>
      <c r="J274">
        <f t="shared" si="77"/>
        <v>4739.2710062714723</v>
      </c>
      <c r="K274">
        <f t="shared" si="78"/>
        <v>4735.2891457482147</v>
      </c>
      <c r="L274">
        <f t="shared" si="85"/>
        <v>4735.2891457482147</v>
      </c>
      <c r="M274">
        <f t="shared" si="79"/>
        <v>4739.2710062714723</v>
      </c>
      <c r="N274" s="29">
        <f t="shared" si="86"/>
        <v>0</v>
      </c>
      <c r="O274" s="29">
        <f t="shared" si="80"/>
        <v>0</v>
      </c>
      <c r="P274" s="29">
        <f t="shared" si="87"/>
        <v>4739.2710062714723</v>
      </c>
      <c r="Q274">
        <f t="shared" si="88"/>
        <v>0</v>
      </c>
      <c r="R274" s="29">
        <f t="shared" si="89"/>
        <v>0</v>
      </c>
      <c r="S274" s="29">
        <f t="shared" si="81"/>
        <v>0</v>
      </c>
      <c r="T274" s="29">
        <f t="shared" si="90"/>
        <v>4739.2710062714723</v>
      </c>
      <c r="U274">
        <f t="shared" si="91"/>
        <v>0</v>
      </c>
      <c r="V274" s="29">
        <f t="shared" si="92"/>
        <v>0</v>
      </c>
      <c r="W274" s="29">
        <f t="shared" si="82"/>
        <v>0</v>
      </c>
      <c r="X274" s="29">
        <f t="shared" si="93"/>
        <v>4739.2710062714723</v>
      </c>
      <c r="Y274">
        <f t="shared" si="94"/>
        <v>0</v>
      </c>
    </row>
    <row r="275" spans="1:25" x14ac:dyDescent="0.25">
      <c r="A275" s="4" t="s">
        <v>1182</v>
      </c>
      <c r="B275" s="7" t="s">
        <v>241</v>
      </c>
      <c r="C275" s="2" t="s">
        <v>1183</v>
      </c>
      <c r="D275">
        <f>VLOOKUP(B275,'Model allocations'!$A$1:$L$317,4,FALSE)</f>
        <v>0</v>
      </c>
      <c r="E275" s="31">
        <f>VLOOKUP(B275,'Initial adjusted formula count'!$A$1:$P$317,12,FALSE)</f>
        <v>8.7962962962963007E-2</v>
      </c>
      <c r="F275">
        <f>VLOOKUP(B275,'Model allocations'!$A$1:$L$317,9,FALSE)</f>
        <v>0</v>
      </c>
      <c r="G275" s="30">
        <f t="shared" si="83"/>
        <v>0.85</v>
      </c>
      <c r="H275">
        <f t="shared" si="84"/>
        <v>0</v>
      </c>
      <c r="I275">
        <f t="shared" si="76"/>
        <v>0</v>
      </c>
      <c r="J275">
        <f t="shared" si="77"/>
        <v>0</v>
      </c>
      <c r="K275">
        <f t="shared" si="78"/>
        <v>0</v>
      </c>
      <c r="L275">
        <f t="shared" si="85"/>
        <v>0</v>
      </c>
      <c r="M275">
        <f t="shared" si="79"/>
        <v>0</v>
      </c>
      <c r="N275" s="29">
        <f t="shared" si="86"/>
        <v>0</v>
      </c>
      <c r="O275" s="29">
        <f t="shared" si="80"/>
        <v>0</v>
      </c>
      <c r="P275" s="29">
        <f t="shared" si="87"/>
        <v>0</v>
      </c>
      <c r="Q275">
        <f t="shared" si="88"/>
        <v>0</v>
      </c>
      <c r="R275" s="29">
        <f t="shared" si="89"/>
        <v>0</v>
      </c>
      <c r="S275" s="29">
        <f t="shared" si="81"/>
        <v>0</v>
      </c>
      <c r="T275" s="29">
        <f t="shared" si="90"/>
        <v>0</v>
      </c>
      <c r="U275">
        <f t="shared" si="91"/>
        <v>0</v>
      </c>
      <c r="V275" s="29">
        <f t="shared" si="92"/>
        <v>0</v>
      </c>
      <c r="W275" s="29">
        <f t="shared" si="82"/>
        <v>0</v>
      </c>
      <c r="X275" s="29">
        <f t="shared" si="93"/>
        <v>0</v>
      </c>
      <c r="Y275">
        <f t="shared" si="94"/>
        <v>0</v>
      </c>
    </row>
    <row r="276" spans="1:25" x14ac:dyDescent="0.25">
      <c r="A276" s="8" t="s">
        <v>1184</v>
      </c>
      <c r="B276" s="7" t="s">
        <v>604</v>
      </c>
      <c r="C276" s="2" t="s">
        <v>1185</v>
      </c>
      <c r="D276">
        <f>VLOOKUP(B276,'Model allocations'!$A$1:$L$317,4,FALSE)</f>
        <v>65645.822170462285</v>
      </c>
      <c r="E276" s="31">
        <f>VLOOKUP(B276,'Initial adjusted formula count'!$A$1:$P$317,12,FALSE)</f>
        <v>0.24454545454545501</v>
      </c>
      <c r="F276">
        <f>VLOOKUP(B276,'Model allocations'!$A$1:$L$317,9,FALSE)</f>
        <v>62944.260899328714</v>
      </c>
      <c r="G276" s="30">
        <f t="shared" si="83"/>
        <v>0.9</v>
      </c>
      <c r="H276">
        <f t="shared" si="84"/>
        <v>59081.239953416058</v>
      </c>
      <c r="I276">
        <f t="shared" si="76"/>
        <v>0</v>
      </c>
      <c r="J276">
        <f t="shared" si="77"/>
        <v>62944.260899328714</v>
      </c>
      <c r="K276">
        <f t="shared" si="78"/>
        <v>62891.376127111842</v>
      </c>
      <c r="L276">
        <f t="shared" si="85"/>
        <v>62891.376127111842</v>
      </c>
      <c r="M276">
        <f t="shared" si="79"/>
        <v>0</v>
      </c>
      <c r="N276" s="29">
        <f t="shared" si="86"/>
        <v>62891.376127111842</v>
      </c>
      <c r="O276" s="29">
        <f t="shared" si="80"/>
        <v>62875.5986023402</v>
      </c>
      <c r="P276" s="29">
        <f t="shared" si="87"/>
        <v>62875.5986023402</v>
      </c>
      <c r="Q276">
        <f t="shared" si="88"/>
        <v>0</v>
      </c>
      <c r="R276" s="29">
        <f t="shared" si="89"/>
        <v>62875.5986023402</v>
      </c>
      <c r="S276" s="29">
        <f t="shared" si="81"/>
        <v>62875.598602340193</v>
      </c>
      <c r="T276" s="29">
        <f t="shared" si="90"/>
        <v>62875.598602340193</v>
      </c>
      <c r="U276">
        <f t="shared" si="91"/>
        <v>0</v>
      </c>
      <c r="V276" s="29">
        <f t="shared" si="92"/>
        <v>62875.598602340193</v>
      </c>
      <c r="W276" s="29">
        <f t="shared" si="82"/>
        <v>62875.598602340193</v>
      </c>
      <c r="X276" s="29">
        <f t="shared" si="93"/>
        <v>62875.598602340193</v>
      </c>
      <c r="Y276">
        <f t="shared" si="94"/>
        <v>0</v>
      </c>
    </row>
    <row r="277" spans="1:25" x14ac:dyDescent="0.25">
      <c r="A277" s="4" t="s">
        <v>1186</v>
      </c>
      <c r="B277" s="7" t="s">
        <v>606</v>
      </c>
      <c r="C277" s="2" t="s">
        <v>1187</v>
      </c>
      <c r="D277">
        <f>VLOOKUP(B277,'Model allocations'!$A$1:$L$317,4,FALSE)</f>
        <v>163668.87050033311</v>
      </c>
      <c r="E277" s="31">
        <f>VLOOKUP(B277,'Initial adjusted formula count'!$A$1:$P$317,12,FALSE)</f>
        <v>0.19412442396313401</v>
      </c>
      <c r="F277">
        <f>VLOOKUP(B277,'Model allocations'!$A$1:$L$317,9,FALSE)</f>
        <v>157711.64255073445</v>
      </c>
      <c r="G277" s="30">
        <f t="shared" si="83"/>
        <v>0.9</v>
      </c>
      <c r="H277">
        <f t="shared" si="84"/>
        <v>147301.9834502998</v>
      </c>
      <c r="I277">
        <f t="shared" si="76"/>
        <v>0</v>
      </c>
      <c r="J277">
        <f t="shared" si="77"/>
        <v>157711.64255073445</v>
      </c>
      <c r="K277">
        <f t="shared" si="78"/>
        <v>157579.13572369292</v>
      </c>
      <c r="L277">
        <f t="shared" si="85"/>
        <v>157579.13572369292</v>
      </c>
      <c r="M277">
        <f t="shared" si="79"/>
        <v>0</v>
      </c>
      <c r="N277" s="29">
        <f t="shared" si="86"/>
        <v>157579.13572369292</v>
      </c>
      <c r="O277" s="29">
        <f t="shared" si="80"/>
        <v>157539.60393300114</v>
      </c>
      <c r="P277" s="29">
        <f t="shared" si="87"/>
        <v>157539.60393300114</v>
      </c>
      <c r="Q277">
        <f t="shared" si="88"/>
        <v>0</v>
      </c>
      <c r="R277" s="29">
        <f t="shared" si="89"/>
        <v>157539.60393300114</v>
      </c>
      <c r="S277" s="29">
        <f t="shared" si="81"/>
        <v>157539.60393300111</v>
      </c>
      <c r="T277" s="29">
        <f t="shared" si="90"/>
        <v>157539.60393300111</v>
      </c>
      <c r="U277">
        <f t="shared" si="91"/>
        <v>0</v>
      </c>
      <c r="V277" s="29">
        <f t="shared" si="92"/>
        <v>157539.60393300111</v>
      </c>
      <c r="W277" s="29">
        <f t="shared" si="82"/>
        <v>157539.60393300111</v>
      </c>
      <c r="X277" s="29">
        <f t="shared" si="93"/>
        <v>157539.60393300111</v>
      </c>
      <c r="Y277">
        <f t="shared" si="94"/>
        <v>0</v>
      </c>
    </row>
    <row r="278" spans="1:25" x14ac:dyDescent="0.25">
      <c r="A278" s="4" t="s">
        <v>1188</v>
      </c>
      <c r="B278" s="7" t="s">
        <v>243</v>
      </c>
      <c r="C278" s="2" t="s">
        <v>1189</v>
      </c>
      <c r="D278">
        <f>VLOOKUP(B278,'Model allocations'!$A$1:$L$317,4,FALSE)</f>
        <v>0</v>
      </c>
      <c r="E278" s="31">
        <f>VLOOKUP(B278,'Initial adjusted formula count'!$A$1:$P$317,12,FALSE)</f>
        <v>0.10958904109589</v>
      </c>
      <c r="F278">
        <f>VLOOKUP(B278,'Model allocations'!$A$1:$L$317,9,FALSE)</f>
        <v>0</v>
      </c>
      <c r="G278" s="30">
        <f t="shared" si="83"/>
        <v>0.85</v>
      </c>
      <c r="H278">
        <f t="shared" si="84"/>
        <v>0</v>
      </c>
      <c r="I278">
        <f t="shared" si="76"/>
        <v>0</v>
      </c>
      <c r="J278">
        <f t="shared" si="77"/>
        <v>0</v>
      </c>
      <c r="K278">
        <f t="shared" si="78"/>
        <v>0</v>
      </c>
      <c r="L278">
        <f t="shared" si="85"/>
        <v>0</v>
      </c>
      <c r="M278">
        <f t="shared" si="79"/>
        <v>0</v>
      </c>
      <c r="N278" s="29">
        <f t="shared" si="86"/>
        <v>0</v>
      </c>
      <c r="O278" s="29">
        <f t="shared" si="80"/>
        <v>0</v>
      </c>
      <c r="P278" s="29">
        <f t="shared" si="87"/>
        <v>0</v>
      </c>
      <c r="Q278">
        <f t="shared" si="88"/>
        <v>0</v>
      </c>
      <c r="R278" s="29">
        <f t="shared" si="89"/>
        <v>0</v>
      </c>
      <c r="S278" s="29">
        <f t="shared" si="81"/>
        <v>0</v>
      </c>
      <c r="T278" s="29">
        <f t="shared" si="90"/>
        <v>0</v>
      </c>
      <c r="U278">
        <f t="shared" si="91"/>
        <v>0</v>
      </c>
      <c r="V278" s="29">
        <f t="shared" si="92"/>
        <v>0</v>
      </c>
      <c r="W278" s="29">
        <f t="shared" si="82"/>
        <v>0</v>
      </c>
      <c r="X278" s="29">
        <f t="shared" si="93"/>
        <v>0</v>
      </c>
      <c r="Y278">
        <f t="shared" si="94"/>
        <v>0</v>
      </c>
    </row>
    <row r="279" spans="1:25" x14ac:dyDescent="0.25">
      <c r="A279" s="4" t="s">
        <v>1190</v>
      </c>
      <c r="B279" s="7" t="s">
        <v>245</v>
      </c>
      <c r="C279" s="2" t="s">
        <v>1191</v>
      </c>
      <c r="D279">
        <f>VLOOKUP(B279,'Model allocations'!$A$1:$L$317,4,FALSE)</f>
        <v>0</v>
      </c>
      <c r="E279" s="31">
        <f>VLOOKUP(B279,'Initial adjusted formula count'!$A$1:$P$317,12,FALSE)</f>
        <v>9.3589743589743604E-2</v>
      </c>
      <c r="F279">
        <f>VLOOKUP(B279,'Model allocations'!$A$1:$L$317,9,FALSE)</f>
        <v>0</v>
      </c>
      <c r="G279" s="30">
        <f t="shared" si="83"/>
        <v>0.85</v>
      </c>
      <c r="H279">
        <f t="shared" si="84"/>
        <v>0</v>
      </c>
      <c r="I279">
        <f t="shared" si="76"/>
        <v>0</v>
      </c>
      <c r="J279">
        <f t="shared" si="77"/>
        <v>0</v>
      </c>
      <c r="K279">
        <f t="shared" si="78"/>
        <v>0</v>
      </c>
      <c r="L279">
        <f t="shared" si="85"/>
        <v>0</v>
      </c>
      <c r="M279">
        <f t="shared" si="79"/>
        <v>0</v>
      </c>
      <c r="N279" s="29">
        <f t="shared" si="86"/>
        <v>0</v>
      </c>
      <c r="O279" s="29">
        <f t="shared" si="80"/>
        <v>0</v>
      </c>
      <c r="P279" s="29">
        <f t="shared" si="87"/>
        <v>0</v>
      </c>
      <c r="Q279">
        <f t="shared" si="88"/>
        <v>0</v>
      </c>
      <c r="R279" s="29">
        <f t="shared" si="89"/>
        <v>0</v>
      </c>
      <c r="S279" s="29">
        <f t="shared" si="81"/>
        <v>0</v>
      </c>
      <c r="T279" s="29">
        <f t="shared" si="90"/>
        <v>0</v>
      </c>
      <c r="U279">
        <f t="shared" si="91"/>
        <v>0</v>
      </c>
      <c r="V279" s="29">
        <f t="shared" si="92"/>
        <v>0</v>
      </c>
      <c r="W279" s="29">
        <f t="shared" si="82"/>
        <v>0</v>
      </c>
      <c r="X279" s="29">
        <f t="shared" si="93"/>
        <v>0</v>
      </c>
      <c r="Y279">
        <f t="shared" si="94"/>
        <v>0</v>
      </c>
    </row>
    <row r="280" spans="1:25" x14ac:dyDescent="0.25">
      <c r="A280" s="4" t="s">
        <v>1192</v>
      </c>
      <c r="B280" s="7" t="s">
        <v>608</v>
      </c>
      <c r="C280" s="2" t="s">
        <v>1193</v>
      </c>
      <c r="D280">
        <f>VLOOKUP(B280,'Model allocations'!$A$1:$L$317,4,FALSE)</f>
        <v>9141.0428606285368</v>
      </c>
      <c r="E280" s="31">
        <f>VLOOKUP(B280,'Initial adjusted formula count'!$A$1:$P$317,12,FALSE)</f>
        <v>0.222772277227723</v>
      </c>
      <c r="F280">
        <f>VLOOKUP(B280,'Model allocations'!$A$1:$L$317,9,FALSE)</f>
        <v>10529.709072378413</v>
      </c>
      <c r="G280" s="30">
        <f t="shared" si="83"/>
        <v>0.9</v>
      </c>
      <c r="H280">
        <f t="shared" si="84"/>
        <v>8226.9385745656837</v>
      </c>
      <c r="I280">
        <f t="shared" si="76"/>
        <v>0</v>
      </c>
      <c r="J280">
        <f t="shared" si="77"/>
        <v>10529.709072378413</v>
      </c>
      <c r="K280">
        <f t="shared" si="78"/>
        <v>10520.862177397896</v>
      </c>
      <c r="L280">
        <f t="shared" si="85"/>
        <v>10520.862177397896</v>
      </c>
      <c r="M280">
        <f t="shared" si="79"/>
        <v>0</v>
      </c>
      <c r="N280" s="29">
        <f t="shared" si="86"/>
        <v>10520.862177397896</v>
      </c>
      <c r="O280" s="29">
        <f t="shared" si="80"/>
        <v>10518.22281451788</v>
      </c>
      <c r="P280" s="29">
        <f t="shared" si="87"/>
        <v>10518.22281451788</v>
      </c>
      <c r="Q280">
        <f t="shared" si="88"/>
        <v>0</v>
      </c>
      <c r="R280" s="29">
        <f t="shared" si="89"/>
        <v>10518.22281451788</v>
      </c>
      <c r="S280" s="29">
        <f t="shared" si="81"/>
        <v>10518.222814517878</v>
      </c>
      <c r="T280" s="29">
        <f t="shared" si="90"/>
        <v>10518.222814517878</v>
      </c>
      <c r="U280">
        <f t="shared" si="91"/>
        <v>0</v>
      </c>
      <c r="V280" s="29">
        <f t="shared" si="92"/>
        <v>10518.222814517878</v>
      </c>
      <c r="W280" s="29">
        <f t="shared" si="82"/>
        <v>10518.222814517878</v>
      </c>
      <c r="X280" s="29">
        <f t="shared" si="93"/>
        <v>10518.222814517878</v>
      </c>
      <c r="Y280">
        <f t="shared" si="94"/>
        <v>0</v>
      </c>
    </row>
    <row r="281" spans="1:25" x14ac:dyDescent="0.25">
      <c r="A281" s="4" t="s">
        <v>43</v>
      </c>
      <c r="B281" s="7" t="s">
        <v>60</v>
      </c>
      <c r="C281" s="2" t="s">
        <v>1194</v>
      </c>
      <c r="D281">
        <f>VLOOKUP(B281,'Model allocations'!$A$1:$L$317,4,FALSE)</f>
        <v>103359.49179727057</v>
      </c>
      <c r="E281" s="31">
        <f>VLOOKUP(B281,'Initial adjusted formula count'!$A$1:$P$317,12,FALSE)</f>
        <v>0.223686849909671</v>
      </c>
      <c r="F281">
        <f>VLOOKUP(B281,'Model allocations'!$A$1:$L$317,9,FALSE)</f>
        <v>118140.43183610703</v>
      </c>
      <c r="G281" s="30">
        <f t="shared" si="83"/>
        <v>0.9</v>
      </c>
      <c r="H281">
        <f t="shared" si="84"/>
        <v>93023.542617543513</v>
      </c>
      <c r="I281">
        <f t="shared" si="76"/>
        <v>0</v>
      </c>
      <c r="J281">
        <f t="shared" si="77"/>
        <v>118140.43183610703</v>
      </c>
      <c r="K281">
        <f t="shared" si="78"/>
        <v>118041.1721142835</v>
      </c>
      <c r="L281">
        <f t="shared" si="85"/>
        <v>118041.1721142835</v>
      </c>
      <c r="M281">
        <f t="shared" si="79"/>
        <v>0</v>
      </c>
      <c r="N281" s="29">
        <f t="shared" si="86"/>
        <v>118041.1721142835</v>
      </c>
      <c r="O281" s="29">
        <f t="shared" si="80"/>
        <v>118011.55919067148</v>
      </c>
      <c r="P281" s="29">
        <f t="shared" si="87"/>
        <v>118011.55919067148</v>
      </c>
      <c r="Q281">
        <f t="shared" si="88"/>
        <v>0</v>
      </c>
      <c r="R281" s="29">
        <f t="shared" si="89"/>
        <v>118011.55919067148</v>
      </c>
      <c r="S281" s="29">
        <f t="shared" si="81"/>
        <v>118011.55919067147</v>
      </c>
      <c r="T281" s="29">
        <f t="shared" si="90"/>
        <v>118011.55919067147</v>
      </c>
      <c r="U281">
        <f t="shared" si="91"/>
        <v>0</v>
      </c>
      <c r="V281" s="29">
        <f t="shared" si="92"/>
        <v>118011.55919067147</v>
      </c>
      <c r="W281" s="29">
        <f t="shared" si="82"/>
        <v>118011.55919067147</v>
      </c>
      <c r="X281" s="29">
        <f t="shared" si="93"/>
        <v>118011.55919067147</v>
      </c>
      <c r="Y281">
        <f t="shared" si="94"/>
        <v>0</v>
      </c>
    </row>
    <row r="282" spans="1:25" x14ac:dyDescent="0.25">
      <c r="A282" s="4" t="s">
        <v>1195</v>
      </c>
      <c r="B282" s="7" t="s">
        <v>247</v>
      </c>
      <c r="C282" s="2" t="s">
        <v>1196</v>
      </c>
      <c r="D282">
        <f>VLOOKUP(B282,'Model allocations'!$A$1:$L$317,4,FALSE)</f>
        <v>0</v>
      </c>
      <c r="E282" s="31">
        <f>VLOOKUP(B282,'Initial adjusted formula count'!$A$1:$P$317,12,FALSE)</f>
        <v>9.2996222028480097E-2</v>
      </c>
      <c r="F282">
        <f>VLOOKUP(B282,'Model allocations'!$A$1:$L$317,9,FALSE)</f>
        <v>0</v>
      </c>
      <c r="G282" s="30">
        <f t="shared" si="83"/>
        <v>0.85</v>
      </c>
      <c r="H282">
        <f t="shared" si="84"/>
        <v>0</v>
      </c>
      <c r="I282">
        <f t="shared" si="76"/>
        <v>0</v>
      </c>
      <c r="J282">
        <f t="shared" si="77"/>
        <v>0</v>
      </c>
      <c r="K282">
        <f t="shared" si="78"/>
        <v>0</v>
      </c>
      <c r="L282">
        <f t="shared" si="85"/>
        <v>0</v>
      </c>
      <c r="M282">
        <f t="shared" si="79"/>
        <v>0</v>
      </c>
      <c r="N282" s="29">
        <f t="shared" si="86"/>
        <v>0</v>
      </c>
      <c r="O282" s="29">
        <f t="shared" si="80"/>
        <v>0</v>
      </c>
      <c r="P282" s="29">
        <f t="shared" si="87"/>
        <v>0</v>
      </c>
      <c r="Q282">
        <f t="shared" si="88"/>
        <v>0</v>
      </c>
      <c r="R282" s="29">
        <f t="shared" si="89"/>
        <v>0</v>
      </c>
      <c r="S282" s="29">
        <f t="shared" si="81"/>
        <v>0</v>
      </c>
      <c r="T282" s="29">
        <f t="shared" si="90"/>
        <v>0</v>
      </c>
      <c r="U282">
        <f t="shared" si="91"/>
        <v>0</v>
      </c>
      <c r="V282" s="29">
        <f t="shared" si="92"/>
        <v>0</v>
      </c>
      <c r="W282" s="29">
        <f t="shared" si="82"/>
        <v>0</v>
      </c>
      <c r="X282" s="29">
        <f t="shared" si="93"/>
        <v>0</v>
      </c>
      <c r="Y282">
        <f t="shared" si="94"/>
        <v>0</v>
      </c>
    </row>
    <row r="283" spans="1:25" x14ac:dyDescent="0.25">
      <c r="A283" s="4" t="s">
        <v>1197</v>
      </c>
      <c r="B283" s="7" t="s">
        <v>610</v>
      </c>
      <c r="C283" s="2" t="s">
        <v>1198</v>
      </c>
      <c r="D283">
        <f>VLOOKUP(B283,'Model allocations'!$A$1:$L$317,4,FALSE)</f>
        <v>45791.013630287074</v>
      </c>
      <c r="E283" s="31">
        <f>VLOOKUP(B283,'Initial adjusted formula count'!$A$1:$P$317,12,FALSE)</f>
        <v>0.31358024691358</v>
      </c>
      <c r="F283">
        <f>VLOOKUP(B283,'Model allocations'!$A$1:$L$317,9,FALSE)</f>
        <v>59434.357875202586</v>
      </c>
      <c r="G283" s="30">
        <f t="shared" si="83"/>
        <v>0.95</v>
      </c>
      <c r="H283">
        <f t="shared" si="84"/>
        <v>43501.462948772722</v>
      </c>
      <c r="I283">
        <f t="shared" si="76"/>
        <v>0</v>
      </c>
      <c r="J283">
        <f t="shared" si="77"/>
        <v>59434.357875202586</v>
      </c>
      <c r="K283">
        <f t="shared" si="78"/>
        <v>59384.42206797922</v>
      </c>
      <c r="L283">
        <f t="shared" si="85"/>
        <v>59384.42206797922</v>
      </c>
      <c r="M283">
        <f t="shared" si="79"/>
        <v>0</v>
      </c>
      <c r="N283" s="29">
        <f t="shared" si="86"/>
        <v>59384.42206797922</v>
      </c>
      <c r="O283" s="29">
        <f t="shared" si="80"/>
        <v>59369.524330834247</v>
      </c>
      <c r="P283" s="29">
        <f t="shared" si="87"/>
        <v>59369.524330834247</v>
      </c>
      <c r="Q283">
        <f t="shared" si="88"/>
        <v>0</v>
      </c>
      <c r="R283" s="29">
        <f t="shared" si="89"/>
        <v>59369.524330834247</v>
      </c>
      <c r="S283" s="29">
        <f t="shared" si="81"/>
        <v>59369.524330834232</v>
      </c>
      <c r="T283" s="29">
        <f t="shared" si="90"/>
        <v>59369.524330834232</v>
      </c>
      <c r="U283">
        <f t="shared" si="91"/>
        <v>0</v>
      </c>
      <c r="V283" s="29">
        <f t="shared" si="92"/>
        <v>59369.524330834232</v>
      </c>
      <c r="W283" s="29">
        <f t="shared" si="82"/>
        <v>59369.524330834232</v>
      </c>
      <c r="X283" s="29">
        <f t="shared" si="93"/>
        <v>59369.524330834232</v>
      </c>
      <c r="Y283">
        <f t="shared" si="94"/>
        <v>0</v>
      </c>
    </row>
    <row r="284" spans="1:25" x14ac:dyDescent="0.25">
      <c r="A284" s="4" t="s">
        <v>1199</v>
      </c>
      <c r="B284" s="7" t="s">
        <v>249</v>
      </c>
      <c r="C284" s="2" t="s">
        <v>1200</v>
      </c>
      <c r="D284">
        <f>VLOOKUP(B284,'Model allocations'!$A$1:$L$317,4,FALSE)</f>
        <v>0</v>
      </c>
      <c r="E284" s="31">
        <f>VLOOKUP(B284,'Initial adjusted formula count'!$A$1:$P$317,12,FALSE)</f>
        <v>8.2897033158813305E-2</v>
      </c>
      <c r="F284">
        <f>VLOOKUP(B284,'Model allocations'!$A$1:$L$317,9,FALSE)</f>
        <v>0</v>
      </c>
      <c r="G284" s="30">
        <f t="shared" si="83"/>
        <v>0.85</v>
      </c>
      <c r="H284">
        <f t="shared" si="84"/>
        <v>0</v>
      </c>
      <c r="I284">
        <f t="shared" si="76"/>
        <v>0</v>
      </c>
      <c r="J284">
        <f t="shared" si="77"/>
        <v>0</v>
      </c>
      <c r="K284">
        <f t="shared" si="78"/>
        <v>0</v>
      </c>
      <c r="L284">
        <f t="shared" si="85"/>
        <v>0</v>
      </c>
      <c r="M284">
        <f t="shared" si="79"/>
        <v>0</v>
      </c>
      <c r="N284" s="29">
        <f t="shared" si="86"/>
        <v>0</v>
      </c>
      <c r="O284" s="29">
        <f t="shared" si="80"/>
        <v>0</v>
      </c>
      <c r="P284" s="29">
        <f t="shared" si="87"/>
        <v>0</v>
      </c>
      <c r="Q284">
        <f t="shared" si="88"/>
        <v>0</v>
      </c>
      <c r="R284" s="29">
        <f t="shared" si="89"/>
        <v>0</v>
      </c>
      <c r="S284" s="29">
        <f t="shared" si="81"/>
        <v>0</v>
      </c>
      <c r="T284" s="29">
        <f t="shared" si="90"/>
        <v>0</v>
      </c>
      <c r="U284">
        <f t="shared" si="91"/>
        <v>0</v>
      </c>
      <c r="V284" s="29">
        <f t="shared" si="92"/>
        <v>0</v>
      </c>
      <c r="W284" s="29">
        <f t="shared" si="82"/>
        <v>0</v>
      </c>
      <c r="X284" s="29">
        <f t="shared" si="93"/>
        <v>0</v>
      </c>
      <c r="Y284">
        <f t="shared" si="94"/>
        <v>0</v>
      </c>
    </row>
    <row r="285" spans="1:25" x14ac:dyDescent="0.25">
      <c r="A285" s="4" t="s">
        <v>1201</v>
      </c>
      <c r="B285" s="7" t="s">
        <v>612</v>
      </c>
      <c r="C285" s="2" t="s">
        <v>1202</v>
      </c>
      <c r="D285">
        <f>VLOOKUP(B285,'Model allocations'!$A$1:$L$317,4,FALSE)</f>
        <v>14961.4202950443</v>
      </c>
      <c r="E285" s="31">
        <f>VLOOKUP(B285,'Initial adjusted formula count'!$A$1:$P$317,12,FALSE)</f>
        <v>0.26551724137930999</v>
      </c>
      <c r="F285">
        <f>VLOOKUP(B285,'Model allocations'!$A$1:$L$317,9,FALSE)</f>
        <v>18017.502190514173</v>
      </c>
      <c r="G285" s="30">
        <f t="shared" si="83"/>
        <v>0.9</v>
      </c>
      <c r="H285">
        <f t="shared" si="84"/>
        <v>13465.27826553987</v>
      </c>
      <c r="I285">
        <f t="shared" si="76"/>
        <v>0</v>
      </c>
      <c r="J285">
        <f t="shared" si="77"/>
        <v>18017.502190514173</v>
      </c>
      <c r="K285">
        <f t="shared" si="78"/>
        <v>18002.364170214176</v>
      </c>
      <c r="L285">
        <f t="shared" si="85"/>
        <v>18002.364170214176</v>
      </c>
      <c r="M285">
        <f t="shared" si="79"/>
        <v>0</v>
      </c>
      <c r="N285" s="29">
        <f t="shared" si="86"/>
        <v>18002.364170214176</v>
      </c>
      <c r="O285" s="29">
        <f t="shared" si="80"/>
        <v>17997.847927063929</v>
      </c>
      <c r="P285" s="29">
        <f t="shared" si="87"/>
        <v>17997.847927063929</v>
      </c>
      <c r="Q285">
        <f t="shared" si="88"/>
        <v>0</v>
      </c>
      <c r="R285" s="29">
        <f t="shared" si="89"/>
        <v>17997.847927063929</v>
      </c>
      <c r="S285" s="29">
        <f t="shared" si="81"/>
        <v>17997.847927063925</v>
      </c>
      <c r="T285" s="29">
        <f t="shared" si="90"/>
        <v>17997.847927063925</v>
      </c>
      <c r="U285">
        <f t="shared" si="91"/>
        <v>0</v>
      </c>
      <c r="V285" s="29">
        <f t="shared" si="92"/>
        <v>17997.847927063925</v>
      </c>
      <c r="W285" s="29">
        <f t="shared" si="82"/>
        <v>17997.847927063925</v>
      </c>
      <c r="X285" s="29">
        <f t="shared" si="93"/>
        <v>17997.847927063925</v>
      </c>
      <c r="Y285">
        <f t="shared" si="94"/>
        <v>0</v>
      </c>
    </row>
    <row r="286" spans="1:25" x14ac:dyDescent="0.25">
      <c r="A286" s="4" t="s">
        <v>49</v>
      </c>
      <c r="B286" s="7" t="s">
        <v>63</v>
      </c>
      <c r="C286" s="2" t="s">
        <v>1203</v>
      </c>
      <c r="D286">
        <f>VLOOKUP(B286,'Model allocations'!$A$1:$L$317,4,FALSE)</f>
        <v>0</v>
      </c>
      <c r="E286" s="31">
        <f>VLOOKUP(B286,'Initial adjusted formula count'!$A$1:$P$317,12,FALSE)</f>
        <v>0.11026313976987</v>
      </c>
      <c r="F286">
        <f>VLOOKUP(B286,'Model allocations'!$A$1:$L$317,9,FALSE)</f>
        <v>0</v>
      </c>
      <c r="G286" s="30">
        <f t="shared" si="83"/>
        <v>0.85</v>
      </c>
      <c r="H286">
        <f t="shared" si="84"/>
        <v>0</v>
      </c>
      <c r="I286">
        <f t="shared" si="76"/>
        <v>0</v>
      </c>
      <c r="J286">
        <f t="shared" si="77"/>
        <v>0</v>
      </c>
      <c r="K286">
        <f t="shared" si="78"/>
        <v>0</v>
      </c>
      <c r="L286">
        <f t="shared" si="85"/>
        <v>0</v>
      </c>
      <c r="M286">
        <f t="shared" si="79"/>
        <v>0</v>
      </c>
      <c r="N286" s="29">
        <f t="shared" si="86"/>
        <v>0</v>
      </c>
      <c r="O286" s="29">
        <f t="shared" si="80"/>
        <v>0</v>
      </c>
      <c r="P286" s="29">
        <f t="shared" si="87"/>
        <v>0</v>
      </c>
      <c r="Q286">
        <f t="shared" si="88"/>
        <v>0</v>
      </c>
      <c r="R286" s="29">
        <f t="shared" si="89"/>
        <v>0</v>
      </c>
      <c r="S286" s="29">
        <f t="shared" si="81"/>
        <v>0</v>
      </c>
      <c r="T286" s="29">
        <f t="shared" si="90"/>
        <v>0</v>
      </c>
      <c r="U286">
        <f t="shared" si="91"/>
        <v>0</v>
      </c>
      <c r="V286" s="29">
        <f t="shared" si="92"/>
        <v>0</v>
      </c>
      <c r="W286" s="29">
        <f t="shared" si="82"/>
        <v>0</v>
      </c>
      <c r="X286" s="29">
        <f t="shared" si="93"/>
        <v>0</v>
      </c>
      <c r="Y286">
        <f t="shared" si="94"/>
        <v>0</v>
      </c>
    </row>
    <row r="287" spans="1:25" x14ac:dyDescent="0.25">
      <c r="A287" s="4" t="s">
        <v>1204</v>
      </c>
      <c r="B287" s="7" t="s">
        <v>251</v>
      </c>
      <c r="C287" s="2" t="s">
        <v>1205</v>
      </c>
      <c r="D287">
        <f>VLOOKUP(B287,'Model allocations'!$A$1:$L$317,4,FALSE)</f>
        <v>0</v>
      </c>
      <c r="E287" s="31">
        <f>VLOOKUP(B287,'Initial adjusted formula count'!$A$1:$P$317,12,FALSE)</f>
        <v>8.0508474576271194E-2</v>
      </c>
      <c r="F287">
        <f>VLOOKUP(B287,'Model allocations'!$A$1:$L$317,9,FALSE)</f>
        <v>0</v>
      </c>
      <c r="G287" s="30">
        <f t="shared" si="83"/>
        <v>0.85</v>
      </c>
      <c r="H287">
        <f t="shared" si="84"/>
        <v>0</v>
      </c>
      <c r="I287">
        <f t="shared" si="76"/>
        <v>0</v>
      </c>
      <c r="J287">
        <f t="shared" si="77"/>
        <v>0</v>
      </c>
      <c r="K287">
        <f t="shared" si="78"/>
        <v>0</v>
      </c>
      <c r="L287">
        <f t="shared" si="85"/>
        <v>0</v>
      </c>
      <c r="M287">
        <f t="shared" si="79"/>
        <v>0</v>
      </c>
      <c r="N287" s="29">
        <f t="shared" si="86"/>
        <v>0</v>
      </c>
      <c r="O287" s="29">
        <f t="shared" si="80"/>
        <v>0</v>
      </c>
      <c r="P287" s="29">
        <f t="shared" si="87"/>
        <v>0</v>
      </c>
      <c r="Q287">
        <f t="shared" si="88"/>
        <v>0</v>
      </c>
      <c r="R287" s="29">
        <f t="shared" si="89"/>
        <v>0</v>
      </c>
      <c r="S287" s="29">
        <f t="shared" si="81"/>
        <v>0</v>
      </c>
      <c r="T287" s="29">
        <f t="shared" si="90"/>
        <v>0</v>
      </c>
      <c r="U287">
        <f t="shared" si="91"/>
        <v>0</v>
      </c>
      <c r="V287" s="29">
        <f t="shared" si="92"/>
        <v>0</v>
      </c>
      <c r="W287" s="29">
        <f t="shared" si="82"/>
        <v>0</v>
      </c>
      <c r="X287" s="29">
        <f t="shared" si="93"/>
        <v>0</v>
      </c>
      <c r="Y287">
        <f t="shared" si="94"/>
        <v>0</v>
      </c>
    </row>
    <row r="288" spans="1:25" x14ac:dyDescent="0.25">
      <c r="A288" s="4" t="s">
        <v>1206</v>
      </c>
      <c r="B288" s="7" t="s">
        <v>614</v>
      </c>
      <c r="C288" s="2" t="s">
        <v>1207</v>
      </c>
      <c r="D288">
        <f>VLOOKUP(B288,'Model allocations'!$A$1:$L$317,4,FALSE)</f>
        <v>24935.700491740503</v>
      </c>
      <c r="E288" s="31">
        <f>VLOOKUP(B288,'Initial adjusted formula count'!$A$1:$P$317,12,FALSE)</f>
        <v>0.182539682539683</v>
      </c>
      <c r="F288">
        <f>VLOOKUP(B288,'Model allocations'!$A$1:$L$317,9,FALSE)</f>
        <v>22442.130442566453</v>
      </c>
      <c r="G288" s="30">
        <f t="shared" si="83"/>
        <v>0.9</v>
      </c>
      <c r="H288">
        <f t="shared" si="84"/>
        <v>22442.130442566453</v>
      </c>
      <c r="I288">
        <f t="shared" si="76"/>
        <v>0</v>
      </c>
      <c r="J288">
        <f t="shared" si="77"/>
        <v>22442.130442566453</v>
      </c>
      <c r="K288">
        <f t="shared" si="78"/>
        <v>22423.274919607582</v>
      </c>
      <c r="L288">
        <f t="shared" si="85"/>
        <v>22423.274919607582</v>
      </c>
      <c r="M288">
        <f t="shared" si="79"/>
        <v>22442.130442566453</v>
      </c>
      <c r="N288" s="29">
        <f t="shared" si="86"/>
        <v>0</v>
      </c>
      <c r="O288" s="29">
        <f t="shared" si="80"/>
        <v>0</v>
      </c>
      <c r="P288" s="29">
        <f t="shared" si="87"/>
        <v>22442.130442566453</v>
      </c>
      <c r="Q288">
        <f t="shared" si="88"/>
        <v>0</v>
      </c>
      <c r="R288" s="29">
        <f t="shared" si="89"/>
        <v>0</v>
      </c>
      <c r="S288" s="29">
        <f t="shared" si="81"/>
        <v>0</v>
      </c>
      <c r="T288" s="29">
        <f t="shared" si="90"/>
        <v>22442.130442566453</v>
      </c>
      <c r="U288">
        <f t="shared" si="91"/>
        <v>0</v>
      </c>
      <c r="V288" s="29">
        <f t="shared" si="92"/>
        <v>0</v>
      </c>
      <c r="W288" s="29">
        <f t="shared" si="82"/>
        <v>0</v>
      </c>
      <c r="X288" s="29">
        <f t="shared" si="93"/>
        <v>22442.130442566453</v>
      </c>
      <c r="Y288">
        <f t="shared" si="94"/>
        <v>0</v>
      </c>
    </row>
    <row r="289" spans="1:25" x14ac:dyDescent="0.25">
      <c r="A289" s="4" t="s">
        <v>1208</v>
      </c>
      <c r="B289" s="7" t="s">
        <v>616</v>
      </c>
      <c r="C289" s="2" t="s">
        <v>1209</v>
      </c>
      <c r="D289">
        <f>VLOOKUP(B289,'Model allocations'!$A$1:$L$317,4,FALSE)</f>
        <v>79567.553387281034</v>
      </c>
      <c r="E289" s="31">
        <f>VLOOKUP(B289,'Initial adjusted formula count'!$A$1:$P$317,12,FALSE)</f>
        <v>0.15193644488579899</v>
      </c>
      <c r="F289">
        <f>VLOOKUP(B289,'Model allocations'!$A$1:$L$317,9,FALSE)</f>
        <v>71610.798048552926</v>
      </c>
      <c r="G289" s="30">
        <f t="shared" si="83"/>
        <v>0.9</v>
      </c>
      <c r="H289">
        <f t="shared" si="84"/>
        <v>71610.798048552926</v>
      </c>
      <c r="I289">
        <f t="shared" si="76"/>
        <v>0</v>
      </c>
      <c r="J289">
        <f t="shared" si="77"/>
        <v>71610.798048552926</v>
      </c>
      <c r="K289">
        <f t="shared" si="78"/>
        <v>71550.631788929619</v>
      </c>
      <c r="L289">
        <f t="shared" si="85"/>
        <v>71550.631788929619</v>
      </c>
      <c r="M289">
        <f t="shared" si="79"/>
        <v>71610.798048552926</v>
      </c>
      <c r="N289" s="29">
        <f t="shared" si="86"/>
        <v>0</v>
      </c>
      <c r="O289" s="29">
        <f t="shared" si="80"/>
        <v>0</v>
      </c>
      <c r="P289" s="29">
        <f t="shared" si="87"/>
        <v>71610.798048552926</v>
      </c>
      <c r="Q289">
        <f t="shared" si="88"/>
        <v>0</v>
      </c>
      <c r="R289" s="29">
        <f t="shared" si="89"/>
        <v>0</v>
      </c>
      <c r="S289" s="29">
        <f t="shared" si="81"/>
        <v>0</v>
      </c>
      <c r="T289" s="29">
        <f t="shared" si="90"/>
        <v>71610.798048552926</v>
      </c>
      <c r="U289">
        <f t="shared" si="91"/>
        <v>0</v>
      </c>
      <c r="V289" s="29">
        <f t="shared" si="92"/>
        <v>0</v>
      </c>
      <c r="W289" s="29">
        <f t="shared" si="82"/>
        <v>0</v>
      </c>
      <c r="X289" s="29">
        <f t="shared" si="93"/>
        <v>71610.798048552926</v>
      </c>
      <c r="Y289">
        <f t="shared" si="94"/>
        <v>0</v>
      </c>
    </row>
    <row r="290" spans="1:25" x14ac:dyDescent="0.25">
      <c r="A290" s="4" t="s">
        <v>1210</v>
      </c>
      <c r="B290" s="7" t="s">
        <v>618</v>
      </c>
      <c r="C290" s="2" t="s">
        <v>1211</v>
      </c>
      <c r="D290">
        <f>VLOOKUP(B290,'Model allocations'!$A$1:$L$317,4,FALSE)</f>
        <v>0</v>
      </c>
      <c r="E290" s="31">
        <f>VLOOKUP(B290,'Initial adjusted formula count'!$A$1:$P$317,12,FALSE)</f>
        <v>0.134545454545455</v>
      </c>
      <c r="F290">
        <f>VLOOKUP(B290,'Model allocations'!$A$1:$L$317,9,FALSE)</f>
        <v>0</v>
      </c>
      <c r="G290" s="30">
        <f t="shared" si="83"/>
        <v>0.85</v>
      </c>
      <c r="H290">
        <f t="shared" si="84"/>
        <v>0</v>
      </c>
      <c r="I290">
        <f t="shared" si="76"/>
        <v>0</v>
      </c>
      <c r="J290">
        <f t="shared" si="77"/>
        <v>0</v>
      </c>
      <c r="K290">
        <f t="shared" si="78"/>
        <v>0</v>
      </c>
      <c r="L290">
        <f t="shared" si="85"/>
        <v>0</v>
      </c>
      <c r="M290">
        <f t="shared" si="79"/>
        <v>0</v>
      </c>
      <c r="N290" s="29">
        <f t="shared" si="86"/>
        <v>0</v>
      </c>
      <c r="O290" s="29">
        <f t="shared" si="80"/>
        <v>0</v>
      </c>
      <c r="P290" s="29">
        <f t="shared" si="87"/>
        <v>0</v>
      </c>
      <c r="Q290">
        <f t="shared" si="88"/>
        <v>0</v>
      </c>
      <c r="R290" s="29">
        <f t="shared" si="89"/>
        <v>0</v>
      </c>
      <c r="S290" s="29">
        <f t="shared" si="81"/>
        <v>0</v>
      </c>
      <c r="T290" s="29">
        <f t="shared" si="90"/>
        <v>0</v>
      </c>
      <c r="U290">
        <f t="shared" si="91"/>
        <v>0</v>
      </c>
      <c r="V290" s="29">
        <f t="shared" si="92"/>
        <v>0</v>
      </c>
      <c r="W290" s="29">
        <f t="shared" si="82"/>
        <v>0</v>
      </c>
      <c r="X290" s="29">
        <f t="shared" si="93"/>
        <v>0</v>
      </c>
      <c r="Y290">
        <f t="shared" si="94"/>
        <v>0</v>
      </c>
    </row>
    <row r="291" spans="1:25" x14ac:dyDescent="0.25">
      <c r="A291" s="4" t="s">
        <v>1212</v>
      </c>
      <c r="B291" s="7" t="s">
        <v>620</v>
      </c>
      <c r="C291" s="2" t="s">
        <v>1213</v>
      </c>
      <c r="D291">
        <f>VLOOKUP(B291,'Model allocations'!$A$1:$L$317,4,FALSE)</f>
        <v>0</v>
      </c>
      <c r="E291" s="31">
        <f>VLOOKUP(B291,'Initial adjusted formula count'!$A$1:$P$317,12,FALSE)</f>
        <v>0.17915473985519401</v>
      </c>
      <c r="F291">
        <f>VLOOKUP(B291,'Model allocations'!$A$1:$L$317,9,FALSE)</f>
        <v>248969.12117801406</v>
      </c>
      <c r="G291" s="30">
        <f t="shared" si="83"/>
        <v>0.9</v>
      </c>
      <c r="H291">
        <f t="shared" si="84"/>
        <v>0</v>
      </c>
      <c r="I291">
        <f t="shared" si="76"/>
        <v>0</v>
      </c>
      <c r="J291">
        <f t="shared" si="77"/>
        <v>248969.12117801406</v>
      </c>
      <c r="K291">
        <f t="shared" si="78"/>
        <v>248759.94126114139</v>
      </c>
      <c r="L291">
        <f t="shared" si="85"/>
        <v>248759.94126114139</v>
      </c>
      <c r="M291">
        <f t="shared" si="79"/>
        <v>0</v>
      </c>
      <c r="N291" s="29">
        <f t="shared" si="86"/>
        <v>248759.94126114139</v>
      </c>
      <c r="O291" s="29">
        <f t="shared" si="80"/>
        <v>248697.53499215614</v>
      </c>
      <c r="P291" s="29">
        <f t="shared" si="87"/>
        <v>248697.53499215614</v>
      </c>
      <c r="Q291">
        <f t="shared" si="88"/>
        <v>0</v>
      </c>
      <c r="R291" s="29">
        <f t="shared" si="89"/>
        <v>248697.53499215614</v>
      </c>
      <c r="S291" s="29">
        <f t="shared" si="81"/>
        <v>248697.53499215608</v>
      </c>
      <c r="T291" s="29">
        <f t="shared" si="90"/>
        <v>248697.53499215608</v>
      </c>
      <c r="U291">
        <f t="shared" si="91"/>
        <v>0</v>
      </c>
      <c r="V291" s="29">
        <f t="shared" si="92"/>
        <v>248697.53499215608</v>
      </c>
      <c r="W291" s="29">
        <f t="shared" si="82"/>
        <v>248697.53499215608</v>
      </c>
      <c r="X291" s="29">
        <f t="shared" si="93"/>
        <v>248697.53499215608</v>
      </c>
      <c r="Y291">
        <f t="shared" si="94"/>
        <v>0</v>
      </c>
    </row>
    <row r="292" spans="1:25" x14ac:dyDescent="0.25">
      <c r="A292" s="4" t="s">
        <v>1214</v>
      </c>
      <c r="B292" s="7" t="s">
        <v>621</v>
      </c>
      <c r="C292" s="2" t="s">
        <v>1215</v>
      </c>
      <c r="D292">
        <f>VLOOKUP(B292,'Model allocations'!$A$1:$L$317,4,FALSE)</f>
        <v>193591.71109042165</v>
      </c>
      <c r="E292" s="31">
        <f>VLOOKUP(B292,'Initial adjusted formula count'!$A$1:$P$317,12,FALSE)</f>
        <v>0.21455170438269799</v>
      </c>
      <c r="F292">
        <f>VLOOKUP(B292,'Model allocations'!$A$1:$L$317,9,FALSE)</f>
        <v>175261.15767136513</v>
      </c>
      <c r="G292" s="30">
        <f t="shared" si="83"/>
        <v>0.9</v>
      </c>
      <c r="H292">
        <f t="shared" si="84"/>
        <v>174232.53998137949</v>
      </c>
      <c r="I292">
        <f t="shared" si="76"/>
        <v>0</v>
      </c>
      <c r="J292">
        <f t="shared" si="77"/>
        <v>175261.15767136513</v>
      </c>
      <c r="K292">
        <f t="shared" si="78"/>
        <v>175113.90601935607</v>
      </c>
      <c r="L292">
        <f t="shared" si="85"/>
        <v>175113.90601935607</v>
      </c>
      <c r="M292">
        <f t="shared" si="79"/>
        <v>0</v>
      </c>
      <c r="N292" s="29">
        <f t="shared" si="86"/>
        <v>175113.90601935607</v>
      </c>
      <c r="O292" s="29">
        <f t="shared" si="80"/>
        <v>175069.97529053094</v>
      </c>
      <c r="P292" s="29">
        <f t="shared" si="87"/>
        <v>175069.97529053094</v>
      </c>
      <c r="Q292">
        <f t="shared" si="88"/>
        <v>0</v>
      </c>
      <c r="R292" s="29">
        <f t="shared" si="89"/>
        <v>175069.97529053094</v>
      </c>
      <c r="S292" s="29">
        <f t="shared" si="81"/>
        <v>175069.97529053091</v>
      </c>
      <c r="T292" s="29">
        <f t="shared" si="90"/>
        <v>175069.97529053091</v>
      </c>
      <c r="U292">
        <f t="shared" si="91"/>
        <v>0</v>
      </c>
      <c r="V292" s="29">
        <f t="shared" si="92"/>
        <v>175069.97529053091</v>
      </c>
      <c r="W292" s="29">
        <f t="shared" si="82"/>
        <v>175069.97529053091</v>
      </c>
      <c r="X292" s="29">
        <f t="shared" si="93"/>
        <v>175069.97529053091</v>
      </c>
      <c r="Y292">
        <f t="shared" si="94"/>
        <v>0</v>
      </c>
    </row>
    <row r="293" spans="1:25" x14ac:dyDescent="0.25">
      <c r="A293" s="4" t="s">
        <v>1216</v>
      </c>
      <c r="B293" s="7" t="s">
        <v>623</v>
      </c>
      <c r="C293" s="2" t="s">
        <v>1217</v>
      </c>
      <c r="D293">
        <f>VLOOKUP(B293,'Model allocations'!$A$1:$L$317,4,FALSE)</f>
        <v>39670.432600496242</v>
      </c>
      <c r="E293" s="31">
        <f>VLOOKUP(B293,'Initial adjusted formula count'!$A$1:$P$317,12,FALSE)</f>
        <v>0.23298731257208799</v>
      </c>
      <c r="F293">
        <f>VLOOKUP(B293,'Model allocations'!$A$1:$L$317,9,FALSE)</f>
        <v>47266.694058231988</v>
      </c>
      <c r="G293" s="30">
        <f t="shared" si="83"/>
        <v>0.9</v>
      </c>
      <c r="H293">
        <f t="shared" si="84"/>
        <v>35703.389340446622</v>
      </c>
      <c r="I293">
        <f t="shared" si="76"/>
        <v>0</v>
      </c>
      <c r="J293">
        <f t="shared" si="77"/>
        <v>47266.694058231988</v>
      </c>
      <c r="K293">
        <f t="shared" si="78"/>
        <v>47226.981329652772</v>
      </c>
      <c r="L293">
        <f t="shared" si="85"/>
        <v>47226.981329652772</v>
      </c>
      <c r="M293">
        <f t="shared" si="79"/>
        <v>0</v>
      </c>
      <c r="N293" s="29">
        <f t="shared" si="86"/>
        <v>47226.981329652772</v>
      </c>
      <c r="O293" s="29">
        <f t="shared" si="80"/>
        <v>47215.133522946926</v>
      </c>
      <c r="P293" s="29">
        <f t="shared" si="87"/>
        <v>47215.133522946926</v>
      </c>
      <c r="Q293">
        <f t="shared" si="88"/>
        <v>0</v>
      </c>
      <c r="R293" s="29">
        <f t="shared" si="89"/>
        <v>47215.133522946926</v>
      </c>
      <c r="S293" s="29">
        <f t="shared" si="81"/>
        <v>47215.133522946919</v>
      </c>
      <c r="T293" s="29">
        <f t="shared" si="90"/>
        <v>47215.133522946919</v>
      </c>
      <c r="U293">
        <f t="shared" si="91"/>
        <v>0</v>
      </c>
      <c r="V293" s="29">
        <f t="shared" si="92"/>
        <v>47215.133522946919</v>
      </c>
      <c r="W293" s="29">
        <f t="shared" si="82"/>
        <v>47215.133522946919</v>
      </c>
      <c r="X293" s="29">
        <f t="shared" si="93"/>
        <v>47215.133522946919</v>
      </c>
      <c r="Y293">
        <f t="shared" si="94"/>
        <v>0</v>
      </c>
    </row>
    <row r="294" spans="1:25" x14ac:dyDescent="0.25">
      <c r="A294" s="4" t="s">
        <v>1218</v>
      </c>
      <c r="B294" s="7" t="s">
        <v>253</v>
      </c>
      <c r="C294" s="2" t="s">
        <v>1219</v>
      </c>
      <c r="D294">
        <f>VLOOKUP(B294,'Model allocations'!$A$1:$L$317,4,FALSE)</f>
        <v>0</v>
      </c>
      <c r="E294" s="31">
        <f>VLOOKUP(B294,'Initial adjusted formula count'!$A$1:$P$317,12,FALSE)</f>
        <v>6.7837190742218695E-2</v>
      </c>
      <c r="F294">
        <f>VLOOKUP(B294,'Model allocations'!$A$1:$L$317,9,FALSE)</f>
        <v>0</v>
      </c>
      <c r="G294" s="30">
        <f t="shared" si="83"/>
        <v>0.85</v>
      </c>
      <c r="H294">
        <f t="shared" si="84"/>
        <v>0</v>
      </c>
      <c r="I294">
        <f t="shared" si="76"/>
        <v>0</v>
      </c>
      <c r="J294">
        <f t="shared" si="77"/>
        <v>0</v>
      </c>
      <c r="K294">
        <f t="shared" si="78"/>
        <v>0</v>
      </c>
      <c r="L294">
        <f t="shared" si="85"/>
        <v>0</v>
      </c>
      <c r="M294">
        <f t="shared" si="79"/>
        <v>0</v>
      </c>
      <c r="N294" s="29">
        <f t="shared" si="86"/>
        <v>0</v>
      </c>
      <c r="O294" s="29">
        <f t="shared" si="80"/>
        <v>0</v>
      </c>
      <c r="P294" s="29">
        <f t="shared" si="87"/>
        <v>0</v>
      </c>
      <c r="Q294">
        <f t="shared" si="88"/>
        <v>0</v>
      </c>
      <c r="R294" s="29">
        <f t="shared" si="89"/>
        <v>0</v>
      </c>
      <c r="S294" s="29">
        <f t="shared" si="81"/>
        <v>0</v>
      </c>
      <c r="T294" s="29">
        <f t="shared" si="90"/>
        <v>0</v>
      </c>
      <c r="U294">
        <f t="shared" si="91"/>
        <v>0</v>
      </c>
      <c r="V294" s="29">
        <f t="shared" si="92"/>
        <v>0</v>
      </c>
      <c r="W294" s="29">
        <f t="shared" si="82"/>
        <v>0</v>
      </c>
      <c r="X294" s="29">
        <f t="shared" si="93"/>
        <v>0</v>
      </c>
      <c r="Y294">
        <f t="shared" si="94"/>
        <v>0</v>
      </c>
    </row>
    <row r="295" spans="1:25" x14ac:dyDescent="0.25">
      <c r="A295" s="4" t="s">
        <v>1220</v>
      </c>
      <c r="B295" s="7" t="s">
        <v>625</v>
      </c>
      <c r="C295" s="2" t="s">
        <v>1221</v>
      </c>
      <c r="D295">
        <f>VLOOKUP(B295,'Model allocations'!$A$1:$L$317,4,FALSE)</f>
        <v>1818.4223737979735</v>
      </c>
      <c r="E295" s="31">
        <f>VLOOKUP(B295,'Initial adjusted formula count'!$A$1:$P$317,12,FALSE)</f>
        <v>3.03030303030303E-2</v>
      </c>
      <c r="F295">
        <f>VLOOKUP(B295,'Model allocations'!$A$1:$L$317,9,FALSE)</f>
        <v>1545.6590177282774</v>
      </c>
      <c r="G295" s="30">
        <f t="shared" si="83"/>
        <v>0.85</v>
      </c>
      <c r="H295">
        <f t="shared" si="84"/>
        <v>1545.6590177282774</v>
      </c>
      <c r="I295">
        <f t="shared" si="76"/>
        <v>0</v>
      </c>
      <c r="J295">
        <f t="shared" si="77"/>
        <v>1545.6590177282774</v>
      </c>
      <c r="K295">
        <f t="shared" si="78"/>
        <v>1544.3603794742155</v>
      </c>
      <c r="L295">
        <f t="shared" si="85"/>
        <v>1544.3603794742155</v>
      </c>
      <c r="M295">
        <f t="shared" si="79"/>
        <v>1545.6590177282774</v>
      </c>
      <c r="N295" s="29">
        <f t="shared" si="86"/>
        <v>0</v>
      </c>
      <c r="O295" s="29">
        <f t="shared" si="80"/>
        <v>0</v>
      </c>
      <c r="P295" s="29">
        <f t="shared" si="87"/>
        <v>1545.6590177282774</v>
      </c>
      <c r="Q295">
        <f t="shared" si="88"/>
        <v>0</v>
      </c>
      <c r="R295" s="29">
        <f t="shared" si="89"/>
        <v>0</v>
      </c>
      <c r="S295" s="29">
        <f t="shared" si="81"/>
        <v>0</v>
      </c>
      <c r="T295" s="29">
        <f t="shared" si="90"/>
        <v>1545.6590177282774</v>
      </c>
      <c r="U295">
        <f t="shared" si="91"/>
        <v>0</v>
      </c>
      <c r="V295" s="29">
        <f t="shared" si="92"/>
        <v>0</v>
      </c>
      <c r="W295" s="29">
        <f t="shared" si="82"/>
        <v>0</v>
      </c>
      <c r="X295" s="29">
        <f t="shared" si="93"/>
        <v>1545.6590177282774</v>
      </c>
      <c r="Y295">
        <f t="shared" si="94"/>
        <v>0</v>
      </c>
    </row>
    <row r="296" spans="1:25" x14ac:dyDescent="0.25">
      <c r="A296" s="4" t="s">
        <v>1222</v>
      </c>
      <c r="B296" s="7" t="s">
        <v>627</v>
      </c>
      <c r="C296" s="2" t="s">
        <v>1223</v>
      </c>
      <c r="D296">
        <f>VLOOKUP(B296,'Model allocations'!$A$1:$L$317,4,FALSE)</f>
        <v>9352.6410749949355</v>
      </c>
      <c r="E296" s="31">
        <f>VLOOKUP(B296,'Initial adjusted formula count'!$A$1:$P$317,12,FALSE)</f>
        <v>0.11782477341389699</v>
      </c>
      <c r="F296">
        <f>VLOOKUP(B296,'Model allocations'!$A$1:$L$317,9,FALSE)</f>
        <v>7949.7449137456952</v>
      </c>
      <c r="G296" s="30">
        <f t="shared" si="83"/>
        <v>0.85</v>
      </c>
      <c r="H296">
        <f t="shared" si="84"/>
        <v>7949.7449137456952</v>
      </c>
      <c r="I296">
        <f t="shared" si="76"/>
        <v>0</v>
      </c>
      <c r="J296">
        <f t="shared" si="77"/>
        <v>7949.7449137456952</v>
      </c>
      <c r="K296">
        <f t="shared" si="78"/>
        <v>7943.0656638357141</v>
      </c>
      <c r="L296">
        <f t="shared" si="85"/>
        <v>7943.0656638357141</v>
      </c>
      <c r="M296">
        <f t="shared" si="79"/>
        <v>7949.7449137456952</v>
      </c>
      <c r="N296" s="29">
        <f t="shared" si="86"/>
        <v>0</v>
      </c>
      <c r="O296" s="29">
        <f t="shared" si="80"/>
        <v>0</v>
      </c>
      <c r="P296" s="29">
        <f t="shared" si="87"/>
        <v>7949.7449137456952</v>
      </c>
      <c r="Q296">
        <f t="shared" si="88"/>
        <v>0</v>
      </c>
      <c r="R296" s="29">
        <f t="shared" si="89"/>
        <v>0</v>
      </c>
      <c r="S296" s="29">
        <f t="shared" si="81"/>
        <v>0</v>
      </c>
      <c r="T296" s="29">
        <f t="shared" si="90"/>
        <v>7949.7449137456952</v>
      </c>
      <c r="U296">
        <f t="shared" si="91"/>
        <v>0</v>
      </c>
      <c r="V296" s="29">
        <f t="shared" si="92"/>
        <v>0</v>
      </c>
      <c r="W296" s="29">
        <f t="shared" si="82"/>
        <v>0</v>
      </c>
      <c r="X296" s="29">
        <f t="shared" si="93"/>
        <v>7949.7449137456952</v>
      </c>
      <c r="Y296">
        <f t="shared" si="94"/>
        <v>0</v>
      </c>
    </row>
    <row r="297" spans="1:25" x14ac:dyDescent="0.25">
      <c r="A297" s="4" t="s">
        <v>1224</v>
      </c>
      <c r="B297" s="7" t="s">
        <v>629</v>
      </c>
      <c r="C297" s="2" t="s">
        <v>1225</v>
      </c>
      <c r="D297">
        <f>VLOOKUP(B297,'Model allocations'!$A$1:$L$317,4,FALSE)</f>
        <v>15425.509827310645</v>
      </c>
      <c r="E297" s="31">
        <f>VLOOKUP(B297,'Initial adjusted formula count'!$A$1:$P$317,12,FALSE)</f>
        <v>0.264984227129338</v>
      </c>
      <c r="F297">
        <f>VLOOKUP(B297,'Model allocations'!$A$1:$L$317,9,FALSE)</f>
        <v>19655.456935106373</v>
      </c>
      <c r="G297" s="30">
        <f t="shared" si="83"/>
        <v>0.9</v>
      </c>
      <c r="H297">
        <f t="shared" si="84"/>
        <v>13882.958844579582</v>
      </c>
      <c r="I297">
        <f t="shared" si="76"/>
        <v>0</v>
      </c>
      <c r="J297">
        <f t="shared" si="77"/>
        <v>19655.456935106373</v>
      </c>
      <c r="K297">
        <f t="shared" si="78"/>
        <v>19638.942731142739</v>
      </c>
      <c r="L297">
        <f t="shared" si="85"/>
        <v>19638.942731142739</v>
      </c>
      <c r="M297">
        <f t="shared" si="79"/>
        <v>0</v>
      </c>
      <c r="N297" s="29">
        <f t="shared" si="86"/>
        <v>19638.942731142739</v>
      </c>
      <c r="O297" s="29">
        <f t="shared" si="80"/>
        <v>19634.015920433376</v>
      </c>
      <c r="P297" s="29">
        <f t="shared" si="87"/>
        <v>19634.015920433376</v>
      </c>
      <c r="Q297">
        <f t="shared" si="88"/>
        <v>0</v>
      </c>
      <c r="R297" s="29">
        <f t="shared" si="89"/>
        <v>19634.015920433376</v>
      </c>
      <c r="S297" s="29">
        <f t="shared" si="81"/>
        <v>19634.015920433372</v>
      </c>
      <c r="T297" s="29">
        <f t="shared" si="90"/>
        <v>19634.015920433372</v>
      </c>
      <c r="U297">
        <f t="shared" si="91"/>
        <v>0</v>
      </c>
      <c r="V297" s="29">
        <f t="shared" si="92"/>
        <v>19634.015920433372</v>
      </c>
      <c r="W297" s="29">
        <f t="shared" si="82"/>
        <v>19634.015920433372</v>
      </c>
      <c r="X297" s="29">
        <f t="shared" si="93"/>
        <v>19634.015920433372</v>
      </c>
      <c r="Y297">
        <f t="shared" si="94"/>
        <v>0</v>
      </c>
    </row>
    <row r="298" spans="1:25" x14ac:dyDescent="0.25">
      <c r="A298" s="4" t="s">
        <v>53</v>
      </c>
      <c r="B298" s="7" t="s">
        <v>64</v>
      </c>
      <c r="C298" s="2" t="s">
        <v>1226</v>
      </c>
      <c r="D298">
        <f>VLOOKUP(B298,'Model allocations'!$A$1:$L$317,4,FALSE)</f>
        <v>175350.9872106596</v>
      </c>
      <c r="E298" s="31">
        <f>VLOOKUP(B298,'Initial adjusted formula count'!$A$1:$P$317,12,FALSE)</f>
        <v>0.13374996360458399</v>
      </c>
      <c r="F298">
        <f>VLOOKUP(B298,'Model allocations'!$A$1:$L$317,9,FALSE)</f>
        <v>148945.76604316637</v>
      </c>
      <c r="G298" s="30">
        <f t="shared" si="83"/>
        <v>0.85</v>
      </c>
      <c r="H298">
        <f t="shared" si="84"/>
        <v>149048.33912906065</v>
      </c>
      <c r="I298">
        <f t="shared" si="76"/>
        <v>149048.33912906065</v>
      </c>
      <c r="J298">
        <f t="shared" si="77"/>
        <v>0</v>
      </c>
      <c r="K298">
        <f t="shared" si="78"/>
        <v>0</v>
      </c>
      <c r="L298">
        <f t="shared" si="85"/>
        <v>149048.33912906065</v>
      </c>
      <c r="M298">
        <f t="shared" si="79"/>
        <v>0</v>
      </c>
      <c r="N298" s="29">
        <f t="shared" si="86"/>
        <v>0</v>
      </c>
      <c r="O298" s="29">
        <f t="shared" si="80"/>
        <v>0</v>
      </c>
      <c r="P298" s="29">
        <f t="shared" si="87"/>
        <v>149048.33912906065</v>
      </c>
      <c r="Q298">
        <f t="shared" si="88"/>
        <v>0</v>
      </c>
      <c r="R298" s="29">
        <f t="shared" si="89"/>
        <v>0</v>
      </c>
      <c r="S298" s="29">
        <f t="shared" si="81"/>
        <v>0</v>
      </c>
      <c r="T298" s="29">
        <f t="shared" si="90"/>
        <v>149048.33912906065</v>
      </c>
      <c r="U298">
        <f t="shared" si="91"/>
        <v>0</v>
      </c>
      <c r="V298" s="29">
        <f t="shared" si="92"/>
        <v>0</v>
      </c>
      <c r="W298" s="29">
        <f t="shared" si="82"/>
        <v>0</v>
      </c>
      <c r="X298" s="29">
        <f t="shared" si="93"/>
        <v>149048.33912906065</v>
      </c>
      <c r="Y298">
        <f t="shared" si="94"/>
        <v>0</v>
      </c>
    </row>
    <row r="299" spans="1:25" x14ac:dyDescent="0.25">
      <c r="A299" s="4" t="s">
        <v>1227</v>
      </c>
      <c r="B299" s="7" t="s">
        <v>306</v>
      </c>
      <c r="C299" s="2" t="s">
        <v>1228</v>
      </c>
      <c r="D299">
        <f>VLOOKUP(B299,'Model allocations'!$A$1:$L$317,4,FALSE)</f>
        <v>0</v>
      </c>
      <c r="E299" s="31">
        <f>VLOOKUP(B299,'Initial adjusted formula count'!$A$1:$P$317,12,FALSE)</f>
        <v>0.108359133126935</v>
      </c>
      <c r="F299">
        <f>VLOOKUP(B299,'Model allocations'!$A$1:$L$317,9,FALSE)</f>
        <v>0</v>
      </c>
      <c r="G299" s="30">
        <f t="shared" si="83"/>
        <v>0.85</v>
      </c>
      <c r="H299">
        <f t="shared" si="84"/>
        <v>0</v>
      </c>
      <c r="I299">
        <f t="shared" si="76"/>
        <v>0</v>
      </c>
      <c r="J299">
        <f t="shared" si="77"/>
        <v>0</v>
      </c>
      <c r="K299">
        <f t="shared" si="78"/>
        <v>0</v>
      </c>
      <c r="L299">
        <f t="shared" si="85"/>
        <v>0</v>
      </c>
      <c r="M299">
        <f t="shared" si="79"/>
        <v>0</v>
      </c>
      <c r="N299" s="29">
        <f t="shared" si="86"/>
        <v>0</v>
      </c>
      <c r="O299" s="29">
        <f t="shared" si="80"/>
        <v>0</v>
      </c>
      <c r="P299" s="29">
        <f t="shared" si="87"/>
        <v>0</v>
      </c>
      <c r="Q299">
        <f t="shared" si="88"/>
        <v>0</v>
      </c>
      <c r="R299" s="29">
        <f t="shared" si="89"/>
        <v>0</v>
      </c>
      <c r="S299" s="29">
        <f t="shared" si="81"/>
        <v>0</v>
      </c>
      <c r="T299" s="29">
        <f t="shared" si="90"/>
        <v>0</v>
      </c>
      <c r="U299">
        <f t="shared" si="91"/>
        <v>0</v>
      </c>
      <c r="V299" s="29">
        <f t="shared" si="92"/>
        <v>0</v>
      </c>
      <c r="W299" s="29">
        <f t="shared" si="82"/>
        <v>0</v>
      </c>
      <c r="X299" s="29">
        <f t="shared" si="93"/>
        <v>0</v>
      </c>
      <c r="Y299">
        <f t="shared" si="94"/>
        <v>0</v>
      </c>
    </row>
    <row r="300" spans="1:25" x14ac:dyDescent="0.25">
      <c r="A300" s="4" t="s">
        <v>1229</v>
      </c>
      <c r="B300" s="7" t="s">
        <v>255</v>
      </c>
      <c r="C300" s="2" t="s">
        <v>1230</v>
      </c>
      <c r="D300">
        <f>VLOOKUP(B300,'Model allocations'!$A$1:$L$317,4,FALSE)</f>
        <v>0</v>
      </c>
      <c r="E300" s="31">
        <f>VLOOKUP(B300,'Initial adjusted formula count'!$A$1:$P$317,12,FALSE)</f>
        <v>0.116534181240064</v>
      </c>
      <c r="F300">
        <f>VLOOKUP(B300,'Model allocations'!$A$1:$L$317,9,FALSE)</f>
        <v>0</v>
      </c>
      <c r="G300" s="30">
        <f t="shared" si="83"/>
        <v>0.85</v>
      </c>
      <c r="H300">
        <f t="shared" si="84"/>
        <v>0</v>
      </c>
      <c r="I300">
        <f t="shared" si="76"/>
        <v>0</v>
      </c>
      <c r="J300">
        <f t="shared" si="77"/>
        <v>0</v>
      </c>
      <c r="K300">
        <f t="shared" si="78"/>
        <v>0</v>
      </c>
      <c r="L300">
        <f t="shared" si="85"/>
        <v>0</v>
      </c>
      <c r="M300">
        <f t="shared" si="79"/>
        <v>0</v>
      </c>
      <c r="N300" s="29">
        <f t="shared" si="86"/>
        <v>0</v>
      </c>
      <c r="O300" s="29">
        <f t="shared" si="80"/>
        <v>0</v>
      </c>
      <c r="P300" s="29">
        <f t="shared" si="87"/>
        <v>0</v>
      </c>
      <c r="Q300">
        <f t="shared" si="88"/>
        <v>0</v>
      </c>
      <c r="R300" s="29">
        <f t="shared" si="89"/>
        <v>0</v>
      </c>
      <c r="S300" s="29">
        <f t="shared" si="81"/>
        <v>0</v>
      </c>
      <c r="T300" s="29">
        <f t="shared" si="90"/>
        <v>0</v>
      </c>
      <c r="U300">
        <f t="shared" si="91"/>
        <v>0</v>
      </c>
      <c r="V300" s="29">
        <f t="shared" si="92"/>
        <v>0</v>
      </c>
      <c r="W300" s="29">
        <f t="shared" si="82"/>
        <v>0</v>
      </c>
      <c r="X300" s="29">
        <f t="shared" si="93"/>
        <v>0</v>
      </c>
      <c r="Y300">
        <f t="shared" si="94"/>
        <v>0</v>
      </c>
    </row>
    <row r="301" spans="1:25" x14ac:dyDescent="0.25">
      <c r="A301" s="4" t="s">
        <v>13</v>
      </c>
      <c r="B301" s="7" t="s">
        <v>68</v>
      </c>
      <c r="C301" s="2" t="s">
        <v>1231</v>
      </c>
      <c r="D301">
        <f>VLOOKUP(B301,'Model allocations'!$A$1:$L$317,4,FALSE)</f>
        <v>0</v>
      </c>
      <c r="E301" s="31">
        <f>VLOOKUP(B301,'Initial adjusted formula count'!$A$1:$P$317,12,FALSE)</f>
        <v>7.0311301925765499E-2</v>
      </c>
      <c r="F301">
        <f>VLOOKUP(B301,'Model allocations'!$A$1:$L$317,9,FALSE)</f>
        <v>0</v>
      </c>
      <c r="G301" s="30">
        <f t="shared" si="83"/>
        <v>0.85</v>
      </c>
      <c r="H301">
        <f t="shared" si="84"/>
        <v>0</v>
      </c>
      <c r="I301">
        <f t="shared" si="76"/>
        <v>0</v>
      </c>
      <c r="J301">
        <f t="shared" si="77"/>
        <v>0</v>
      </c>
      <c r="K301">
        <f t="shared" si="78"/>
        <v>0</v>
      </c>
      <c r="L301">
        <f t="shared" si="85"/>
        <v>0</v>
      </c>
      <c r="M301">
        <f t="shared" si="79"/>
        <v>0</v>
      </c>
      <c r="N301" s="29">
        <f t="shared" si="86"/>
        <v>0</v>
      </c>
      <c r="O301" s="29">
        <f t="shared" si="80"/>
        <v>0</v>
      </c>
      <c r="P301" s="29">
        <f t="shared" si="87"/>
        <v>0</v>
      </c>
      <c r="Q301">
        <f t="shared" si="88"/>
        <v>0</v>
      </c>
      <c r="R301" s="29">
        <f t="shared" si="89"/>
        <v>0</v>
      </c>
      <c r="S301" s="29">
        <f t="shared" si="81"/>
        <v>0</v>
      </c>
      <c r="T301" s="29">
        <f t="shared" si="90"/>
        <v>0</v>
      </c>
      <c r="U301">
        <f t="shared" si="91"/>
        <v>0</v>
      </c>
      <c r="V301" s="29">
        <f t="shared" si="92"/>
        <v>0</v>
      </c>
      <c r="W301" s="29">
        <f t="shared" si="82"/>
        <v>0</v>
      </c>
      <c r="X301" s="29">
        <f t="shared" si="93"/>
        <v>0</v>
      </c>
      <c r="Y301">
        <f t="shared" si="94"/>
        <v>0</v>
      </c>
    </row>
    <row r="302" spans="1:25" x14ac:dyDescent="0.25">
      <c r="A302" s="4" t="s">
        <v>1232</v>
      </c>
      <c r="B302" s="7" t="s">
        <v>631</v>
      </c>
      <c r="C302" s="2" t="s">
        <v>1233</v>
      </c>
      <c r="D302">
        <f>VLOOKUP(B302,'Model allocations'!$A$1:$L$317,4,FALSE)</f>
        <v>20144.150007681394</v>
      </c>
      <c r="E302" s="31">
        <f>VLOOKUP(B302,'Initial adjusted formula count'!$A$1:$P$317,12,FALSE)</f>
        <v>0.20421052631578901</v>
      </c>
      <c r="F302">
        <f>VLOOKUP(B302,'Model allocations'!$A$1:$L$317,9,FALSE)</f>
        <v>22697.372889349022</v>
      </c>
      <c r="G302" s="30">
        <f t="shared" si="83"/>
        <v>0.9</v>
      </c>
      <c r="H302">
        <f t="shared" si="84"/>
        <v>18129.735006913255</v>
      </c>
      <c r="I302">
        <f t="shared" si="76"/>
        <v>0</v>
      </c>
      <c r="J302">
        <f t="shared" si="77"/>
        <v>22697.372889349022</v>
      </c>
      <c r="K302">
        <f t="shared" si="78"/>
        <v>22678.302915724351</v>
      </c>
      <c r="L302">
        <f t="shared" si="85"/>
        <v>22678.302915724351</v>
      </c>
      <c r="M302">
        <f t="shared" si="79"/>
        <v>0</v>
      </c>
      <c r="N302" s="29">
        <f t="shared" si="86"/>
        <v>22678.302915724351</v>
      </c>
      <c r="O302" s="29">
        <f t="shared" si="80"/>
        <v>22672.61362240521</v>
      </c>
      <c r="P302" s="29">
        <f t="shared" si="87"/>
        <v>22672.61362240521</v>
      </c>
      <c r="Q302">
        <f t="shared" si="88"/>
        <v>0</v>
      </c>
      <c r="R302" s="29">
        <f t="shared" si="89"/>
        <v>22672.61362240521</v>
      </c>
      <c r="S302" s="29">
        <f t="shared" si="81"/>
        <v>22672.613622405206</v>
      </c>
      <c r="T302" s="29">
        <f t="shared" si="90"/>
        <v>22672.613622405206</v>
      </c>
      <c r="U302">
        <f t="shared" si="91"/>
        <v>0</v>
      </c>
      <c r="V302" s="29">
        <f t="shared" si="92"/>
        <v>22672.613622405206</v>
      </c>
      <c r="W302" s="29">
        <f t="shared" si="82"/>
        <v>22672.613622405206</v>
      </c>
      <c r="X302" s="29">
        <f t="shared" si="93"/>
        <v>22672.613622405206</v>
      </c>
      <c r="Y302">
        <f t="shared" si="94"/>
        <v>0</v>
      </c>
    </row>
    <row r="303" spans="1:25" x14ac:dyDescent="0.25">
      <c r="A303" s="4" t="s">
        <v>1234</v>
      </c>
      <c r="B303" s="7" t="s">
        <v>256</v>
      </c>
      <c r="C303" s="2" t="s">
        <v>1235</v>
      </c>
      <c r="D303">
        <f>VLOOKUP(B303,'Model allocations'!$A$1:$L$317,4,FALSE)</f>
        <v>0</v>
      </c>
      <c r="E303" s="31">
        <f>VLOOKUP(B303,'Initial adjusted formula count'!$A$1:$P$317,12,FALSE)</f>
        <v>4.2054099746407399E-2</v>
      </c>
      <c r="F303">
        <f>VLOOKUP(B303,'Model allocations'!$A$1:$L$317,9,FALSE)</f>
        <v>0</v>
      </c>
      <c r="G303" s="30">
        <f t="shared" si="83"/>
        <v>0.85</v>
      </c>
      <c r="H303">
        <f t="shared" si="84"/>
        <v>0</v>
      </c>
      <c r="I303">
        <f t="shared" si="76"/>
        <v>0</v>
      </c>
      <c r="J303">
        <f t="shared" si="77"/>
        <v>0</v>
      </c>
      <c r="K303">
        <f t="shared" si="78"/>
        <v>0</v>
      </c>
      <c r="L303">
        <f t="shared" si="85"/>
        <v>0</v>
      </c>
      <c r="M303">
        <f t="shared" si="79"/>
        <v>0</v>
      </c>
      <c r="N303" s="29">
        <f t="shared" si="86"/>
        <v>0</v>
      </c>
      <c r="O303" s="29">
        <f t="shared" si="80"/>
        <v>0</v>
      </c>
      <c r="P303" s="29">
        <f t="shared" si="87"/>
        <v>0</v>
      </c>
      <c r="Q303">
        <f t="shared" si="88"/>
        <v>0</v>
      </c>
      <c r="R303" s="29">
        <f t="shared" si="89"/>
        <v>0</v>
      </c>
      <c r="S303" s="29">
        <f t="shared" si="81"/>
        <v>0</v>
      </c>
      <c r="T303" s="29">
        <f t="shared" si="90"/>
        <v>0</v>
      </c>
      <c r="U303">
        <f t="shared" si="91"/>
        <v>0</v>
      </c>
      <c r="V303" s="29">
        <f t="shared" si="92"/>
        <v>0</v>
      </c>
      <c r="W303" s="29">
        <f t="shared" si="82"/>
        <v>0</v>
      </c>
      <c r="X303" s="29">
        <f t="shared" si="93"/>
        <v>0</v>
      </c>
      <c r="Y303">
        <f t="shared" si="94"/>
        <v>0</v>
      </c>
    </row>
    <row r="304" spans="1:25" x14ac:dyDescent="0.25">
      <c r="A304" s="4" t="s">
        <v>1236</v>
      </c>
      <c r="B304" s="7" t="s">
        <v>307</v>
      </c>
      <c r="C304" s="2" t="s">
        <v>1237</v>
      </c>
      <c r="D304">
        <f>VLOOKUP(B304,'Model allocations'!$A$1:$L$317,4,FALSE)</f>
        <v>0</v>
      </c>
      <c r="E304" s="31">
        <f>VLOOKUP(B304,'Initial adjusted formula count'!$A$1:$P$317,12,FALSE)</f>
        <v>0.12266450040617401</v>
      </c>
      <c r="F304">
        <f>VLOOKUP(B304,'Model allocations'!$A$1:$L$317,9,FALSE)</f>
        <v>0</v>
      </c>
      <c r="G304" s="30">
        <f t="shared" si="83"/>
        <v>0.85</v>
      </c>
      <c r="H304">
        <f t="shared" si="84"/>
        <v>0</v>
      </c>
      <c r="I304">
        <f t="shared" si="76"/>
        <v>0</v>
      </c>
      <c r="J304">
        <f t="shared" si="77"/>
        <v>0</v>
      </c>
      <c r="K304">
        <f t="shared" si="78"/>
        <v>0</v>
      </c>
      <c r="L304">
        <f t="shared" si="85"/>
        <v>0</v>
      </c>
      <c r="M304">
        <f t="shared" si="79"/>
        <v>0</v>
      </c>
      <c r="N304" s="29">
        <f t="shared" si="86"/>
        <v>0</v>
      </c>
      <c r="O304" s="29">
        <f t="shared" si="80"/>
        <v>0</v>
      </c>
      <c r="P304" s="29">
        <f t="shared" si="87"/>
        <v>0</v>
      </c>
      <c r="Q304">
        <f t="shared" si="88"/>
        <v>0</v>
      </c>
      <c r="R304" s="29">
        <f t="shared" si="89"/>
        <v>0</v>
      </c>
      <c r="S304" s="29">
        <f t="shared" si="81"/>
        <v>0</v>
      </c>
      <c r="T304" s="29">
        <f t="shared" si="90"/>
        <v>0</v>
      </c>
      <c r="U304">
        <f t="shared" si="91"/>
        <v>0</v>
      </c>
      <c r="V304" s="29">
        <f t="shared" si="92"/>
        <v>0</v>
      </c>
      <c r="W304" s="29">
        <f t="shared" si="82"/>
        <v>0</v>
      </c>
      <c r="X304" s="29">
        <f t="shared" si="93"/>
        <v>0</v>
      </c>
      <c r="Y304">
        <f t="shared" si="94"/>
        <v>0</v>
      </c>
    </row>
    <row r="305" spans="1:25" x14ac:dyDescent="0.25">
      <c r="A305" s="4" t="s">
        <v>19</v>
      </c>
      <c r="B305" s="7" t="s">
        <v>70</v>
      </c>
      <c r="C305" s="2" t="s">
        <v>1238</v>
      </c>
      <c r="D305">
        <f>VLOOKUP(B305,'Model allocations'!$A$1:$L$317,4,FALSE)</f>
        <v>8179.312435133852</v>
      </c>
      <c r="E305" s="31">
        <f>VLOOKUP(B305,'Initial adjusted formula count'!$A$1:$P$317,12,FALSE)</f>
        <v>0.18500267811471999</v>
      </c>
      <c r="F305">
        <f>VLOOKUP(B305,'Model allocations'!$A$1:$L$317,9,FALSE)</f>
        <v>6334.6866815684616</v>
      </c>
      <c r="G305" s="30">
        <f t="shared" si="83"/>
        <v>0.9</v>
      </c>
      <c r="H305">
        <f t="shared" si="84"/>
        <v>7361.3811916204668</v>
      </c>
      <c r="I305">
        <f t="shared" si="76"/>
        <v>7361.3811916204668</v>
      </c>
      <c r="J305">
        <f t="shared" si="77"/>
        <v>0</v>
      </c>
      <c r="K305">
        <f t="shared" si="78"/>
        <v>0</v>
      </c>
      <c r="L305">
        <f t="shared" si="85"/>
        <v>7361.3811916204668</v>
      </c>
      <c r="M305">
        <f t="shared" si="79"/>
        <v>0</v>
      </c>
      <c r="N305" s="29">
        <f t="shared" si="86"/>
        <v>0</v>
      </c>
      <c r="O305" s="29">
        <f t="shared" si="80"/>
        <v>0</v>
      </c>
      <c r="P305" s="29">
        <f t="shared" si="87"/>
        <v>7361.3811916204668</v>
      </c>
      <c r="Q305">
        <f t="shared" si="88"/>
        <v>0</v>
      </c>
      <c r="R305" s="29">
        <f t="shared" si="89"/>
        <v>0</v>
      </c>
      <c r="S305" s="29">
        <f t="shared" si="81"/>
        <v>0</v>
      </c>
      <c r="T305" s="29">
        <f t="shared" si="90"/>
        <v>7361.3811916204668</v>
      </c>
      <c r="U305">
        <f t="shared" si="91"/>
        <v>0</v>
      </c>
      <c r="V305" s="29">
        <f t="shared" si="92"/>
        <v>0</v>
      </c>
      <c r="W305" s="29">
        <f t="shared" si="82"/>
        <v>0</v>
      </c>
      <c r="X305" s="29">
        <f t="shared" si="93"/>
        <v>7361.3811916204668</v>
      </c>
      <c r="Y305">
        <f t="shared" si="94"/>
        <v>0</v>
      </c>
    </row>
    <row r="306" spans="1:25" x14ac:dyDescent="0.25">
      <c r="A306" s="4" t="s">
        <v>1239</v>
      </c>
      <c r="B306" s="7" t="s">
        <v>258</v>
      </c>
      <c r="C306" s="2" t="s">
        <v>1240</v>
      </c>
      <c r="D306">
        <f>VLOOKUP(B306,'Model allocations'!$A$1:$L$317,4,FALSE)</f>
        <v>0</v>
      </c>
      <c r="E306" s="31">
        <f>VLOOKUP(B306,'Initial adjusted formula count'!$A$1:$P$317,12,FALSE)</f>
        <v>0.12831858407079599</v>
      </c>
      <c r="F306">
        <f>VLOOKUP(B306,'Model allocations'!$A$1:$L$317,9,FALSE)</f>
        <v>0</v>
      </c>
      <c r="G306" s="30">
        <f t="shared" si="83"/>
        <v>0.85</v>
      </c>
      <c r="H306">
        <f t="shared" si="84"/>
        <v>0</v>
      </c>
      <c r="I306">
        <f t="shared" si="76"/>
        <v>0</v>
      </c>
      <c r="J306">
        <f t="shared" si="77"/>
        <v>0</v>
      </c>
      <c r="K306">
        <f t="shared" si="78"/>
        <v>0</v>
      </c>
      <c r="L306">
        <f t="shared" si="85"/>
        <v>0</v>
      </c>
      <c r="M306">
        <f t="shared" si="79"/>
        <v>0</v>
      </c>
      <c r="N306" s="29">
        <f t="shared" si="86"/>
        <v>0</v>
      </c>
      <c r="O306" s="29">
        <f t="shared" si="80"/>
        <v>0</v>
      </c>
      <c r="P306" s="29">
        <f t="shared" si="87"/>
        <v>0</v>
      </c>
      <c r="Q306">
        <f t="shared" si="88"/>
        <v>0</v>
      </c>
      <c r="R306" s="29">
        <f t="shared" si="89"/>
        <v>0</v>
      </c>
      <c r="S306" s="29">
        <f t="shared" si="81"/>
        <v>0</v>
      </c>
      <c r="T306" s="29">
        <f t="shared" si="90"/>
        <v>0</v>
      </c>
      <c r="U306">
        <f t="shared" si="91"/>
        <v>0</v>
      </c>
      <c r="V306" s="29">
        <f t="shared" si="92"/>
        <v>0</v>
      </c>
      <c r="W306" s="29">
        <f t="shared" si="82"/>
        <v>0</v>
      </c>
      <c r="X306" s="29">
        <f t="shared" si="93"/>
        <v>0</v>
      </c>
      <c r="Y306">
        <f t="shared" si="94"/>
        <v>0</v>
      </c>
    </row>
    <row r="307" spans="1:25" x14ac:dyDescent="0.25">
      <c r="A307" s="4" t="s">
        <v>1241</v>
      </c>
      <c r="B307" s="7" t="s">
        <v>633</v>
      </c>
      <c r="C307" s="2" t="s">
        <v>1242</v>
      </c>
      <c r="D307">
        <f>VLOOKUP(B307,'Model allocations'!$A$1:$L$317,4,FALSE)</f>
        <v>11321.525852586967</v>
      </c>
      <c r="E307" s="31">
        <f>VLOOKUP(B307,'Initial adjusted formula count'!$A$1:$P$317,12,FALSE)</f>
        <v>8.4639498432601906E-2</v>
      </c>
      <c r="F307">
        <f>VLOOKUP(B307,'Model allocations'!$A$1:$L$317,9,FALSE)</f>
        <v>9623.296974698922</v>
      </c>
      <c r="G307" s="30">
        <f t="shared" si="83"/>
        <v>0.85</v>
      </c>
      <c r="H307">
        <f t="shared" si="84"/>
        <v>9623.296974698922</v>
      </c>
      <c r="I307">
        <f t="shared" si="76"/>
        <v>0</v>
      </c>
      <c r="J307">
        <f t="shared" si="77"/>
        <v>9623.296974698922</v>
      </c>
      <c r="K307">
        <f t="shared" si="78"/>
        <v>9615.2116328232551</v>
      </c>
      <c r="L307">
        <f t="shared" si="85"/>
        <v>9615.2116328232551</v>
      </c>
      <c r="M307">
        <f t="shared" si="79"/>
        <v>9623.296974698922</v>
      </c>
      <c r="N307" s="29">
        <f t="shared" si="86"/>
        <v>0</v>
      </c>
      <c r="O307" s="29">
        <f t="shared" si="80"/>
        <v>0</v>
      </c>
      <c r="P307" s="29">
        <f t="shared" si="87"/>
        <v>9623.296974698922</v>
      </c>
      <c r="Q307">
        <f t="shared" si="88"/>
        <v>0</v>
      </c>
      <c r="R307" s="29">
        <f t="shared" si="89"/>
        <v>0</v>
      </c>
      <c r="S307" s="29">
        <f t="shared" si="81"/>
        <v>0</v>
      </c>
      <c r="T307" s="29">
        <f t="shared" si="90"/>
        <v>9623.296974698922</v>
      </c>
      <c r="U307">
        <f t="shared" si="91"/>
        <v>0</v>
      </c>
      <c r="V307" s="29">
        <f t="shared" si="92"/>
        <v>0</v>
      </c>
      <c r="W307" s="29">
        <f t="shared" si="82"/>
        <v>0</v>
      </c>
      <c r="X307" s="29">
        <f t="shared" si="93"/>
        <v>9623.296974698922</v>
      </c>
      <c r="Y307">
        <f t="shared" si="94"/>
        <v>0</v>
      </c>
    </row>
    <row r="308" spans="1:25" x14ac:dyDescent="0.25">
      <c r="A308" s="4" t="s">
        <v>1243</v>
      </c>
      <c r="B308" s="7" t="s">
        <v>635</v>
      </c>
      <c r="C308" s="2" t="s">
        <v>1244</v>
      </c>
      <c r="D308">
        <f>VLOOKUP(B308,'Model allocations'!$A$1:$L$317,4,FALSE)</f>
        <v>2510.0445587040394</v>
      </c>
      <c r="E308" s="31">
        <f>VLOOKUP(B308,'Initial adjusted formula count'!$A$1:$P$317,12,FALSE)</f>
        <v>0.14285714285714299</v>
      </c>
      <c r="F308">
        <f>VLOOKUP(B308,'Model allocations'!$A$1:$L$317,9,FALSE)</f>
        <v>2133.5378748984335</v>
      </c>
      <c r="G308" s="30">
        <f t="shared" si="83"/>
        <v>0.85</v>
      </c>
      <c r="H308">
        <f t="shared" si="84"/>
        <v>2133.5378748984335</v>
      </c>
      <c r="I308">
        <f t="shared" si="76"/>
        <v>0</v>
      </c>
      <c r="J308">
        <f t="shared" si="77"/>
        <v>2133.5378748984335</v>
      </c>
      <c r="K308">
        <f t="shared" si="78"/>
        <v>2131.7453101289379</v>
      </c>
      <c r="L308">
        <f t="shared" si="85"/>
        <v>2131.7453101289379</v>
      </c>
      <c r="M308">
        <f t="shared" si="79"/>
        <v>2133.5378748984335</v>
      </c>
      <c r="N308" s="29">
        <f t="shared" si="86"/>
        <v>0</v>
      </c>
      <c r="O308" s="29">
        <f t="shared" si="80"/>
        <v>0</v>
      </c>
      <c r="P308" s="29">
        <f t="shared" si="87"/>
        <v>2133.5378748984335</v>
      </c>
      <c r="Q308">
        <f t="shared" si="88"/>
        <v>0</v>
      </c>
      <c r="R308" s="29">
        <f t="shared" si="89"/>
        <v>0</v>
      </c>
      <c r="S308" s="29">
        <f t="shared" si="81"/>
        <v>0</v>
      </c>
      <c r="T308" s="29">
        <f t="shared" si="90"/>
        <v>2133.5378748984335</v>
      </c>
      <c r="U308">
        <f t="shared" si="91"/>
        <v>0</v>
      </c>
      <c r="V308" s="29">
        <f t="shared" si="92"/>
        <v>0</v>
      </c>
      <c r="W308" s="29">
        <f t="shared" si="82"/>
        <v>0</v>
      </c>
      <c r="X308" s="29">
        <f t="shared" si="93"/>
        <v>2133.5378748984335</v>
      </c>
      <c r="Y308">
        <f t="shared" si="94"/>
        <v>0</v>
      </c>
    </row>
    <row r="309" spans="1:25" x14ac:dyDescent="0.25">
      <c r="A309" s="4" t="s">
        <v>1245</v>
      </c>
      <c r="B309" s="7" t="s">
        <v>637</v>
      </c>
      <c r="C309" s="2" t="s">
        <v>1246</v>
      </c>
      <c r="D309">
        <f>VLOOKUP(B309,'Model allocations'!$A$1:$L$317,4,FALSE)</f>
        <v>22063.996591020456</v>
      </c>
      <c r="E309" s="31">
        <f>VLOOKUP(B309,'Initial adjusted formula count'!$A$1:$P$317,12,FALSE)</f>
        <v>0.121654501216545</v>
      </c>
      <c r="F309">
        <f>VLOOKUP(B309,'Model allocations'!$A$1:$L$317,9,FALSE)</f>
        <v>18754.397102367388</v>
      </c>
      <c r="G309" s="30">
        <f t="shared" si="83"/>
        <v>0.85</v>
      </c>
      <c r="H309">
        <f t="shared" si="84"/>
        <v>18754.397102367388</v>
      </c>
      <c r="I309">
        <f t="shared" si="76"/>
        <v>0</v>
      </c>
      <c r="J309">
        <f t="shared" si="77"/>
        <v>18754.397102367388</v>
      </c>
      <c r="K309">
        <f t="shared" si="78"/>
        <v>18738.639954620274</v>
      </c>
      <c r="L309">
        <f t="shared" si="85"/>
        <v>18738.639954620274</v>
      </c>
      <c r="M309">
        <f t="shared" si="79"/>
        <v>18754.397102367388</v>
      </c>
      <c r="N309" s="29">
        <f t="shared" si="86"/>
        <v>0</v>
      </c>
      <c r="O309" s="29">
        <f t="shared" si="80"/>
        <v>0</v>
      </c>
      <c r="P309" s="29">
        <f t="shared" si="87"/>
        <v>18754.397102367388</v>
      </c>
      <c r="Q309">
        <f t="shared" si="88"/>
        <v>0</v>
      </c>
      <c r="R309" s="29">
        <f t="shared" si="89"/>
        <v>0</v>
      </c>
      <c r="S309" s="29">
        <f t="shared" si="81"/>
        <v>0</v>
      </c>
      <c r="T309" s="29">
        <f t="shared" si="90"/>
        <v>18754.397102367388</v>
      </c>
      <c r="U309">
        <f t="shared" si="91"/>
        <v>0</v>
      </c>
      <c r="V309" s="29">
        <f t="shared" si="92"/>
        <v>0</v>
      </c>
      <c r="W309" s="29">
        <f t="shared" si="82"/>
        <v>0</v>
      </c>
      <c r="X309" s="29">
        <f t="shared" si="93"/>
        <v>18754.397102367388</v>
      </c>
      <c r="Y309">
        <f t="shared" si="94"/>
        <v>0</v>
      </c>
    </row>
    <row r="310" spans="1:25" x14ac:dyDescent="0.25">
      <c r="A310" s="4" t="s">
        <v>1247</v>
      </c>
      <c r="B310" s="7" t="s">
        <v>639</v>
      </c>
      <c r="C310" s="2" t="s">
        <v>1248</v>
      </c>
      <c r="D310">
        <f>VLOOKUP(B310,'Model allocations'!$A$1:$L$317,4,FALSE)</f>
        <v>0</v>
      </c>
      <c r="E310" s="31">
        <f>VLOOKUP(B310,'Initial adjusted formula count'!$A$1:$P$317,12,FALSE)</f>
        <v>0.19047619047618999</v>
      </c>
      <c r="F310">
        <f>VLOOKUP(B310,'Model allocations'!$A$1:$L$317,9,FALSE)</f>
        <v>6551.8189783687894</v>
      </c>
      <c r="G310" s="30">
        <f t="shared" si="83"/>
        <v>0.9</v>
      </c>
      <c r="H310">
        <f t="shared" si="84"/>
        <v>0</v>
      </c>
      <c r="I310">
        <f t="shared" si="76"/>
        <v>0</v>
      </c>
      <c r="J310">
        <f t="shared" si="77"/>
        <v>6551.8189783687894</v>
      </c>
      <c r="K310">
        <f t="shared" si="78"/>
        <v>6546.3142437142451</v>
      </c>
      <c r="L310">
        <f t="shared" si="85"/>
        <v>6546.3142437142451</v>
      </c>
      <c r="M310">
        <f t="shared" si="79"/>
        <v>0</v>
      </c>
      <c r="N310" s="29">
        <f t="shared" si="86"/>
        <v>6546.3142437142451</v>
      </c>
      <c r="O310" s="29">
        <f t="shared" si="80"/>
        <v>6544.6719734777917</v>
      </c>
      <c r="P310" s="29">
        <f t="shared" si="87"/>
        <v>6544.6719734777917</v>
      </c>
      <c r="Q310">
        <f t="shared" si="88"/>
        <v>0</v>
      </c>
      <c r="R310" s="29">
        <f t="shared" si="89"/>
        <v>6544.6719734777917</v>
      </c>
      <c r="S310" s="29">
        <f t="shared" si="81"/>
        <v>6544.6719734777898</v>
      </c>
      <c r="T310" s="29">
        <f t="shared" si="90"/>
        <v>6544.6719734777898</v>
      </c>
      <c r="U310">
        <f t="shared" si="91"/>
        <v>0</v>
      </c>
      <c r="V310" s="29">
        <f t="shared" si="92"/>
        <v>6544.6719734777898</v>
      </c>
      <c r="W310" s="29">
        <f t="shared" si="82"/>
        <v>6544.6719734777898</v>
      </c>
      <c r="X310" s="29">
        <f t="shared" si="93"/>
        <v>6544.6719734777898</v>
      </c>
      <c r="Y310">
        <f t="shared" si="94"/>
        <v>0</v>
      </c>
    </row>
    <row r="311" spans="1:25" x14ac:dyDescent="0.25">
      <c r="A311" s="4" t="s">
        <v>1249</v>
      </c>
      <c r="B311" s="7" t="s">
        <v>641</v>
      </c>
      <c r="C311" s="2" t="s">
        <v>1250</v>
      </c>
      <c r="D311">
        <f>VLOOKUP(B311,'Model allocations'!$A$1:$L$317,4,FALSE)</f>
        <v>3627.0109806168002</v>
      </c>
      <c r="E311" s="31">
        <f>VLOOKUP(B311,'Initial adjusted formula count'!$A$1:$P$317,12,FALSE)</f>
        <v>0.70454545454545403</v>
      </c>
      <c r="F311">
        <f>VLOOKUP(B311,'Model allocations'!$A$1:$L$317,9,FALSE)</f>
        <v>7253.7995831940152</v>
      </c>
      <c r="G311" s="30">
        <f t="shared" si="83"/>
        <v>0.95</v>
      </c>
      <c r="H311">
        <f t="shared" si="84"/>
        <v>3445.6604315859599</v>
      </c>
      <c r="I311">
        <f t="shared" si="76"/>
        <v>0</v>
      </c>
      <c r="J311">
        <f t="shared" si="77"/>
        <v>7253.7995831940152</v>
      </c>
      <c r="K311">
        <f t="shared" si="78"/>
        <v>7247.7050555407704</v>
      </c>
      <c r="L311">
        <f t="shared" si="85"/>
        <v>7247.7050555407704</v>
      </c>
      <c r="M311">
        <f t="shared" si="79"/>
        <v>0</v>
      </c>
      <c r="N311" s="29">
        <f t="shared" si="86"/>
        <v>7247.7050555407704</v>
      </c>
      <c r="O311" s="29">
        <f t="shared" si="80"/>
        <v>7245.8868277789825</v>
      </c>
      <c r="P311" s="29">
        <f t="shared" si="87"/>
        <v>7245.8868277789825</v>
      </c>
      <c r="Q311">
        <f t="shared" si="88"/>
        <v>0</v>
      </c>
      <c r="R311" s="29">
        <f t="shared" si="89"/>
        <v>7245.8868277789825</v>
      </c>
      <c r="S311" s="29">
        <f t="shared" si="81"/>
        <v>7245.8868277789807</v>
      </c>
      <c r="T311" s="29">
        <f t="shared" si="90"/>
        <v>7245.8868277789807</v>
      </c>
      <c r="U311">
        <f t="shared" si="91"/>
        <v>0</v>
      </c>
      <c r="V311" s="29">
        <f t="shared" si="92"/>
        <v>7245.8868277789807</v>
      </c>
      <c r="W311" s="29">
        <f t="shared" si="82"/>
        <v>7245.8868277789807</v>
      </c>
      <c r="X311" s="29">
        <f t="shared" si="93"/>
        <v>7245.8868277789807</v>
      </c>
      <c r="Y311">
        <f t="shared" si="94"/>
        <v>0</v>
      </c>
    </row>
    <row r="312" spans="1:25" x14ac:dyDescent="0.25">
      <c r="A312" s="4" t="s">
        <v>1251</v>
      </c>
      <c r="B312" s="7" t="s">
        <v>643</v>
      </c>
      <c r="C312" s="2" t="s">
        <v>1252</v>
      </c>
      <c r="D312">
        <f>VLOOKUP(B312,'Model allocations'!$A$1:$L$317,4,FALSE)</f>
        <v>0</v>
      </c>
      <c r="E312" s="31">
        <f>VLOOKUP(B312,'Initial adjusted formula count'!$A$1:$P$317,12,FALSE)</f>
        <v>9.9404318689501101E-2</v>
      </c>
      <c r="F312">
        <f>VLOOKUP(B312,'Model allocations'!$A$1:$L$317,9,FALSE)</f>
        <v>0</v>
      </c>
      <c r="G312" s="30">
        <f t="shared" si="83"/>
        <v>0.85</v>
      </c>
      <c r="H312">
        <f t="shared" si="84"/>
        <v>0</v>
      </c>
      <c r="I312">
        <f t="shared" si="76"/>
        <v>0</v>
      </c>
      <c r="J312">
        <f t="shared" si="77"/>
        <v>0</v>
      </c>
      <c r="K312">
        <f t="shared" si="78"/>
        <v>0</v>
      </c>
      <c r="L312">
        <f t="shared" si="85"/>
        <v>0</v>
      </c>
      <c r="M312">
        <f t="shared" si="79"/>
        <v>0</v>
      </c>
      <c r="N312" s="29">
        <f t="shared" si="86"/>
        <v>0</v>
      </c>
      <c r="O312" s="29">
        <f t="shared" si="80"/>
        <v>0</v>
      </c>
      <c r="P312" s="29">
        <f t="shared" si="87"/>
        <v>0</v>
      </c>
      <c r="Q312">
        <f t="shared" si="88"/>
        <v>0</v>
      </c>
      <c r="R312" s="29">
        <f t="shared" si="89"/>
        <v>0</v>
      </c>
      <c r="S312" s="29">
        <f t="shared" si="81"/>
        <v>0</v>
      </c>
      <c r="T312" s="29">
        <f t="shared" si="90"/>
        <v>0</v>
      </c>
      <c r="U312">
        <f t="shared" si="91"/>
        <v>0</v>
      </c>
      <c r="V312" s="29">
        <f t="shared" si="92"/>
        <v>0</v>
      </c>
      <c r="W312" s="29">
        <f t="shared" si="82"/>
        <v>0</v>
      </c>
      <c r="X312" s="29">
        <f t="shared" si="93"/>
        <v>0</v>
      </c>
      <c r="Y312">
        <f t="shared" si="94"/>
        <v>0</v>
      </c>
    </row>
    <row r="313" spans="1:25" x14ac:dyDescent="0.25">
      <c r="A313" s="4" t="s">
        <v>1253</v>
      </c>
      <c r="B313" s="7" t="s">
        <v>645</v>
      </c>
      <c r="C313" s="2" t="s">
        <v>1254</v>
      </c>
      <c r="D313">
        <f>VLOOKUP(B313,'Model allocations'!$A$1:$L$317,4,FALSE)</f>
        <v>971812.25461901387</v>
      </c>
      <c r="E313" s="31">
        <f>VLOOKUP(B313,'Initial adjusted formula count'!$A$1:$P$317,12,FALSE)</f>
        <v>0.269479929769329</v>
      </c>
      <c r="F313">
        <f>VLOOKUP(B313,'Model allocations'!$A$1:$L$317,9,FALSE)</f>
        <v>1041505.2240256959</v>
      </c>
      <c r="G313" s="30">
        <f t="shared" si="83"/>
        <v>0.9</v>
      </c>
      <c r="H313">
        <f t="shared" si="84"/>
        <v>874631.02915711247</v>
      </c>
      <c r="I313">
        <f t="shared" si="76"/>
        <v>0</v>
      </c>
      <c r="J313">
        <f t="shared" si="77"/>
        <v>1041505.2240256959</v>
      </c>
      <c r="K313">
        <f t="shared" si="78"/>
        <v>1040630.1678132896</v>
      </c>
      <c r="L313">
        <f t="shared" si="85"/>
        <v>1040630.1678132896</v>
      </c>
      <c r="M313">
        <f t="shared" si="79"/>
        <v>0</v>
      </c>
      <c r="N313" s="29">
        <f t="shared" si="86"/>
        <v>1040630.1678132896</v>
      </c>
      <c r="O313" s="29">
        <f t="shared" si="80"/>
        <v>1040369.1054982018</v>
      </c>
      <c r="P313" s="29">
        <f t="shared" si="87"/>
        <v>1040369.1054982018</v>
      </c>
      <c r="Q313">
        <f t="shared" si="88"/>
        <v>0</v>
      </c>
      <c r="R313" s="29">
        <f t="shared" si="89"/>
        <v>1040369.1054982018</v>
      </c>
      <c r="S313" s="29">
        <f t="shared" si="81"/>
        <v>1040369.1054982017</v>
      </c>
      <c r="T313" s="29">
        <f t="shared" si="90"/>
        <v>1040369.1054982017</v>
      </c>
      <c r="U313">
        <f t="shared" si="91"/>
        <v>0</v>
      </c>
      <c r="V313" s="29">
        <f t="shared" si="92"/>
        <v>1040369.1054982017</v>
      </c>
      <c r="W313" s="29">
        <f t="shared" si="82"/>
        <v>1040369.1054982017</v>
      </c>
      <c r="X313" s="29">
        <f t="shared" si="93"/>
        <v>1040369.1054982017</v>
      </c>
      <c r="Y313">
        <f t="shared" si="94"/>
        <v>0</v>
      </c>
    </row>
    <row r="314" spans="1:25" x14ac:dyDescent="0.25">
      <c r="A314" s="4" t="s">
        <v>1255</v>
      </c>
      <c r="B314" s="7" t="s">
        <v>647</v>
      </c>
      <c r="C314" s="2" t="s">
        <v>1256</v>
      </c>
      <c r="D314">
        <f>VLOOKUP(B314,'Model allocations'!$A$1:$L$317,4,FALSE)</f>
        <v>0</v>
      </c>
      <c r="E314" s="31">
        <f>VLOOKUP(B314,'Initial adjusted formula count'!$A$1:$P$317,12,FALSE)</f>
        <v>8.2403302247362795E-2</v>
      </c>
      <c r="F314">
        <f>VLOOKUP(B314,'Model allocations'!$A$1:$L$317,9,FALSE)</f>
        <v>0</v>
      </c>
      <c r="G314" s="30">
        <f t="shared" si="83"/>
        <v>0.85</v>
      </c>
      <c r="H314">
        <f t="shared" si="84"/>
        <v>0</v>
      </c>
      <c r="I314">
        <f t="shared" si="76"/>
        <v>0</v>
      </c>
      <c r="J314">
        <f t="shared" si="77"/>
        <v>0</v>
      </c>
      <c r="K314">
        <f t="shared" si="78"/>
        <v>0</v>
      </c>
      <c r="L314">
        <f t="shared" si="85"/>
        <v>0</v>
      </c>
      <c r="M314">
        <f t="shared" si="79"/>
        <v>0</v>
      </c>
      <c r="N314" s="29">
        <f t="shared" si="86"/>
        <v>0</v>
      </c>
      <c r="O314" s="29">
        <f t="shared" si="80"/>
        <v>0</v>
      </c>
      <c r="P314" s="29">
        <f t="shared" si="87"/>
        <v>0</v>
      </c>
      <c r="Q314">
        <f t="shared" si="88"/>
        <v>0</v>
      </c>
      <c r="R314" s="29">
        <f t="shared" si="89"/>
        <v>0</v>
      </c>
      <c r="S314" s="29">
        <f t="shared" si="81"/>
        <v>0</v>
      </c>
      <c r="T314" s="29">
        <f t="shared" si="90"/>
        <v>0</v>
      </c>
      <c r="U314">
        <f t="shared" si="91"/>
        <v>0</v>
      </c>
      <c r="V314" s="29">
        <f t="shared" si="92"/>
        <v>0</v>
      </c>
      <c r="W314" s="29">
        <f t="shared" si="82"/>
        <v>0</v>
      </c>
      <c r="X314" s="29">
        <f t="shared" si="93"/>
        <v>0</v>
      </c>
      <c r="Y314">
        <f t="shared" si="94"/>
        <v>0</v>
      </c>
    </row>
    <row r="315" spans="1:25" x14ac:dyDescent="0.25">
      <c r="A315" s="4" t="s">
        <v>1257</v>
      </c>
      <c r="B315" s="7" t="s">
        <v>649</v>
      </c>
      <c r="C315" s="2" t="s">
        <v>1258</v>
      </c>
      <c r="D315">
        <f>VLOOKUP(B315,'Model allocations'!$A$1:$L$317,4,FALSE)</f>
        <v>28667.351012567196</v>
      </c>
      <c r="E315" s="31">
        <f>VLOOKUP(B315,'Initial adjusted formula count'!$A$1:$P$317,12,FALSE)</f>
        <v>0.13300083125519499</v>
      </c>
      <c r="F315">
        <f>VLOOKUP(B315,'Model allocations'!$A$1:$L$317,9,FALSE)</f>
        <v>24367.248360682115</v>
      </c>
      <c r="G315" s="30">
        <f t="shared" si="83"/>
        <v>0.85</v>
      </c>
      <c r="H315">
        <f t="shared" si="84"/>
        <v>24367.248360682115</v>
      </c>
      <c r="I315">
        <f t="shared" si="76"/>
        <v>0</v>
      </c>
      <c r="J315">
        <f t="shared" si="77"/>
        <v>24367.248360682115</v>
      </c>
      <c r="K315">
        <f t="shared" si="78"/>
        <v>24346.775384104192</v>
      </c>
      <c r="L315">
        <f t="shared" si="85"/>
        <v>24346.775384104192</v>
      </c>
      <c r="M315">
        <f t="shared" si="79"/>
        <v>24367.248360682115</v>
      </c>
      <c r="N315" s="29">
        <f t="shared" si="86"/>
        <v>0</v>
      </c>
      <c r="O315" s="29">
        <f t="shared" si="80"/>
        <v>0</v>
      </c>
      <c r="P315" s="29">
        <f t="shared" si="87"/>
        <v>24367.248360682115</v>
      </c>
      <c r="Q315">
        <f t="shared" si="88"/>
        <v>0</v>
      </c>
      <c r="R315" s="29">
        <f t="shared" si="89"/>
        <v>0</v>
      </c>
      <c r="S315" s="29">
        <f t="shared" si="81"/>
        <v>0</v>
      </c>
      <c r="T315" s="29">
        <f t="shared" si="90"/>
        <v>24367.248360682115</v>
      </c>
      <c r="U315">
        <f t="shared" si="91"/>
        <v>0</v>
      </c>
      <c r="V315" s="29">
        <f t="shared" si="92"/>
        <v>0</v>
      </c>
      <c r="W315" s="29">
        <f t="shared" si="82"/>
        <v>0</v>
      </c>
      <c r="X315" s="29">
        <f t="shared" si="93"/>
        <v>24367.248360682115</v>
      </c>
      <c r="Y315">
        <f t="shared" si="94"/>
        <v>0</v>
      </c>
    </row>
    <row r="316" spans="1:25" x14ac:dyDescent="0.25">
      <c r="A316" s="1"/>
      <c r="B316" s="7" t="s">
        <v>651</v>
      </c>
      <c r="C316" s="2" t="s">
        <v>652</v>
      </c>
      <c r="D316">
        <f>VLOOKUP(B316,'Model allocations'!$A$1:$L$317,4,FALSE)</f>
        <v>214313.73646299259</v>
      </c>
      <c r="E316" s="31">
        <f>VLOOKUP(B316,'Initial adjusted formula count'!$A$1:$P$317,12,FALSE)</f>
        <v>1</v>
      </c>
      <c r="F316">
        <f>VLOOKUP(B316,'Model allocations'!$A$1:$L$317,9,FALSE)</f>
        <v>203598.04963984294</v>
      </c>
      <c r="G316" s="30">
        <f t="shared" si="83"/>
        <v>0.95</v>
      </c>
      <c r="H316">
        <f t="shared" si="84"/>
        <v>203598.04963984294</v>
      </c>
      <c r="I316">
        <f t="shared" si="76"/>
        <v>0</v>
      </c>
      <c r="J316">
        <f t="shared" si="77"/>
        <v>203598.04963984294</v>
      </c>
      <c r="K316">
        <f t="shared" si="78"/>
        <v>203426.98977949723</v>
      </c>
      <c r="L316">
        <f t="shared" si="85"/>
        <v>203426.98977949723</v>
      </c>
      <c r="M316">
        <f t="shared" si="79"/>
        <v>203598.04963984294</v>
      </c>
      <c r="N316" s="29">
        <f t="shared" si="86"/>
        <v>0</v>
      </c>
      <c r="O316" s="29">
        <f t="shared" si="80"/>
        <v>0</v>
      </c>
      <c r="P316" s="29">
        <f t="shared" si="87"/>
        <v>203598.04963984294</v>
      </c>
      <c r="Q316">
        <f t="shared" si="88"/>
        <v>0</v>
      </c>
      <c r="R316" s="29">
        <f t="shared" si="89"/>
        <v>0</v>
      </c>
      <c r="S316" s="29">
        <f t="shared" si="81"/>
        <v>0</v>
      </c>
      <c r="T316" s="29">
        <f t="shared" si="90"/>
        <v>203598.04963984294</v>
      </c>
      <c r="U316">
        <f t="shared" si="91"/>
        <v>0</v>
      </c>
      <c r="V316" s="29">
        <f t="shared" si="92"/>
        <v>0</v>
      </c>
      <c r="W316" s="29">
        <f t="shared" si="82"/>
        <v>0</v>
      </c>
      <c r="X316" s="29">
        <f t="shared" si="93"/>
        <v>203598.04963984294</v>
      </c>
      <c r="Y316">
        <f t="shared" si="94"/>
        <v>0</v>
      </c>
    </row>
    <row r="317" spans="1:25" x14ac:dyDescent="0.25">
      <c r="A317" t="s">
        <v>1428</v>
      </c>
      <c r="B317" t="s">
        <v>1420</v>
      </c>
      <c r="C317" t="s">
        <v>1421</v>
      </c>
      <c r="D317">
        <f>VLOOKUP(B317,'Model allocations'!$A$1:$L$317,4,FALSE)</f>
        <v>0</v>
      </c>
      <c r="E317" s="31">
        <f>VLOOKUP(B317,'Initial adjusted formula count'!$A$1:$P$317,12,FALSE)</f>
        <v>0.176337460229611</v>
      </c>
      <c r="F317">
        <f>VLOOKUP(B317,'Model allocations'!$A$1:$L$317,9,FALSE)</f>
        <v>0</v>
      </c>
      <c r="G317" s="30">
        <f t="shared" ref="G317:G318" si="95">IF(E317&lt;0.15,0.85,IF(AND(E317&gt;=0.15,E317&lt;0.3),0.9,0.95))</f>
        <v>0.9</v>
      </c>
      <c r="H317">
        <f t="shared" ref="H317:H318" si="96">IF(F317 = 0, 0, D317*G317)</f>
        <v>0</v>
      </c>
      <c r="I317">
        <f t="shared" ref="I317:I318" si="97">IF(F317&lt;H317,H317,0)</f>
        <v>0</v>
      </c>
      <c r="J317">
        <f t="shared" ref="J317:J318" si="98">IF(I317=0,F317,0)</f>
        <v>0</v>
      </c>
      <c r="K317">
        <f t="shared" ref="K317:K318" si="99">(J317/$J$3)*($F$3-$I$3)</f>
        <v>0</v>
      </c>
      <c r="L317">
        <f t="shared" ref="L317:L318" si="100">I317+K317</f>
        <v>0</v>
      </c>
      <c r="M317">
        <f t="shared" ref="M317:M318" si="101">IF(L317&lt;H317,H317,0)</f>
        <v>0</v>
      </c>
      <c r="N317" s="29">
        <f t="shared" ref="N317:N318" si="102">IF(I317+M317=0,L317,0)</f>
        <v>0</v>
      </c>
      <c r="O317" s="29">
        <f t="shared" ref="O317:O318" si="103">((N317/$N$3)*($F$3-$I$3-$M$3))</f>
        <v>0</v>
      </c>
      <c r="P317" s="29">
        <f t="shared" ref="P317:P318" si="104">$I317+$M317+O317</f>
        <v>0</v>
      </c>
      <c r="Q317">
        <f t="shared" ref="Q317:Q318" si="105">IF(P317&lt;H317,H317,0)</f>
        <v>0</v>
      </c>
      <c r="R317" s="29">
        <f t="shared" ref="R317:R318" si="106">IF($I317+$M317+$Q317=0,P317,0)</f>
        <v>0</v>
      </c>
      <c r="S317" s="29">
        <f t="shared" ref="S317:S318" si="107">((R317/$R$3)*($F$3-$I$3-$M$3-$Q$3))</f>
        <v>0</v>
      </c>
      <c r="T317" s="29">
        <f t="shared" ref="T317:T318" si="108">$I317+$M317+$Q317+S317</f>
        <v>0</v>
      </c>
      <c r="U317">
        <f t="shared" ref="U317:U318" si="109">IF(T317&lt;H317,H317,0)</f>
        <v>0</v>
      </c>
      <c r="V317" s="29">
        <f t="shared" ref="V317:V318" si="110">IF($I317+$M317+$Q317+U317=0,T317,0)</f>
        <v>0</v>
      </c>
      <c r="W317" s="29">
        <f t="shared" ref="W317:W318" si="111">((V317/$V$3)*($F$3-$I$3-$M$3-$Q$3-$U$3))</f>
        <v>0</v>
      </c>
      <c r="X317" s="29">
        <f t="shared" ref="X317:X318" si="112">$I317+$M317+$Q317+$U317+W317</f>
        <v>0</v>
      </c>
      <c r="Y317">
        <f t="shared" ref="Y317:Y318" si="113">IF(X317&lt;H317,H317,0)</f>
        <v>0</v>
      </c>
    </row>
    <row r="318" spans="1:25" x14ac:dyDescent="0.25">
      <c r="A318" t="s">
        <v>1429</v>
      </c>
      <c r="B318" t="s">
        <v>1422</v>
      </c>
      <c r="C318" t="s">
        <v>1423</v>
      </c>
      <c r="D318">
        <f>VLOOKUP(B318,'Model allocations'!$A$1:$L$317,4,FALSE)</f>
        <v>0</v>
      </c>
      <c r="E318" s="31">
        <f>VLOOKUP(B318,'Initial adjusted formula count'!$A$1:$P$317,12,FALSE)</f>
        <v>0.14073738079446399</v>
      </c>
      <c r="F318">
        <f>VLOOKUP(B318,'Model allocations'!$A$1:$L$317,9,FALSE)</f>
        <v>0</v>
      </c>
      <c r="G318" s="30">
        <f t="shared" si="95"/>
        <v>0.85</v>
      </c>
      <c r="H318">
        <f t="shared" si="96"/>
        <v>0</v>
      </c>
      <c r="I318">
        <f t="shared" si="97"/>
        <v>0</v>
      </c>
      <c r="J318">
        <f t="shared" si="98"/>
        <v>0</v>
      </c>
      <c r="K318">
        <f t="shared" si="99"/>
        <v>0</v>
      </c>
      <c r="L318">
        <f t="shared" si="100"/>
        <v>0</v>
      </c>
      <c r="M318">
        <f t="shared" si="101"/>
        <v>0</v>
      </c>
      <c r="N318" s="29">
        <f t="shared" si="102"/>
        <v>0</v>
      </c>
      <c r="O318" s="29">
        <f t="shared" si="103"/>
        <v>0</v>
      </c>
      <c r="P318" s="29">
        <f t="shared" si="104"/>
        <v>0</v>
      </c>
      <c r="Q318">
        <f t="shared" si="105"/>
        <v>0</v>
      </c>
      <c r="R318" s="29">
        <f t="shared" si="106"/>
        <v>0</v>
      </c>
      <c r="S318" s="29">
        <f t="shared" si="107"/>
        <v>0</v>
      </c>
      <c r="T318" s="29">
        <f t="shared" si="108"/>
        <v>0</v>
      </c>
      <c r="U318">
        <f t="shared" si="109"/>
        <v>0</v>
      </c>
      <c r="V318" s="29">
        <f t="shared" si="110"/>
        <v>0</v>
      </c>
      <c r="W318" s="29">
        <f t="shared" si="111"/>
        <v>0</v>
      </c>
      <c r="X318" s="29">
        <f t="shared" si="112"/>
        <v>0</v>
      </c>
      <c r="Y318">
        <f t="shared" si="113"/>
        <v>0</v>
      </c>
    </row>
  </sheetData>
  <sheetProtection algorithmName="SHA-512" hashValue="HfSuejz2RfZLt74nqp07c9XMyfsdcaIIOb6Livo3eZKtioNrE+YNnAwCmTaZ5yAVkCtQWYQbn/kUiObWms9mdg==" saltValue="Ld1wrE/2odUgs7jsY2/m8Q==" spinCount="100000" sheet="1" objects="1" scenarios="1"/>
  <autoFilter ref="A3:Y318" xr:uid="{960B0794-1783-4202-AA7F-A166F63BFA92}"/>
  <conditionalFormatting sqref="B1:B316">
    <cfRule type="duplicateValues" dxfId="2" priority="12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CECE1-CFB0-4124-B246-34444E47CF8A}">
  <dimension ref="A1:Z326"/>
  <sheetViews>
    <sheetView workbookViewId="0">
      <selection activeCell="A17" sqref="A17"/>
    </sheetView>
  </sheetViews>
  <sheetFormatPr defaultRowHeight="15" x14ac:dyDescent="0.25"/>
  <cols>
    <col min="3" max="3" width="20.28515625" customWidth="1"/>
    <col min="4" max="4" width="19.28515625" customWidth="1"/>
    <col min="5" max="5" width="16.5703125" customWidth="1"/>
    <col min="6" max="6" width="38.7109375" customWidth="1"/>
    <col min="7" max="7" width="16.28515625" customWidth="1"/>
    <col min="8" max="8" width="13.5703125" bestFit="1" customWidth="1"/>
    <col min="9" max="9" width="12.7109375" customWidth="1"/>
    <col min="10" max="10" width="16.140625" customWidth="1"/>
    <col min="11" max="11" width="13.28515625" customWidth="1"/>
    <col min="12" max="12" width="16.42578125" customWidth="1"/>
    <col min="13" max="13" width="12.5703125" bestFit="1" customWidth="1"/>
    <col min="14" max="14" width="13.28515625" customWidth="1"/>
    <col min="15" max="15" width="16.42578125" customWidth="1"/>
    <col min="16" max="16" width="14.28515625" customWidth="1"/>
    <col min="18" max="18" width="11.140625" customWidth="1"/>
    <col min="19" max="19" width="13.5703125" bestFit="1" customWidth="1"/>
    <col min="20" max="20" width="12.7109375" customWidth="1"/>
    <col min="22" max="22" width="13.85546875" customWidth="1"/>
    <col min="23" max="23" width="11.85546875" customWidth="1"/>
    <col min="24" max="24" width="12" customWidth="1"/>
  </cols>
  <sheetData>
    <row r="1" spans="1:26" x14ac:dyDescent="0.25">
      <c r="A1" s="1"/>
      <c r="B1" s="5"/>
      <c r="C1" s="4"/>
      <c r="F1" s="79" t="str">
        <f>IF(ROUND($F$3,2)=ROUND(SUM(Model_allocations[Targeted Allocation]),2), "Good","Check district list")</f>
        <v>Good</v>
      </c>
      <c r="G1" s="27">
        <f>F3</f>
        <v>75233970.056728035</v>
      </c>
      <c r="Y1" t="str" cm="1">
        <f t="array" ref="Y1">Assumptions[TARGETED GRANTS]</f>
        <v>75246649</v>
      </c>
      <c r="Z1" s="46">
        <f>X3-Y1</f>
        <v>-12678.94327197969</v>
      </c>
    </row>
    <row r="2" spans="1:26" ht="76.5" x14ac:dyDescent="0.25">
      <c r="A2" s="1" t="s">
        <v>0</v>
      </c>
      <c r="B2" s="5" t="s">
        <v>4</v>
      </c>
      <c r="C2" s="3" t="s">
        <v>1278</v>
      </c>
      <c r="D2" s="33" t="s">
        <v>1375</v>
      </c>
      <c r="E2" s="36" t="s">
        <v>1295</v>
      </c>
      <c r="F2" s="33" t="s">
        <v>1296</v>
      </c>
      <c r="G2" s="35" t="s">
        <v>654</v>
      </c>
      <c r="H2" s="34" t="s">
        <v>1376</v>
      </c>
      <c r="I2" s="34" t="s">
        <v>1367</v>
      </c>
      <c r="J2" s="34" t="s">
        <v>1368</v>
      </c>
      <c r="K2" s="34" t="s">
        <v>1369</v>
      </c>
      <c r="L2" s="34" t="s">
        <v>1370</v>
      </c>
      <c r="M2" s="32" t="s">
        <v>1292</v>
      </c>
      <c r="N2" s="34" t="s">
        <v>1368</v>
      </c>
      <c r="O2" s="32" t="s">
        <v>1369</v>
      </c>
      <c r="P2" s="32" t="s">
        <v>1370</v>
      </c>
      <c r="Q2" s="32" t="s">
        <v>1371</v>
      </c>
      <c r="R2" s="32" t="s">
        <v>1368</v>
      </c>
      <c r="S2" s="32" t="s">
        <v>1369</v>
      </c>
      <c r="T2" s="32" t="s">
        <v>1370</v>
      </c>
      <c r="U2" s="32" t="s">
        <v>1372</v>
      </c>
      <c r="V2" s="32" t="s">
        <v>1368</v>
      </c>
      <c r="W2" s="32" t="s">
        <v>1369</v>
      </c>
      <c r="X2" s="32" t="s">
        <v>1370</v>
      </c>
      <c r="Y2" s="32" t="s">
        <v>1373</v>
      </c>
      <c r="Z2" s="32"/>
    </row>
    <row r="3" spans="1:26" x14ac:dyDescent="0.25">
      <c r="A3" s="1"/>
      <c r="B3" s="5"/>
      <c r="C3" s="6"/>
      <c r="D3" s="33">
        <f>SUM(D4:D318)</f>
        <v>72720737.976101339</v>
      </c>
      <c r="E3" s="33"/>
      <c r="F3" s="82" cm="1">
        <f t="array" ref="F3">SUM(IF(ISERROR($F$4:$F$318),"",$F$4:$F$318))</f>
        <v>75233970.056728035</v>
      </c>
      <c r="G3" s="33"/>
      <c r="H3" s="33" cm="1">
        <f t="array" ref="H3">SUM(IF(ISERROR($H$4:$H$318),"",$H$4:$H$318))</f>
        <v>62939185.051091887</v>
      </c>
      <c r="I3" s="33" cm="1">
        <f t="array" ref="I3">SUM(IF(ISERROR($I$4:$I$318),"",$I$4:$I$318))</f>
        <v>1368876.8707263169</v>
      </c>
      <c r="J3" s="33" cm="1">
        <f t="array" ref="J3">SUM(IF(ISERROR($J$4:$J$318),"",$J$4:$J$318))</f>
        <v>73907468.132852942</v>
      </c>
      <c r="K3" s="33" cm="1">
        <f t="array" ref="K3">SUM(IF(ISERROR($K$4:$K$318),"",$K$4:$K$318))</f>
        <v>73865093.186001718</v>
      </c>
      <c r="L3" s="33" cm="1">
        <f t="array" ref="L3">SUM(IF(ISERROR($L$4:$L$318),0,$L$4:$L$318))</f>
        <v>75233970.056728035</v>
      </c>
      <c r="M3" s="33" cm="1">
        <f t="array" ref="M3">SUM(IF(ISERROR($M$4:$M$318),0,$M$4:$M$318))</f>
        <v>8380496.0318352804</v>
      </c>
      <c r="N3" s="33" cm="1">
        <f t="array" ref="N3">SUM(IF(ISERROR($N$4:$N$318),0,$N$4:$N$318))</f>
        <v>65489334.813746497</v>
      </c>
      <c r="O3" s="33" cm="1">
        <f t="array" ref="O3">SUM(IF(ISERROR($O$4:$O$318),0,$O$4:$O$318))</f>
        <v>65484597.1541664</v>
      </c>
      <c r="P3" s="33" cm="1">
        <f t="array" ref="P3">SUM(IF(ISERROR($P$4:$P$318),0,$P$4:$P$318))</f>
        <v>75233970.056727991</v>
      </c>
      <c r="Q3" s="33" cm="1">
        <f t="array" ref="Q3">SUM(IF(ISERROR($Q$4:$Q$318),0,$Q$4:$Q$318))</f>
        <v>0</v>
      </c>
      <c r="R3" s="33" cm="1">
        <f t="array" ref="R3">SUM(IF(ISERROR($R$4:$R$318),0,$R$4:$R$318))</f>
        <v>65484597.1541664</v>
      </c>
      <c r="S3" s="33" cm="1">
        <f t="array" ref="S3">SUM(IF(ISERROR($S$4:$S$318),0,$S$4:$S$318))</f>
        <v>65484597.15416643</v>
      </c>
      <c r="T3" s="33" cm="1">
        <f t="array" ref="T3">SUM(IF(ISERROR($T$4:$T$318),0,$T$4:$T$318))</f>
        <v>75233970.05672802</v>
      </c>
      <c r="U3" s="33" cm="1">
        <f t="array" ref="U3">SUM(IF(ISERROR($U$4:$U$318),0,$U$4:$U$318))</f>
        <v>0</v>
      </c>
      <c r="V3" s="33" cm="1">
        <f t="array" ref="V3">SUM(IF(ISERROR($V$4:$V$318),0,$V$4:$V$318))</f>
        <v>65484597.15416643</v>
      </c>
      <c r="W3" s="33" cm="1">
        <f t="array" ref="W3">SUM(IF(ISERROR($W$4:$W$318),0,$W$4:$W$318))</f>
        <v>65484597.154166438</v>
      </c>
      <c r="X3" s="33" cm="1">
        <f t="array" ref="X3">SUM(IF(ISERROR($X$4:$X$318),0,$X$4:$X$318))</f>
        <v>75233970.05672802</v>
      </c>
      <c r="Y3" s="33" cm="1">
        <f t="array" ref="Y3">SUM(IF(ISERROR($Y$4:$Y$318),0,$Y$4:$Y$318))</f>
        <v>0</v>
      </c>
      <c r="Z3" s="32"/>
    </row>
    <row r="4" spans="1:26" x14ac:dyDescent="0.25">
      <c r="A4" s="4" t="s">
        <v>661</v>
      </c>
      <c r="B4" s="7" t="s">
        <v>309</v>
      </c>
      <c r="C4" s="2" t="s">
        <v>662</v>
      </c>
      <c r="D4">
        <f>VLOOKUP(B4,'Model allocations'!$A$1:$L$317,5,FALSE)</f>
        <v>436283.3428980321</v>
      </c>
      <c r="E4" s="31">
        <f>VLOOKUP(B4,'Initial adjusted formula count'!$A$1:$P$317,12,FALSE)</f>
        <v>0.20137299771167</v>
      </c>
      <c r="F4">
        <f>VLOOKUP(B4,'Model allocations'!$A$1:$L$317,10,FALSE)</f>
        <v>392541.4916933378</v>
      </c>
      <c r="G4" s="30">
        <f>IF(E4&lt;0.15,0.85,IF(AND(E4&gt;=0.15,E4&lt;0.3),0.9,0.95))</f>
        <v>0.9</v>
      </c>
      <c r="H4">
        <f>IF(F4 = 0, 0, D4*G4)</f>
        <v>392655.00860822888</v>
      </c>
      <c r="I4">
        <f t="shared" ref="I4:I67" si="0">IF(F4&lt;H4,H4,0)</f>
        <v>392655.00860822888</v>
      </c>
      <c r="J4">
        <f t="shared" ref="J4:J67" si="1">IF(I4=0,F4,0)</f>
        <v>0</v>
      </c>
      <c r="K4">
        <f t="shared" ref="K4:K67" si="2">(J4/$J$3)*($F$3-$I$3)</f>
        <v>0</v>
      </c>
      <c r="L4">
        <f>I4+K4</f>
        <v>392655.00860822888</v>
      </c>
      <c r="M4">
        <f t="shared" ref="M4:M67" si="3">IF(L4&lt;H4,H4,0)</f>
        <v>0</v>
      </c>
      <c r="N4" s="29">
        <f>IF($I4+$M4=0,L4,0)</f>
        <v>0</v>
      </c>
      <c r="O4" s="29">
        <f t="shared" ref="O4:O67" si="4">((N4/$N$3)*($F$3-$I$3-$M$3))</f>
        <v>0</v>
      </c>
      <c r="P4" s="29">
        <f>$I4+$M4+O4</f>
        <v>392655.00860822888</v>
      </c>
      <c r="Q4">
        <f>IF(P4&lt;H4,H4,0)</f>
        <v>0</v>
      </c>
      <c r="R4" s="29">
        <f>IF($I4+$M4+$Q4=0,P4,0)</f>
        <v>0</v>
      </c>
      <c r="S4" s="29">
        <f t="shared" ref="S4:S67" si="5">((R4/$R$3)*($F$3-$I$3-$M$3-$Q$3))</f>
        <v>0</v>
      </c>
      <c r="T4" s="29">
        <f>$I4+$M4+$Q4+S4</f>
        <v>392655.00860822888</v>
      </c>
      <c r="U4">
        <f>IF(T4&lt;H4,H4,0)</f>
        <v>0</v>
      </c>
      <c r="V4" s="29">
        <f>IF($I4+$M4+$Q4+U4=0,T4,0)</f>
        <v>0</v>
      </c>
      <c r="W4" s="29">
        <f t="shared" ref="W4:W67" si="6">((V4/$V$3)*($F$3-$I$3-$M$3-$Q$3-$U$3))</f>
        <v>0</v>
      </c>
      <c r="X4" s="29">
        <f>$I4+$M4+$Q4+$U4+W4</f>
        <v>392655.00860822888</v>
      </c>
      <c r="Y4">
        <f>IF(X4&lt;H4,H4,0)</f>
        <v>0</v>
      </c>
    </row>
    <row r="5" spans="1:26" x14ac:dyDescent="0.25">
      <c r="A5" s="4" t="s">
        <v>663</v>
      </c>
      <c r="B5" s="7" t="s">
        <v>260</v>
      </c>
      <c r="C5" s="2" t="s">
        <v>664</v>
      </c>
      <c r="D5">
        <f>VLOOKUP(B5,'Model allocations'!$A$1:$L$317,5,FALSE)</f>
        <v>15639.281750893295</v>
      </c>
      <c r="E5" s="31">
        <f>VLOOKUP(B5,'Initial adjusted formula count'!$A$1:$P$317,12,FALSE)</f>
        <v>9.22459893048128E-2</v>
      </c>
      <c r="F5">
        <f>VLOOKUP(B5,'Model allocations'!$A$1:$L$317,10,FALSE)</f>
        <v>28934.392221265662</v>
      </c>
      <c r="G5" s="30">
        <f t="shared" ref="G5:G68" si="7">IF(E5&lt;0.15,0.85,IF(AND(E5&gt;=0.15,E5&lt;0.3),0.9,0.95))</f>
        <v>0.85</v>
      </c>
      <c r="H5">
        <f t="shared" ref="H5:H68" si="8">IF(F5 = 0, 0, D5*G5)</f>
        <v>13293.389488259299</v>
      </c>
      <c r="I5">
        <f t="shared" si="0"/>
        <v>0</v>
      </c>
      <c r="J5">
        <f t="shared" si="1"/>
        <v>28934.392221265662</v>
      </c>
      <c r="K5">
        <f t="shared" si="2"/>
        <v>28917.80264833719</v>
      </c>
      <c r="L5">
        <f t="shared" ref="L5:L68" si="9">I5+K5</f>
        <v>28917.80264833719</v>
      </c>
      <c r="M5">
        <f t="shared" si="3"/>
        <v>0</v>
      </c>
      <c r="N5" s="29">
        <f t="shared" ref="N5:N68" si="10">IF($I5+$M5=0,L5,0)</f>
        <v>28917.80264833719</v>
      </c>
      <c r="O5" s="29">
        <f t="shared" si="4"/>
        <v>28915.71066335764</v>
      </c>
      <c r="P5" s="29">
        <f t="shared" ref="P5:P68" si="11">$I5+$M5+O5</f>
        <v>28915.71066335764</v>
      </c>
      <c r="Q5">
        <f t="shared" ref="Q5:Q68" si="12">IF(P5&lt;H5,H5,0)</f>
        <v>0</v>
      </c>
      <c r="R5" s="29">
        <f t="shared" ref="R5:R68" si="13">IF($I5+$M5+$Q5=0,P5,0)</f>
        <v>28915.71066335764</v>
      </c>
      <c r="S5" s="29">
        <f t="shared" si="5"/>
        <v>28915.710663357659</v>
      </c>
      <c r="T5" s="29">
        <f t="shared" ref="T5:T68" si="14">$I5+$M5+$Q5+S5</f>
        <v>28915.710663357659</v>
      </c>
      <c r="U5">
        <f t="shared" ref="U5:U68" si="15">IF(T5&lt;H5,H5,0)</f>
        <v>0</v>
      </c>
      <c r="V5" s="29">
        <f t="shared" ref="V5:V68" si="16">IF($I5+$M5+$Q5+U5=0,T5,0)</f>
        <v>28915.710663357659</v>
      </c>
      <c r="W5" s="29">
        <f t="shared" si="6"/>
        <v>28915.710663357662</v>
      </c>
      <c r="X5" s="29">
        <f t="shared" ref="X5:X68" si="17">$I5+$M5+$Q5+$U5+W5</f>
        <v>28915.710663357662</v>
      </c>
      <c r="Y5">
        <f t="shared" ref="Y5:Y68" si="18">IF(X5&lt;H5,H5,0)</f>
        <v>0</v>
      </c>
    </row>
    <row r="6" spans="1:26" x14ac:dyDescent="0.25">
      <c r="A6" s="4" t="s">
        <v>665</v>
      </c>
      <c r="B6" s="7" t="s">
        <v>262</v>
      </c>
      <c r="C6" s="2" t="s">
        <v>666</v>
      </c>
      <c r="D6">
        <f>VLOOKUP(B6,'Model allocations'!$A$1:$L$317,5,FALSE)</f>
        <v>0</v>
      </c>
      <c r="E6" s="31">
        <f>VLOOKUP(B6,'Initial adjusted formula count'!$A$1:$P$317,12,FALSE)</f>
        <v>0.18181818181818199</v>
      </c>
      <c r="F6">
        <f>VLOOKUP(B6,'Model allocations'!$A$1:$L$317,10,FALSE)</f>
        <v>8358.2023999338198</v>
      </c>
      <c r="G6" s="30">
        <f t="shared" si="7"/>
        <v>0.9</v>
      </c>
      <c r="H6">
        <f t="shared" si="8"/>
        <v>0</v>
      </c>
      <c r="I6">
        <f t="shared" si="0"/>
        <v>0</v>
      </c>
      <c r="J6">
        <f t="shared" si="1"/>
        <v>8358.2023999338198</v>
      </c>
      <c r="K6">
        <f t="shared" si="2"/>
        <v>8353.4102132791195</v>
      </c>
      <c r="L6">
        <f t="shared" si="9"/>
        <v>8353.4102132791195</v>
      </c>
      <c r="M6">
        <f t="shared" si="3"/>
        <v>0</v>
      </c>
      <c r="N6" s="29">
        <f t="shared" si="10"/>
        <v>8353.4102132791195</v>
      </c>
      <c r="O6" s="29">
        <f t="shared" si="4"/>
        <v>8352.8059070354284</v>
      </c>
      <c r="P6" s="29">
        <f t="shared" si="11"/>
        <v>8352.8059070354284</v>
      </c>
      <c r="Q6">
        <f t="shared" si="12"/>
        <v>0</v>
      </c>
      <c r="R6" s="29">
        <f t="shared" si="13"/>
        <v>8352.8059070354284</v>
      </c>
      <c r="S6" s="29">
        <f t="shared" si="5"/>
        <v>8352.805907035432</v>
      </c>
      <c r="T6" s="29">
        <f t="shared" si="14"/>
        <v>8352.805907035432</v>
      </c>
      <c r="U6">
        <f t="shared" si="15"/>
        <v>0</v>
      </c>
      <c r="V6" s="29">
        <f t="shared" si="16"/>
        <v>8352.805907035432</v>
      </c>
      <c r="W6" s="29">
        <f t="shared" si="6"/>
        <v>8352.805907035432</v>
      </c>
      <c r="X6" s="29">
        <f t="shared" si="17"/>
        <v>8352.805907035432</v>
      </c>
      <c r="Y6">
        <f t="shared" si="18"/>
        <v>0</v>
      </c>
    </row>
    <row r="7" spans="1:26" x14ac:dyDescent="0.25">
      <c r="A7" s="4" t="s">
        <v>667</v>
      </c>
      <c r="B7" s="7" t="s">
        <v>89</v>
      </c>
      <c r="C7" s="2" t="s">
        <v>668</v>
      </c>
      <c r="D7">
        <f>VLOOKUP(B7,'Model allocations'!$A$1:$L$317,5,FALSE)</f>
        <v>109886.53230232923</v>
      </c>
      <c r="E7" s="31">
        <f>VLOOKUP(B7,'Initial adjusted formula count'!$A$1:$P$317,12,FALSE)</f>
        <v>8.3602439899533601E-2</v>
      </c>
      <c r="F7">
        <f>VLOOKUP(B7,'Model allocations'!$A$1:$L$317,10,FALSE)</f>
        <v>97705.991123984073</v>
      </c>
      <c r="G7" s="30">
        <f t="shared" si="7"/>
        <v>0.85</v>
      </c>
      <c r="H7">
        <f t="shared" si="8"/>
        <v>93403.552456979844</v>
      </c>
      <c r="I7">
        <f t="shared" si="0"/>
        <v>0</v>
      </c>
      <c r="J7">
        <f t="shared" si="1"/>
        <v>97705.991123984073</v>
      </c>
      <c r="K7">
        <f t="shared" si="2"/>
        <v>97649.971261776343</v>
      </c>
      <c r="L7">
        <f t="shared" si="9"/>
        <v>97649.971261776343</v>
      </c>
      <c r="M7">
        <f t="shared" si="3"/>
        <v>0</v>
      </c>
      <c r="N7" s="29">
        <f t="shared" si="10"/>
        <v>97649.971261776343</v>
      </c>
      <c r="O7" s="29">
        <f t="shared" si="4"/>
        <v>97642.907022642496</v>
      </c>
      <c r="P7" s="29">
        <f t="shared" si="11"/>
        <v>97642.907022642496</v>
      </c>
      <c r="Q7">
        <f t="shared" si="12"/>
        <v>0</v>
      </c>
      <c r="R7" s="29">
        <f t="shared" si="13"/>
        <v>97642.907022642496</v>
      </c>
      <c r="S7" s="29">
        <f t="shared" si="5"/>
        <v>97642.907022642554</v>
      </c>
      <c r="T7" s="29">
        <f t="shared" si="14"/>
        <v>97642.907022642554</v>
      </c>
      <c r="U7">
        <f t="shared" si="15"/>
        <v>0</v>
      </c>
      <c r="V7" s="29">
        <f t="shared" si="16"/>
        <v>97642.907022642554</v>
      </c>
      <c r="W7" s="29">
        <f t="shared" si="6"/>
        <v>97642.907022642568</v>
      </c>
      <c r="X7" s="29">
        <f t="shared" si="17"/>
        <v>97642.907022642568</v>
      </c>
      <c r="Y7">
        <f t="shared" si="18"/>
        <v>0</v>
      </c>
    </row>
    <row r="8" spans="1:26" x14ac:dyDescent="0.25">
      <c r="A8" s="4" t="s">
        <v>669</v>
      </c>
      <c r="B8" s="7" t="s">
        <v>91</v>
      </c>
      <c r="C8" s="2" t="s">
        <v>670</v>
      </c>
      <c r="D8">
        <f>VLOOKUP(B8,'Model allocations'!$A$1:$L$317,5,FALSE)</f>
        <v>231708.3059408665</v>
      </c>
      <c r="E8" s="31">
        <f>VLOOKUP(B8,'Initial adjusted formula count'!$A$1:$P$317,12,FALSE)</f>
        <v>9.1137965760322195E-2</v>
      </c>
      <c r="F8">
        <f>VLOOKUP(B8,'Model allocations'!$A$1:$L$317,10,FALSE)</f>
        <v>227701.08661082972</v>
      </c>
      <c r="G8" s="30">
        <f t="shared" si="7"/>
        <v>0.85</v>
      </c>
      <c r="H8">
        <f t="shared" si="8"/>
        <v>196952.06004973652</v>
      </c>
      <c r="I8">
        <f t="shared" si="0"/>
        <v>0</v>
      </c>
      <c r="J8">
        <f t="shared" si="1"/>
        <v>227701.08661082972</v>
      </c>
      <c r="K8">
        <f t="shared" si="2"/>
        <v>227570.53388474046</v>
      </c>
      <c r="L8">
        <f t="shared" si="9"/>
        <v>227570.53388474046</v>
      </c>
      <c r="M8">
        <f t="shared" si="3"/>
        <v>0</v>
      </c>
      <c r="N8" s="29">
        <f t="shared" si="10"/>
        <v>227570.53388474046</v>
      </c>
      <c r="O8" s="29">
        <f t="shared" si="4"/>
        <v>227554.07087251008</v>
      </c>
      <c r="P8" s="29">
        <f t="shared" si="11"/>
        <v>227554.07087251008</v>
      </c>
      <c r="Q8">
        <f t="shared" si="12"/>
        <v>0</v>
      </c>
      <c r="R8" s="29">
        <f t="shared" si="13"/>
        <v>227554.07087251008</v>
      </c>
      <c r="S8" s="29">
        <f t="shared" si="5"/>
        <v>227554.0708725102</v>
      </c>
      <c r="T8" s="29">
        <f t="shared" si="14"/>
        <v>227554.0708725102</v>
      </c>
      <c r="U8">
        <f t="shared" si="15"/>
        <v>0</v>
      </c>
      <c r="V8" s="29">
        <f t="shared" si="16"/>
        <v>227554.0708725102</v>
      </c>
      <c r="W8" s="29">
        <f t="shared" si="6"/>
        <v>227554.07087251023</v>
      </c>
      <c r="X8" s="29">
        <f t="shared" si="17"/>
        <v>227554.07087251023</v>
      </c>
      <c r="Y8">
        <f t="shared" si="18"/>
        <v>0</v>
      </c>
    </row>
    <row r="9" spans="1:26" x14ac:dyDescent="0.25">
      <c r="A9" s="4" t="s">
        <v>671</v>
      </c>
      <c r="B9" s="7" t="s">
        <v>310</v>
      </c>
      <c r="C9" s="2" t="s">
        <v>672</v>
      </c>
      <c r="D9">
        <f>VLOOKUP(B9,'Model allocations'!$A$1:$L$317,5,FALSE)</f>
        <v>21364.210085989966</v>
      </c>
      <c r="E9" s="31">
        <f>VLOOKUP(B9,'Initial adjusted formula count'!$A$1:$P$317,12,FALSE)</f>
        <v>5.72597137014315E-2</v>
      </c>
      <c r="F9">
        <f>VLOOKUP(B9,'Model allocations'!$A$1:$L$317,10,FALSE)</f>
        <v>18095.972343413392</v>
      </c>
      <c r="G9" s="30">
        <f t="shared" si="7"/>
        <v>0.85</v>
      </c>
      <c r="H9">
        <f t="shared" si="8"/>
        <v>18159.578573091469</v>
      </c>
      <c r="I9">
        <f t="shared" si="0"/>
        <v>18159.578573091469</v>
      </c>
      <c r="J9">
        <f t="shared" si="1"/>
        <v>0</v>
      </c>
      <c r="K9">
        <f t="shared" si="2"/>
        <v>0</v>
      </c>
      <c r="L9">
        <f t="shared" si="9"/>
        <v>18159.578573091469</v>
      </c>
      <c r="M9">
        <f t="shared" si="3"/>
        <v>0</v>
      </c>
      <c r="N9" s="29">
        <f t="shared" si="10"/>
        <v>0</v>
      </c>
      <c r="O9" s="29">
        <f t="shared" si="4"/>
        <v>0</v>
      </c>
      <c r="P9" s="29">
        <f t="shared" si="11"/>
        <v>18159.578573091469</v>
      </c>
      <c r="Q9">
        <f t="shared" si="12"/>
        <v>0</v>
      </c>
      <c r="R9" s="29">
        <f t="shared" si="13"/>
        <v>0</v>
      </c>
      <c r="S9" s="29">
        <f t="shared" si="5"/>
        <v>0</v>
      </c>
      <c r="T9" s="29">
        <f t="shared" si="14"/>
        <v>18159.578573091469</v>
      </c>
      <c r="U9">
        <f t="shared" si="15"/>
        <v>0</v>
      </c>
      <c r="V9" s="29">
        <f t="shared" si="16"/>
        <v>0</v>
      </c>
      <c r="W9" s="29">
        <f t="shared" si="6"/>
        <v>0</v>
      </c>
      <c r="X9" s="29">
        <f t="shared" si="17"/>
        <v>18159.578573091469</v>
      </c>
      <c r="Y9">
        <f t="shared" si="18"/>
        <v>0</v>
      </c>
    </row>
    <row r="10" spans="1:26" x14ac:dyDescent="0.25">
      <c r="A10" s="4" t="s">
        <v>673</v>
      </c>
      <c r="B10" s="7" t="s">
        <v>312</v>
      </c>
      <c r="C10" s="2" t="s">
        <v>674</v>
      </c>
      <c r="D10">
        <f>VLOOKUP(B10,'Model allocations'!$A$1:$L$317,5,FALSE)</f>
        <v>1878154.2702684619</v>
      </c>
      <c r="E10" s="31">
        <f>VLOOKUP(B10,'Initial adjusted formula count'!$A$1:$P$317,12,FALSE)</f>
        <v>0.152858619376598</v>
      </c>
      <c r="F10">
        <f>VLOOKUP(B10,'Model allocations'!$A$1:$L$317,10,FALSE)</f>
        <v>1737531.2198378881</v>
      </c>
      <c r="G10" s="30">
        <f t="shared" si="7"/>
        <v>0.9</v>
      </c>
      <c r="H10">
        <f t="shared" si="8"/>
        <v>1690338.8432416157</v>
      </c>
      <c r="I10">
        <f t="shared" si="0"/>
        <v>0</v>
      </c>
      <c r="J10">
        <f t="shared" si="1"/>
        <v>1737531.2198378881</v>
      </c>
      <c r="K10">
        <f t="shared" si="2"/>
        <v>1736535.0039621037</v>
      </c>
      <c r="L10">
        <f t="shared" si="9"/>
        <v>1736535.0039621037</v>
      </c>
      <c r="M10">
        <f t="shared" si="3"/>
        <v>0</v>
      </c>
      <c r="N10" s="29">
        <f t="shared" si="10"/>
        <v>1736535.0039621037</v>
      </c>
      <c r="O10" s="29">
        <f t="shared" si="4"/>
        <v>1736409.3787481505</v>
      </c>
      <c r="P10" s="29">
        <f t="shared" si="11"/>
        <v>1736409.3787481505</v>
      </c>
      <c r="Q10">
        <f t="shared" si="12"/>
        <v>0</v>
      </c>
      <c r="R10" s="29">
        <f t="shared" si="13"/>
        <v>1736409.3787481505</v>
      </c>
      <c r="S10" s="29">
        <f t="shared" si="5"/>
        <v>1736409.3787481517</v>
      </c>
      <c r="T10" s="29">
        <f t="shared" si="14"/>
        <v>1736409.3787481517</v>
      </c>
      <c r="U10">
        <f t="shared" si="15"/>
        <v>0</v>
      </c>
      <c r="V10" s="29">
        <f t="shared" si="16"/>
        <v>1736409.3787481517</v>
      </c>
      <c r="W10" s="29">
        <f t="shared" si="6"/>
        <v>1736409.3787481519</v>
      </c>
      <c r="X10" s="29">
        <f t="shared" si="17"/>
        <v>1736409.3787481519</v>
      </c>
      <c r="Y10">
        <f t="shared" si="18"/>
        <v>0</v>
      </c>
    </row>
    <row r="11" spans="1:26" x14ac:dyDescent="0.25">
      <c r="A11" s="4" t="s">
        <v>675</v>
      </c>
      <c r="B11" s="7" t="s">
        <v>93</v>
      </c>
      <c r="C11" s="2" t="s">
        <v>676</v>
      </c>
      <c r="D11">
        <f>VLOOKUP(B11,'Model allocations'!$A$1:$L$317,5,FALSE)</f>
        <v>0</v>
      </c>
      <c r="E11" s="31">
        <f>VLOOKUP(B11,'Initial adjusted formula count'!$A$1:$P$317,12,FALSE)</f>
        <v>3.7764350453172203E-2</v>
      </c>
      <c r="F11">
        <f>VLOOKUP(B11,'Model allocations'!$A$1:$L$317,10,FALSE)</f>
        <v>0</v>
      </c>
      <c r="G11" s="30">
        <f t="shared" si="7"/>
        <v>0.85</v>
      </c>
      <c r="H11">
        <f t="shared" si="8"/>
        <v>0</v>
      </c>
      <c r="I11">
        <f t="shared" si="0"/>
        <v>0</v>
      </c>
      <c r="J11">
        <f t="shared" si="1"/>
        <v>0</v>
      </c>
      <c r="K11">
        <f t="shared" si="2"/>
        <v>0</v>
      </c>
      <c r="L11">
        <f t="shared" si="9"/>
        <v>0</v>
      </c>
      <c r="M11">
        <f t="shared" si="3"/>
        <v>0</v>
      </c>
      <c r="N11" s="29">
        <f t="shared" si="10"/>
        <v>0</v>
      </c>
      <c r="O11" s="29">
        <f t="shared" si="4"/>
        <v>0</v>
      </c>
      <c r="P11" s="29">
        <f t="shared" si="11"/>
        <v>0</v>
      </c>
      <c r="Q11">
        <f t="shared" si="12"/>
        <v>0</v>
      </c>
      <c r="R11" s="29">
        <f t="shared" si="13"/>
        <v>0</v>
      </c>
      <c r="S11" s="29">
        <f t="shared" si="5"/>
        <v>0</v>
      </c>
      <c r="T11" s="29">
        <f t="shared" si="14"/>
        <v>0</v>
      </c>
      <c r="U11">
        <f t="shared" si="15"/>
        <v>0</v>
      </c>
      <c r="V11" s="29">
        <f t="shared" si="16"/>
        <v>0</v>
      </c>
      <c r="W11" s="29">
        <f t="shared" si="6"/>
        <v>0</v>
      </c>
      <c r="X11" s="29">
        <f t="shared" si="17"/>
        <v>0</v>
      </c>
      <c r="Y11">
        <f t="shared" si="18"/>
        <v>0</v>
      </c>
    </row>
    <row r="12" spans="1:26" x14ac:dyDescent="0.25">
      <c r="A12" s="4" t="s">
        <v>677</v>
      </c>
      <c r="B12" s="7" t="s">
        <v>95</v>
      </c>
      <c r="C12" s="2" t="s">
        <v>678</v>
      </c>
      <c r="D12">
        <f>VLOOKUP(B12,'Model allocations'!$A$1:$L$317,5,FALSE)</f>
        <v>449482.95126227324</v>
      </c>
      <c r="E12" s="31">
        <f>VLOOKUP(B12,'Initial adjusted formula count'!$A$1:$P$317,12,FALSE)</f>
        <v>5.6461731493099097E-2</v>
      </c>
      <c r="F12">
        <f>VLOOKUP(B12,'Model allocations'!$A$1:$L$317,10,FALSE)</f>
        <v>421226.04327915015</v>
      </c>
      <c r="G12" s="30">
        <f t="shared" si="7"/>
        <v>0.85</v>
      </c>
      <c r="H12">
        <f t="shared" si="8"/>
        <v>382060.50857293227</v>
      </c>
      <c r="I12">
        <f t="shared" si="0"/>
        <v>0</v>
      </c>
      <c r="J12">
        <f t="shared" si="1"/>
        <v>421226.04327915015</v>
      </c>
      <c r="K12">
        <f t="shared" si="2"/>
        <v>420984.53275731468</v>
      </c>
      <c r="L12">
        <f t="shared" si="9"/>
        <v>420984.53275731468</v>
      </c>
      <c r="M12">
        <f t="shared" si="3"/>
        <v>0</v>
      </c>
      <c r="N12" s="29">
        <f t="shared" si="10"/>
        <v>420984.53275731468</v>
      </c>
      <c r="O12" s="29">
        <f t="shared" si="4"/>
        <v>420954.07770061964</v>
      </c>
      <c r="P12" s="29">
        <f t="shared" si="11"/>
        <v>420954.07770061964</v>
      </c>
      <c r="Q12">
        <f t="shared" si="12"/>
        <v>0</v>
      </c>
      <c r="R12" s="29">
        <f t="shared" si="13"/>
        <v>420954.07770061964</v>
      </c>
      <c r="S12" s="29">
        <f t="shared" si="5"/>
        <v>420954.07770061994</v>
      </c>
      <c r="T12" s="29">
        <f t="shared" si="14"/>
        <v>420954.07770061994</v>
      </c>
      <c r="U12">
        <f t="shared" si="15"/>
        <v>0</v>
      </c>
      <c r="V12" s="29">
        <f t="shared" si="16"/>
        <v>420954.07770061994</v>
      </c>
      <c r="W12" s="29">
        <f t="shared" si="6"/>
        <v>420954.07770061994</v>
      </c>
      <c r="X12" s="29">
        <f t="shared" si="17"/>
        <v>420954.07770061994</v>
      </c>
      <c r="Y12">
        <f t="shared" si="18"/>
        <v>0</v>
      </c>
    </row>
    <row r="13" spans="1:26" x14ac:dyDescent="0.25">
      <c r="A13" s="4" t="s">
        <v>679</v>
      </c>
      <c r="B13" s="7" t="s">
        <v>97</v>
      </c>
      <c r="C13" s="2" t="s">
        <v>680</v>
      </c>
      <c r="D13">
        <f>VLOOKUP(B13,'Model allocations'!$A$1:$L$317,5,FALSE)</f>
        <v>690331.03840355063</v>
      </c>
      <c r="E13" s="31">
        <f>VLOOKUP(B13,'Initial adjusted formula count'!$A$1:$P$317,12,FALSE)</f>
        <v>6.5075343379117204E-2</v>
      </c>
      <c r="F13">
        <f>VLOOKUP(B13,'Model allocations'!$A$1:$L$317,10,FALSE)</f>
        <v>775986.85225292901</v>
      </c>
      <c r="G13" s="30">
        <f t="shared" si="7"/>
        <v>0.85</v>
      </c>
      <c r="H13">
        <f t="shared" si="8"/>
        <v>586781.38264301803</v>
      </c>
      <c r="I13">
        <f t="shared" si="0"/>
        <v>0</v>
      </c>
      <c r="J13">
        <f t="shared" si="1"/>
        <v>775986.85225292901</v>
      </c>
      <c r="K13">
        <f t="shared" si="2"/>
        <v>775541.9391412749</v>
      </c>
      <c r="L13">
        <f t="shared" si="9"/>
        <v>775541.9391412749</v>
      </c>
      <c r="M13">
        <f t="shared" si="3"/>
        <v>0</v>
      </c>
      <c r="N13" s="29">
        <f t="shared" si="10"/>
        <v>775541.9391412749</v>
      </c>
      <c r="O13" s="29">
        <f t="shared" si="4"/>
        <v>775485.83452961314</v>
      </c>
      <c r="P13" s="29">
        <f t="shared" si="11"/>
        <v>775485.83452961314</v>
      </c>
      <c r="Q13">
        <f t="shared" si="12"/>
        <v>0</v>
      </c>
      <c r="R13" s="29">
        <f t="shared" si="13"/>
        <v>775485.83452961314</v>
      </c>
      <c r="S13" s="29">
        <f t="shared" si="5"/>
        <v>775485.83452961361</v>
      </c>
      <c r="T13" s="29">
        <f t="shared" si="14"/>
        <v>775485.83452961361</v>
      </c>
      <c r="U13">
        <f t="shared" si="15"/>
        <v>0</v>
      </c>
      <c r="V13" s="29">
        <f t="shared" si="16"/>
        <v>775485.83452961361</v>
      </c>
      <c r="W13" s="29">
        <f t="shared" si="6"/>
        <v>775485.83452961373</v>
      </c>
      <c r="X13" s="29">
        <f t="shared" si="17"/>
        <v>775485.83452961373</v>
      </c>
      <c r="Y13">
        <f t="shared" si="18"/>
        <v>0</v>
      </c>
    </row>
    <row r="14" spans="1:26" x14ac:dyDescent="0.25">
      <c r="A14" s="4" t="s">
        <v>14</v>
      </c>
      <c r="B14" s="7" t="s">
        <v>56</v>
      </c>
      <c r="C14" s="2" t="s">
        <v>681</v>
      </c>
      <c r="D14">
        <f>VLOOKUP(B14,'Model allocations'!$A$1:$L$317,5,FALSE)</f>
        <v>786352.3782197634</v>
      </c>
      <c r="E14" s="31">
        <f>VLOOKUP(B14,'Initial adjusted formula count'!$A$1:$P$317,12,FALSE)</f>
        <v>0.107499112021232</v>
      </c>
      <c r="F14">
        <f>VLOOKUP(B14,'Model allocations'!$A$1:$L$317,10,FALSE)</f>
        <v>698083.11202344857</v>
      </c>
      <c r="G14" s="30">
        <f t="shared" si="7"/>
        <v>0.85</v>
      </c>
      <c r="H14">
        <f t="shared" si="8"/>
        <v>668399.52148679888</v>
      </c>
      <c r="I14">
        <f t="shared" si="0"/>
        <v>0</v>
      </c>
      <c r="J14">
        <f t="shared" si="1"/>
        <v>698083.11202344857</v>
      </c>
      <c r="K14">
        <f t="shared" si="2"/>
        <v>697682.86512665928</v>
      </c>
      <c r="L14">
        <f t="shared" si="9"/>
        <v>697682.86512665928</v>
      </c>
      <c r="M14">
        <f t="shared" si="3"/>
        <v>0</v>
      </c>
      <c r="N14" s="29">
        <f t="shared" si="10"/>
        <v>697682.86512665928</v>
      </c>
      <c r="O14" s="29">
        <f t="shared" si="4"/>
        <v>697632.3930319401</v>
      </c>
      <c r="P14" s="29">
        <f t="shared" si="11"/>
        <v>697632.3930319401</v>
      </c>
      <c r="Q14">
        <f t="shared" si="12"/>
        <v>0</v>
      </c>
      <c r="R14" s="29">
        <f t="shared" si="13"/>
        <v>697632.3930319401</v>
      </c>
      <c r="S14" s="29">
        <f t="shared" si="5"/>
        <v>697632.39303194045</v>
      </c>
      <c r="T14" s="29">
        <f t="shared" si="14"/>
        <v>697632.39303194045</v>
      </c>
      <c r="U14">
        <f t="shared" si="15"/>
        <v>0</v>
      </c>
      <c r="V14" s="29">
        <f t="shared" si="16"/>
        <v>697632.39303194045</v>
      </c>
      <c r="W14" s="29">
        <f t="shared" si="6"/>
        <v>697632.39303194045</v>
      </c>
      <c r="X14" s="29">
        <f t="shared" si="17"/>
        <v>697632.39303194045</v>
      </c>
      <c r="Y14">
        <f t="shared" si="18"/>
        <v>0</v>
      </c>
    </row>
    <row r="15" spans="1:26" x14ac:dyDescent="0.25">
      <c r="A15" s="4" t="s">
        <v>682</v>
      </c>
      <c r="B15" s="7" t="s">
        <v>99</v>
      </c>
      <c r="C15" s="2" t="s">
        <v>683</v>
      </c>
      <c r="D15">
        <f>VLOOKUP(B15,'Model allocations'!$A$1:$L$317,5,FALSE)</f>
        <v>0</v>
      </c>
      <c r="E15" s="31">
        <f>VLOOKUP(B15,'Initial adjusted formula count'!$A$1:$P$317,12,FALSE)</f>
        <v>0.125</v>
      </c>
      <c r="F15">
        <f>VLOOKUP(B15,'Model allocations'!$A$1:$L$317,10,FALSE)</f>
        <v>0</v>
      </c>
      <c r="G15" s="30">
        <f t="shared" si="7"/>
        <v>0.85</v>
      </c>
      <c r="H15">
        <f t="shared" si="8"/>
        <v>0</v>
      </c>
      <c r="I15">
        <f t="shared" si="0"/>
        <v>0</v>
      </c>
      <c r="J15">
        <f t="shared" si="1"/>
        <v>0</v>
      </c>
      <c r="K15">
        <f t="shared" si="2"/>
        <v>0</v>
      </c>
      <c r="L15">
        <f t="shared" si="9"/>
        <v>0</v>
      </c>
      <c r="M15">
        <f t="shared" si="3"/>
        <v>0</v>
      </c>
      <c r="N15" s="29">
        <f t="shared" si="10"/>
        <v>0</v>
      </c>
      <c r="O15" s="29">
        <f t="shared" si="4"/>
        <v>0</v>
      </c>
      <c r="P15" s="29">
        <f t="shared" si="11"/>
        <v>0</v>
      </c>
      <c r="Q15">
        <f t="shared" si="12"/>
        <v>0</v>
      </c>
      <c r="R15" s="29">
        <f t="shared" si="13"/>
        <v>0</v>
      </c>
      <c r="S15" s="29">
        <f t="shared" si="5"/>
        <v>0</v>
      </c>
      <c r="T15" s="29">
        <f t="shared" si="14"/>
        <v>0</v>
      </c>
      <c r="U15">
        <f t="shared" si="15"/>
        <v>0</v>
      </c>
      <c r="V15" s="29">
        <f t="shared" si="16"/>
        <v>0</v>
      </c>
      <c r="W15" s="29">
        <f t="shared" si="6"/>
        <v>0</v>
      </c>
      <c r="X15" s="29">
        <f t="shared" si="17"/>
        <v>0</v>
      </c>
      <c r="Y15">
        <f t="shared" si="18"/>
        <v>0</v>
      </c>
    </row>
    <row r="16" spans="1:26" x14ac:dyDescent="0.25">
      <c r="A16" s="4" t="s">
        <v>684</v>
      </c>
      <c r="B16" s="7" t="s">
        <v>264</v>
      </c>
      <c r="C16" s="2" t="s">
        <v>685</v>
      </c>
      <c r="D16">
        <f>VLOOKUP(B16,'Model allocations'!$A$1:$L$317,5,FALSE)</f>
        <v>1283861.563734517</v>
      </c>
      <c r="E16" s="31">
        <f>VLOOKUP(B16,'Initial adjusted formula count'!$A$1:$P$317,12,FALSE)</f>
        <v>0.103161876567575</v>
      </c>
      <c r="F16">
        <f>VLOOKUP(B16,'Model allocations'!$A$1:$L$317,10,FALSE)</f>
        <v>1485089.1311827875</v>
      </c>
      <c r="G16" s="30">
        <f t="shared" si="7"/>
        <v>0.85</v>
      </c>
      <c r="H16">
        <f t="shared" si="8"/>
        <v>1091282.3291743393</v>
      </c>
      <c r="I16">
        <f t="shared" si="0"/>
        <v>0</v>
      </c>
      <c r="J16">
        <f t="shared" si="1"/>
        <v>1485089.1311827875</v>
      </c>
      <c r="K16">
        <f t="shared" si="2"/>
        <v>1484237.6533200892</v>
      </c>
      <c r="L16">
        <f t="shared" si="9"/>
        <v>1484237.6533200892</v>
      </c>
      <c r="M16">
        <f t="shared" si="3"/>
        <v>0</v>
      </c>
      <c r="N16" s="29">
        <f t="shared" si="10"/>
        <v>1484237.6533200892</v>
      </c>
      <c r="O16" s="29">
        <f t="shared" si="4"/>
        <v>1484130.279917117</v>
      </c>
      <c r="P16" s="29">
        <f t="shared" si="11"/>
        <v>1484130.279917117</v>
      </c>
      <c r="Q16">
        <f t="shared" si="12"/>
        <v>0</v>
      </c>
      <c r="R16" s="29">
        <f t="shared" si="13"/>
        <v>1484130.279917117</v>
      </c>
      <c r="S16" s="29">
        <f t="shared" si="5"/>
        <v>1484130.2799171179</v>
      </c>
      <c r="T16" s="29">
        <f t="shared" si="14"/>
        <v>1484130.2799171179</v>
      </c>
      <c r="U16">
        <f t="shared" si="15"/>
        <v>0</v>
      </c>
      <c r="V16" s="29">
        <f t="shared" si="16"/>
        <v>1484130.2799171179</v>
      </c>
      <c r="W16" s="29">
        <f t="shared" si="6"/>
        <v>1484130.2799171181</v>
      </c>
      <c r="X16" s="29">
        <f t="shared" si="17"/>
        <v>1484130.2799171181</v>
      </c>
      <c r="Y16">
        <f t="shared" si="18"/>
        <v>0</v>
      </c>
    </row>
    <row r="17" spans="1:25" x14ac:dyDescent="0.25">
      <c r="A17" s="4" t="s">
        <v>686</v>
      </c>
      <c r="B17" s="7" t="s">
        <v>314</v>
      </c>
      <c r="C17" s="2" t="s">
        <v>687</v>
      </c>
      <c r="D17">
        <f>VLOOKUP(B17,'Model allocations'!$A$1:$L$317,5,FALSE)</f>
        <v>6015.3466569807933</v>
      </c>
      <c r="E17" s="31">
        <f>VLOOKUP(B17,'Initial adjusted formula count'!$A$1:$P$317,12,FALSE)</f>
        <v>0.113924050632911</v>
      </c>
      <c r="F17">
        <f>VLOOKUP(B17,'Model allocations'!$A$1:$L$317,10,FALSE)</f>
        <v>0</v>
      </c>
      <c r="G17" s="30">
        <f t="shared" si="7"/>
        <v>0.85</v>
      </c>
      <c r="H17">
        <f t="shared" si="8"/>
        <v>0</v>
      </c>
      <c r="I17">
        <f t="shared" si="0"/>
        <v>0</v>
      </c>
      <c r="J17">
        <f t="shared" si="1"/>
        <v>0</v>
      </c>
      <c r="K17">
        <f t="shared" si="2"/>
        <v>0</v>
      </c>
      <c r="L17">
        <f t="shared" si="9"/>
        <v>0</v>
      </c>
      <c r="M17">
        <f t="shared" si="3"/>
        <v>0</v>
      </c>
      <c r="N17" s="29">
        <f t="shared" si="10"/>
        <v>0</v>
      </c>
      <c r="O17" s="29">
        <f t="shared" si="4"/>
        <v>0</v>
      </c>
      <c r="P17" s="29">
        <f t="shared" si="11"/>
        <v>0</v>
      </c>
      <c r="Q17">
        <f t="shared" si="12"/>
        <v>0</v>
      </c>
      <c r="R17" s="29">
        <f t="shared" si="13"/>
        <v>0</v>
      </c>
      <c r="S17" s="29">
        <f t="shared" si="5"/>
        <v>0</v>
      </c>
      <c r="T17" s="29">
        <f t="shared" si="14"/>
        <v>0</v>
      </c>
      <c r="U17">
        <f t="shared" si="15"/>
        <v>0</v>
      </c>
      <c r="V17" s="29">
        <f t="shared" si="16"/>
        <v>0</v>
      </c>
      <c r="W17" s="29">
        <f t="shared" si="6"/>
        <v>0</v>
      </c>
      <c r="X17" s="29">
        <f t="shared" si="17"/>
        <v>0</v>
      </c>
      <c r="Y17">
        <f t="shared" si="18"/>
        <v>0</v>
      </c>
    </row>
    <row r="18" spans="1:25" x14ac:dyDescent="0.25">
      <c r="A18" s="4" t="s">
        <v>688</v>
      </c>
      <c r="B18" s="7" t="s">
        <v>316</v>
      </c>
      <c r="C18" s="2" t="s">
        <v>689</v>
      </c>
      <c r="D18">
        <f>VLOOKUP(B18,'Model allocations'!$A$1:$L$317,5,FALSE)</f>
        <v>129854.33942890776</v>
      </c>
      <c r="E18" s="31">
        <f>VLOOKUP(B18,'Initial adjusted formula count'!$A$1:$P$317,12,FALSE)</f>
        <v>0.123840258168616</v>
      </c>
      <c r="F18">
        <f>VLOOKUP(B18,'Model allocations'!$A$1:$L$317,10,FALSE)</f>
        <v>128737.07843374724</v>
      </c>
      <c r="G18" s="30">
        <f t="shared" si="7"/>
        <v>0.85</v>
      </c>
      <c r="H18">
        <f t="shared" si="8"/>
        <v>110376.18851457159</v>
      </c>
      <c r="I18">
        <f t="shared" si="0"/>
        <v>0</v>
      </c>
      <c r="J18">
        <f t="shared" si="1"/>
        <v>128737.07843374724</v>
      </c>
      <c r="K18">
        <f t="shared" si="2"/>
        <v>128663.2668556452</v>
      </c>
      <c r="L18">
        <f t="shared" si="9"/>
        <v>128663.2668556452</v>
      </c>
      <c r="M18">
        <f t="shared" si="3"/>
        <v>0</v>
      </c>
      <c r="N18" s="29">
        <f t="shared" si="10"/>
        <v>128663.2668556452</v>
      </c>
      <c r="O18" s="29">
        <f t="shared" si="4"/>
        <v>128653.95903841734</v>
      </c>
      <c r="P18" s="29">
        <f t="shared" si="11"/>
        <v>128653.95903841734</v>
      </c>
      <c r="Q18">
        <f t="shared" si="12"/>
        <v>0</v>
      </c>
      <c r="R18" s="29">
        <f t="shared" si="13"/>
        <v>128653.95903841734</v>
      </c>
      <c r="S18" s="29">
        <f t="shared" si="5"/>
        <v>128653.95903841742</v>
      </c>
      <c r="T18" s="29">
        <f t="shared" si="14"/>
        <v>128653.95903841742</v>
      </c>
      <c r="U18">
        <f t="shared" si="15"/>
        <v>0</v>
      </c>
      <c r="V18" s="29">
        <f t="shared" si="16"/>
        <v>128653.95903841742</v>
      </c>
      <c r="W18" s="29">
        <f t="shared" si="6"/>
        <v>128653.95903841745</v>
      </c>
      <c r="X18" s="29">
        <f t="shared" si="17"/>
        <v>128653.95903841745</v>
      </c>
      <c r="Y18">
        <f t="shared" si="18"/>
        <v>0</v>
      </c>
    </row>
    <row r="19" spans="1:25" x14ac:dyDescent="0.25">
      <c r="A19" s="4" t="s">
        <v>690</v>
      </c>
      <c r="B19" s="7" t="s">
        <v>318</v>
      </c>
      <c r="C19" s="2" t="s">
        <v>691</v>
      </c>
      <c r="D19">
        <f>VLOOKUP(B19,'Model allocations'!$A$1:$L$317,5,FALSE)</f>
        <v>11523.681290131903</v>
      </c>
      <c r="E19" s="31">
        <f>VLOOKUP(B19,'Initial adjusted formula count'!$A$1:$P$317,12,FALSE)</f>
        <v>0.11009174311926601</v>
      </c>
      <c r="F19">
        <f>VLOOKUP(B19,'Model allocations'!$A$1:$L$317,10,FALSE)</f>
        <v>10064.136424788057</v>
      </c>
      <c r="G19" s="30">
        <f t="shared" si="7"/>
        <v>0.85</v>
      </c>
      <c r="H19">
        <f t="shared" si="8"/>
        <v>9795.1290966121178</v>
      </c>
      <c r="I19">
        <f t="shared" si="0"/>
        <v>0</v>
      </c>
      <c r="J19">
        <f t="shared" si="1"/>
        <v>10064.136424788057</v>
      </c>
      <c r="K19">
        <f t="shared" si="2"/>
        <v>10058.366138552066</v>
      </c>
      <c r="L19">
        <f t="shared" si="9"/>
        <v>10058.366138552066</v>
      </c>
      <c r="M19">
        <f t="shared" si="3"/>
        <v>0</v>
      </c>
      <c r="N19" s="29">
        <f t="shared" si="10"/>
        <v>10058.366138552066</v>
      </c>
      <c r="O19" s="29">
        <f t="shared" si="4"/>
        <v>10057.638491602658</v>
      </c>
      <c r="P19" s="29">
        <f t="shared" si="11"/>
        <v>10057.638491602658</v>
      </c>
      <c r="Q19">
        <f t="shared" si="12"/>
        <v>0</v>
      </c>
      <c r="R19" s="29">
        <f t="shared" si="13"/>
        <v>10057.638491602658</v>
      </c>
      <c r="S19" s="29">
        <f t="shared" si="5"/>
        <v>10057.638491602665</v>
      </c>
      <c r="T19" s="29">
        <f t="shared" si="14"/>
        <v>10057.638491602665</v>
      </c>
      <c r="U19">
        <f t="shared" si="15"/>
        <v>0</v>
      </c>
      <c r="V19" s="29">
        <f t="shared" si="16"/>
        <v>10057.638491602665</v>
      </c>
      <c r="W19" s="29">
        <f t="shared" si="6"/>
        <v>10057.638491602667</v>
      </c>
      <c r="X19" s="29">
        <f t="shared" si="17"/>
        <v>10057.638491602667</v>
      </c>
      <c r="Y19">
        <f t="shared" si="18"/>
        <v>0</v>
      </c>
    </row>
    <row r="20" spans="1:25" x14ac:dyDescent="0.25">
      <c r="A20" s="4" t="s">
        <v>10</v>
      </c>
      <c r="B20" s="7" t="s">
        <v>55</v>
      </c>
      <c r="C20" s="2" t="s">
        <v>692</v>
      </c>
      <c r="D20">
        <f>VLOOKUP(B20,'Model allocations'!$A$1:$L$317,5,FALSE)</f>
        <v>458083.68394561857</v>
      </c>
      <c r="E20" s="31">
        <f>VLOOKUP(B20,'Initial adjusted formula count'!$A$1:$P$317,12,FALSE)</f>
        <v>0.16207927174450701</v>
      </c>
      <c r="F20">
        <f>VLOOKUP(B20,'Model allocations'!$A$1:$L$317,10,FALSE)</f>
        <v>409461.0537102886</v>
      </c>
      <c r="G20" s="30">
        <f t="shared" si="7"/>
        <v>0.9</v>
      </c>
      <c r="H20">
        <f t="shared" si="8"/>
        <v>412275.3155510567</v>
      </c>
      <c r="I20">
        <f t="shared" si="0"/>
        <v>412275.3155510567</v>
      </c>
      <c r="J20">
        <f t="shared" si="1"/>
        <v>0</v>
      </c>
      <c r="K20">
        <f t="shared" si="2"/>
        <v>0</v>
      </c>
      <c r="L20">
        <f t="shared" si="9"/>
        <v>412275.3155510567</v>
      </c>
      <c r="M20">
        <f t="shared" si="3"/>
        <v>0</v>
      </c>
      <c r="N20" s="29">
        <f t="shared" si="10"/>
        <v>0</v>
      </c>
      <c r="O20" s="29">
        <f t="shared" si="4"/>
        <v>0</v>
      </c>
      <c r="P20" s="29">
        <f t="shared" si="11"/>
        <v>412275.3155510567</v>
      </c>
      <c r="Q20">
        <f t="shared" si="12"/>
        <v>0</v>
      </c>
      <c r="R20" s="29">
        <f t="shared" si="13"/>
        <v>0</v>
      </c>
      <c r="S20" s="29">
        <f t="shared" si="5"/>
        <v>0</v>
      </c>
      <c r="T20" s="29">
        <f t="shared" si="14"/>
        <v>412275.3155510567</v>
      </c>
      <c r="U20">
        <f t="shared" si="15"/>
        <v>0</v>
      </c>
      <c r="V20" s="29">
        <f t="shared" si="16"/>
        <v>0</v>
      </c>
      <c r="W20" s="29">
        <f t="shared" si="6"/>
        <v>0</v>
      </c>
      <c r="X20" s="29">
        <f t="shared" si="17"/>
        <v>412275.3155510567</v>
      </c>
      <c r="Y20">
        <f t="shared" si="18"/>
        <v>0</v>
      </c>
    </row>
    <row r="21" spans="1:25" x14ac:dyDescent="0.25">
      <c r="A21" s="4" t="s">
        <v>693</v>
      </c>
      <c r="B21" s="7" t="s">
        <v>320</v>
      </c>
      <c r="C21" s="2" t="s">
        <v>694</v>
      </c>
      <c r="D21">
        <f>VLOOKUP(B21,'Model allocations'!$A$1:$L$317,5,FALSE)</f>
        <v>136576.44027378573</v>
      </c>
      <c r="E21" s="31">
        <f>VLOOKUP(B21,'Initial adjusted formula count'!$A$1:$P$317,12,FALSE)</f>
        <v>0.255005268703899</v>
      </c>
      <c r="F21">
        <f>VLOOKUP(B21,'Model allocations'!$A$1:$L$317,10,FALSE)</f>
        <v>141208.81837823064</v>
      </c>
      <c r="G21" s="30">
        <f t="shared" si="7"/>
        <v>0.9</v>
      </c>
      <c r="H21">
        <f t="shared" si="8"/>
        <v>122918.79624640716</v>
      </c>
      <c r="I21">
        <f t="shared" si="0"/>
        <v>0</v>
      </c>
      <c r="J21">
        <f t="shared" si="1"/>
        <v>141208.81837823064</v>
      </c>
      <c r="K21">
        <f t="shared" si="2"/>
        <v>141127.8561111571</v>
      </c>
      <c r="L21">
        <f t="shared" si="9"/>
        <v>141127.8561111571</v>
      </c>
      <c r="M21">
        <f t="shared" si="3"/>
        <v>0</v>
      </c>
      <c r="N21" s="29">
        <f t="shared" si="10"/>
        <v>141127.8561111571</v>
      </c>
      <c r="O21" s="29">
        <f t="shared" si="4"/>
        <v>141117.6465748804</v>
      </c>
      <c r="P21" s="29">
        <f t="shared" si="11"/>
        <v>141117.6465748804</v>
      </c>
      <c r="Q21">
        <f t="shared" si="12"/>
        <v>0</v>
      </c>
      <c r="R21" s="29">
        <f t="shared" si="13"/>
        <v>141117.6465748804</v>
      </c>
      <c r="S21" s="29">
        <f t="shared" si="5"/>
        <v>141117.64657488049</v>
      </c>
      <c r="T21" s="29">
        <f t="shared" si="14"/>
        <v>141117.64657488049</v>
      </c>
      <c r="U21">
        <f t="shared" si="15"/>
        <v>0</v>
      </c>
      <c r="V21" s="29">
        <f t="shared" si="16"/>
        <v>141117.64657488049</v>
      </c>
      <c r="W21" s="29">
        <f t="shared" si="6"/>
        <v>141117.64657488052</v>
      </c>
      <c r="X21" s="29">
        <f t="shared" si="17"/>
        <v>141117.64657488052</v>
      </c>
      <c r="Y21">
        <f t="shared" si="18"/>
        <v>0</v>
      </c>
    </row>
    <row r="22" spans="1:25" x14ac:dyDescent="0.25">
      <c r="A22" s="4" t="s">
        <v>695</v>
      </c>
      <c r="B22" s="7" t="s">
        <v>322</v>
      </c>
      <c r="C22" s="2" t="s">
        <v>696</v>
      </c>
      <c r="D22">
        <f>VLOOKUP(B22,'Model allocations'!$A$1:$L$317,5,FALSE)</f>
        <v>110322.09072156889</v>
      </c>
      <c r="E22" s="31">
        <f>VLOOKUP(B22,'Initial adjusted formula count'!$A$1:$P$317,12,FALSE)</f>
        <v>0.22727272727272699</v>
      </c>
      <c r="F22">
        <f>VLOOKUP(B22,'Model allocations'!$A$1:$L$317,10,FALSE)</f>
        <v>99289.881649412011</v>
      </c>
      <c r="G22" s="30">
        <f t="shared" si="7"/>
        <v>0.9</v>
      </c>
      <c r="H22">
        <f t="shared" si="8"/>
        <v>99289.881649412011</v>
      </c>
      <c r="I22">
        <f t="shared" si="0"/>
        <v>0</v>
      </c>
      <c r="J22">
        <f t="shared" si="1"/>
        <v>99289.881649412011</v>
      </c>
      <c r="K22">
        <f t="shared" si="2"/>
        <v>99232.953661428517</v>
      </c>
      <c r="L22">
        <f t="shared" si="9"/>
        <v>99232.953661428517</v>
      </c>
      <c r="M22">
        <f t="shared" si="3"/>
        <v>99289.881649412011</v>
      </c>
      <c r="N22" s="29">
        <f t="shared" si="10"/>
        <v>0</v>
      </c>
      <c r="O22" s="29">
        <f t="shared" si="4"/>
        <v>0</v>
      </c>
      <c r="P22" s="29">
        <f t="shared" si="11"/>
        <v>99289.881649412011</v>
      </c>
      <c r="Q22">
        <f t="shared" si="12"/>
        <v>0</v>
      </c>
      <c r="R22" s="29">
        <f t="shared" si="13"/>
        <v>0</v>
      </c>
      <c r="S22" s="29">
        <f t="shared" si="5"/>
        <v>0</v>
      </c>
      <c r="T22" s="29">
        <f t="shared" si="14"/>
        <v>99289.881649412011</v>
      </c>
      <c r="U22">
        <f t="shared" si="15"/>
        <v>0</v>
      </c>
      <c r="V22" s="29">
        <f t="shared" si="16"/>
        <v>0</v>
      </c>
      <c r="W22" s="29">
        <f t="shared" si="6"/>
        <v>0</v>
      </c>
      <c r="X22" s="29">
        <f t="shared" si="17"/>
        <v>99289.881649412011</v>
      </c>
      <c r="Y22">
        <f t="shared" si="18"/>
        <v>0</v>
      </c>
    </row>
    <row r="23" spans="1:25" x14ac:dyDescent="0.25">
      <c r="A23" s="4" t="s">
        <v>697</v>
      </c>
      <c r="B23" s="7" t="s">
        <v>324</v>
      </c>
      <c r="C23" s="2" t="s">
        <v>698</v>
      </c>
      <c r="D23">
        <f>VLOOKUP(B23,'Model allocations'!$A$1:$L$317,5,FALSE)</f>
        <v>16486.539034044137</v>
      </c>
      <c r="E23" s="31">
        <f>VLOOKUP(B23,'Initial adjusted formula count'!$A$1:$P$317,12,FALSE)</f>
        <v>0.23214285714285701</v>
      </c>
      <c r="F23">
        <f>VLOOKUP(B23,'Model allocations'!$A$1:$L$317,10,FALSE)</f>
        <v>14837.885130639725</v>
      </c>
      <c r="G23" s="30">
        <f t="shared" si="7"/>
        <v>0.9</v>
      </c>
      <c r="H23">
        <f t="shared" si="8"/>
        <v>14837.885130639725</v>
      </c>
      <c r="I23">
        <f t="shared" si="0"/>
        <v>0</v>
      </c>
      <c r="J23">
        <f t="shared" si="1"/>
        <v>14837.885130639725</v>
      </c>
      <c r="K23">
        <f t="shared" si="2"/>
        <v>14829.377809124324</v>
      </c>
      <c r="L23">
        <f t="shared" si="9"/>
        <v>14829.377809124324</v>
      </c>
      <c r="M23">
        <f t="shared" si="3"/>
        <v>14837.885130639725</v>
      </c>
      <c r="N23" s="29">
        <f t="shared" si="10"/>
        <v>0</v>
      </c>
      <c r="O23" s="29">
        <f t="shared" si="4"/>
        <v>0</v>
      </c>
      <c r="P23" s="29">
        <f t="shared" si="11"/>
        <v>14837.885130639725</v>
      </c>
      <c r="Q23">
        <f t="shared" si="12"/>
        <v>0</v>
      </c>
      <c r="R23" s="29">
        <f t="shared" si="13"/>
        <v>0</v>
      </c>
      <c r="S23" s="29">
        <f t="shared" si="5"/>
        <v>0</v>
      </c>
      <c r="T23" s="29">
        <f t="shared" si="14"/>
        <v>14837.885130639725</v>
      </c>
      <c r="U23">
        <f t="shared" si="15"/>
        <v>0</v>
      </c>
      <c r="V23" s="29">
        <f t="shared" si="16"/>
        <v>0</v>
      </c>
      <c r="W23" s="29">
        <f t="shared" si="6"/>
        <v>0</v>
      </c>
      <c r="X23" s="29">
        <f t="shared" si="17"/>
        <v>14837.885130639725</v>
      </c>
      <c r="Y23">
        <f t="shared" si="18"/>
        <v>0</v>
      </c>
    </row>
    <row r="24" spans="1:25" x14ac:dyDescent="0.25">
      <c r="A24" s="4" t="s">
        <v>699</v>
      </c>
      <c r="B24" s="7" t="s">
        <v>326</v>
      </c>
      <c r="C24" s="2" t="s">
        <v>700</v>
      </c>
      <c r="D24">
        <f>VLOOKUP(B24,'Model allocations'!$A$1:$L$317,5,FALSE)</f>
        <v>172892.90837407191</v>
      </c>
      <c r="E24" s="31">
        <f>VLOOKUP(B24,'Initial adjusted formula count'!$A$1:$P$317,12,FALSE)</f>
        <v>0.109353695118626</v>
      </c>
      <c r="F24">
        <f>VLOOKUP(B24,'Model allocations'!$A$1:$L$317,10,FALSE)</f>
        <v>168154.94609750045</v>
      </c>
      <c r="G24" s="30">
        <f t="shared" si="7"/>
        <v>0.85</v>
      </c>
      <c r="H24">
        <f t="shared" si="8"/>
        <v>146958.97211796112</v>
      </c>
      <c r="I24">
        <f t="shared" si="0"/>
        <v>0</v>
      </c>
      <c r="J24">
        <f t="shared" si="1"/>
        <v>168154.94609750045</v>
      </c>
      <c r="K24">
        <f t="shared" si="2"/>
        <v>168058.53423164081</v>
      </c>
      <c r="L24">
        <f t="shared" si="9"/>
        <v>168058.53423164081</v>
      </c>
      <c r="M24">
        <f t="shared" si="3"/>
        <v>0</v>
      </c>
      <c r="N24" s="29">
        <f t="shared" si="10"/>
        <v>168058.53423164081</v>
      </c>
      <c r="O24" s="29">
        <f t="shared" si="4"/>
        <v>168046.37646386109</v>
      </c>
      <c r="P24" s="29">
        <f t="shared" si="11"/>
        <v>168046.37646386109</v>
      </c>
      <c r="Q24">
        <f t="shared" si="12"/>
        <v>0</v>
      </c>
      <c r="R24" s="29">
        <f t="shared" si="13"/>
        <v>168046.37646386109</v>
      </c>
      <c r="S24" s="29">
        <f t="shared" si="5"/>
        <v>168046.37646386118</v>
      </c>
      <c r="T24" s="29">
        <f t="shared" si="14"/>
        <v>168046.37646386118</v>
      </c>
      <c r="U24">
        <f t="shared" si="15"/>
        <v>0</v>
      </c>
      <c r="V24" s="29">
        <f t="shared" si="16"/>
        <v>168046.37646386118</v>
      </c>
      <c r="W24" s="29">
        <f t="shared" si="6"/>
        <v>168046.37646386118</v>
      </c>
      <c r="X24" s="29">
        <f t="shared" si="17"/>
        <v>168046.37646386118</v>
      </c>
      <c r="Y24">
        <f t="shared" si="18"/>
        <v>0</v>
      </c>
    </row>
    <row r="25" spans="1:25" x14ac:dyDescent="0.25">
      <c r="A25" s="4" t="s">
        <v>701</v>
      </c>
      <c r="B25" s="7" t="s">
        <v>101</v>
      </c>
      <c r="C25" s="2" t="s">
        <v>702</v>
      </c>
      <c r="D25">
        <f>VLOOKUP(B25,'Model allocations'!$A$1:$L$317,5,FALSE)</f>
        <v>0</v>
      </c>
      <c r="E25" s="31">
        <f>VLOOKUP(B25,'Initial adjusted formula count'!$A$1:$P$317,12,FALSE)</f>
        <v>3.6312474876055198E-2</v>
      </c>
      <c r="F25">
        <f>VLOOKUP(B25,'Model allocations'!$A$1:$L$317,10,FALSE)</f>
        <v>0</v>
      </c>
      <c r="G25" s="30">
        <f t="shared" si="7"/>
        <v>0.85</v>
      </c>
      <c r="H25">
        <f t="shared" si="8"/>
        <v>0</v>
      </c>
      <c r="I25">
        <f t="shared" si="0"/>
        <v>0</v>
      </c>
      <c r="J25">
        <f t="shared" si="1"/>
        <v>0</v>
      </c>
      <c r="K25">
        <f t="shared" si="2"/>
        <v>0</v>
      </c>
      <c r="L25">
        <f t="shared" si="9"/>
        <v>0</v>
      </c>
      <c r="M25">
        <f t="shared" si="3"/>
        <v>0</v>
      </c>
      <c r="N25" s="29">
        <f t="shared" si="10"/>
        <v>0</v>
      </c>
      <c r="O25" s="29">
        <f t="shared" si="4"/>
        <v>0</v>
      </c>
      <c r="P25" s="29">
        <f t="shared" si="11"/>
        <v>0</v>
      </c>
      <c r="Q25">
        <f t="shared" si="12"/>
        <v>0</v>
      </c>
      <c r="R25" s="29">
        <f t="shared" si="13"/>
        <v>0</v>
      </c>
      <c r="S25" s="29">
        <f t="shared" si="5"/>
        <v>0</v>
      </c>
      <c r="T25" s="29">
        <f t="shared" si="14"/>
        <v>0</v>
      </c>
      <c r="U25">
        <f t="shared" si="15"/>
        <v>0</v>
      </c>
      <c r="V25" s="29">
        <f t="shared" si="16"/>
        <v>0</v>
      </c>
      <c r="W25" s="29">
        <f t="shared" si="6"/>
        <v>0</v>
      </c>
      <c r="X25" s="29">
        <f t="shared" si="17"/>
        <v>0</v>
      </c>
      <c r="Y25">
        <f t="shared" si="18"/>
        <v>0</v>
      </c>
    </row>
    <row r="26" spans="1:25" x14ac:dyDescent="0.25">
      <c r="A26" s="4" t="s">
        <v>703</v>
      </c>
      <c r="B26" s="7" t="s">
        <v>328</v>
      </c>
      <c r="C26" s="2" t="s">
        <v>704</v>
      </c>
      <c r="D26">
        <f>VLOOKUP(B26,'Model allocations'!$A$1:$L$317,5,FALSE)</f>
        <v>59789.207769652916</v>
      </c>
      <c r="E26" s="31">
        <f>VLOOKUP(B26,'Initial adjusted formula count'!$A$1:$P$317,12,FALSE)</f>
        <v>0.17431192660550501</v>
      </c>
      <c r="F26">
        <f>VLOOKUP(B26,'Model allocations'!$A$1:$L$317,10,FALSE)</f>
        <v>53810.286992687623</v>
      </c>
      <c r="G26" s="30">
        <f t="shared" si="7"/>
        <v>0.9</v>
      </c>
      <c r="H26">
        <f t="shared" si="8"/>
        <v>53810.286992687623</v>
      </c>
      <c r="I26">
        <f t="shared" si="0"/>
        <v>0</v>
      </c>
      <c r="J26">
        <f t="shared" si="1"/>
        <v>53810.286992687623</v>
      </c>
      <c r="K26">
        <f t="shared" si="2"/>
        <v>53779.434791834719</v>
      </c>
      <c r="L26">
        <f t="shared" si="9"/>
        <v>53779.434791834719</v>
      </c>
      <c r="M26">
        <f t="shared" si="3"/>
        <v>53810.286992687623</v>
      </c>
      <c r="N26" s="29">
        <f t="shared" si="10"/>
        <v>0</v>
      </c>
      <c r="O26" s="29">
        <f t="shared" si="4"/>
        <v>0</v>
      </c>
      <c r="P26" s="29">
        <f t="shared" si="11"/>
        <v>53810.286992687623</v>
      </c>
      <c r="Q26">
        <f t="shared" si="12"/>
        <v>0</v>
      </c>
      <c r="R26" s="29">
        <f t="shared" si="13"/>
        <v>0</v>
      </c>
      <c r="S26" s="29">
        <f t="shared" si="5"/>
        <v>0</v>
      </c>
      <c r="T26" s="29">
        <f t="shared" si="14"/>
        <v>53810.286992687623</v>
      </c>
      <c r="U26">
        <f t="shared" si="15"/>
        <v>0</v>
      </c>
      <c r="V26" s="29">
        <f t="shared" si="16"/>
        <v>0</v>
      </c>
      <c r="W26" s="29">
        <f t="shared" si="6"/>
        <v>0</v>
      </c>
      <c r="X26" s="29">
        <f t="shared" si="17"/>
        <v>53810.286992687623</v>
      </c>
      <c r="Y26">
        <f t="shared" si="18"/>
        <v>0</v>
      </c>
    </row>
    <row r="27" spans="1:25" x14ac:dyDescent="0.25">
      <c r="A27" s="4" t="s">
        <v>705</v>
      </c>
      <c r="B27" s="7" t="s">
        <v>103</v>
      </c>
      <c r="C27" s="2" t="s">
        <v>706</v>
      </c>
      <c r="D27">
        <f>VLOOKUP(B27,'Model allocations'!$A$1:$L$317,5,FALSE)</f>
        <v>0</v>
      </c>
      <c r="E27" s="31">
        <f>VLOOKUP(B27,'Initial adjusted formula count'!$A$1:$P$317,12,FALSE)</f>
        <v>1.9138755980861202E-2</v>
      </c>
      <c r="F27">
        <f>VLOOKUP(B27,'Model allocations'!$A$1:$L$317,10,FALSE)</f>
        <v>0</v>
      </c>
      <c r="G27" s="30">
        <f t="shared" si="7"/>
        <v>0.85</v>
      </c>
      <c r="H27">
        <f t="shared" si="8"/>
        <v>0</v>
      </c>
      <c r="I27">
        <f t="shared" si="0"/>
        <v>0</v>
      </c>
      <c r="J27">
        <f t="shared" si="1"/>
        <v>0</v>
      </c>
      <c r="K27">
        <f t="shared" si="2"/>
        <v>0</v>
      </c>
      <c r="L27">
        <f t="shared" si="9"/>
        <v>0</v>
      </c>
      <c r="M27">
        <f t="shared" si="3"/>
        <v>0</v>
      </c>
      <c r="N27" s="29">
        <f t="shared" si="10"/>
        <v>0</v>
      </c>
      <c r="O27" s="29">
        <f t="shared" si="4"/>
        <v>0</v>
      </c>
      <c r="P27" s="29">
        <f t="shared" si="11"/>
        <v>0</v>
      </c>
      <c r="Q27">
        <f t="shared" si="12"/>
        <v>0</v>
      </c>
      <c r="R27" s="29">
        <f t="shared" si="13"/>
        <v>0</v>
      </c>
      <c r="S27" s="29">
        <f t="shared" si="5"/>
        <v>0</v>
      </c>
      <c r="T27" s="29">
        <f t="shared" si="14"/>
        <v>0</v>
      </c>
      <c r="U27">
        <f t="shared" si="15"/>
        <v>0</v>
      </c>
      <c r="V27" s="29">
        <f t="shared" si="16"/>
        <v>0</v>
      </c>
      <c r="W27" s="29">
        <f t="shared" si="6"/>
        <v>0</v>
      </c>
      <c r="X27" s="29">
        <f t="shared" si="17"/>
        <v>0</v>
      </c>
      <c r="Y27">
        <f t="shared" si="18"/>
        <v>0</v>
      </c>
    </row>
    <row r="28" spans="1:25" x14ac:dyDescent="0.25">
      <c r="A28" s="4" t="s">
        <v>707</v>
      </c>
      <c r="B28" s="7" t="s">
        <v>330</v>
      </c>
      <c r="C28" s="2" t="s">
        <v>708</v>
      </c>
      <c r="D28">
        <f>VLOOKUP(B28,'Model allocations'!$A$1:$L$317,5,FALSE)</f>
        <v>72434.568109400556</v>
      </c>
      <c r="E28" s="31">
        <f>VLOOKUP(B28,'Initial adjusted formula count'!$A$1:$P$317,12,FALSE)</f>
        <v>9.8402555910543102E-2</v>
      </c>
      <c r="F28">
        <f>VLOOKUP(B28,'Model allocations'!$A$1:$L$317,10,FALSE)</f>
        <v>64578.208725723358</v>
      </c>
      <c r="G28" s="30">
        <f t="shared" si="7"/>
        <v>0.85</v>
      </c>
      <c r="H28">
        <f t="shared" si="8"/>
        <v>61569.38289299047</v>
      </c>
      <c r="I28">
        <f t="shared" si="0"/>
        <v>0</v>
      </c>
      <c r="J28">
        <f t="shared" si="1"/>
        <v>64578.208725723358</v>
      </c>
      <c r="K28">
        <f t="shared" si="2"/>
        <v>64541.18272237575</v>
      </c>
      <c r="L28">
        <f t="shared" si="9"/>
        <v>64541.18272237575</v>
      </c>
      <c r="M28">
        <f t="shared" si="3"/>
        <v>0</v>
      </c>
      <c r="N28" s="29">
        <f t="shared" si="10"/>
        <v>64541.18272237575</v>
      </c>
      <c r="O28" s="29">
        <f t="shared" si="4"/>
        <v>64536.513654450384</v>
      </c>
      <c r="P28" s="29">
        <f t="shared" si="11"/>
        <v>64536.513654450384</v>
      </c>
      <c r="Q28">
        <f t="shared" si="12"/>
        <v>0</v>
      </c>
      <c r="R28" s="29">
        <f t="shared" si="13"/>
        <v>64536.513654450384</v>
      </c>
      <c r="S28" s="29">
        <f t="shared" si="5"/>
        <v>64536.513654450428</v>
      </c>
      <c r="T28" s="29">
        <f t="shared" si="14"/>
        <v>64536.513654450428</v>
      </c>
      <c r="U28">
        <f t="shared" si="15"/>
        <v>0</v>
      </c>
      <c r="V28" s="29">
        <f t="shared" si="16"/>
        <v>64536.513654450428</v>
      </c>
      <c r="W28" s="29">
        <f t="shared" si="6"/>
        <v>64536.513654450442</v>
      </c>
      <c r="X28" s="29">
        <f t="shared" si="17"/>
        <v>64536.513654450442</v>
      </c>
      <c r="Y28">
        <f t="shared" si="18"/>
        <v>0</v>
      </c>
    </row>
    <row r="29" spans="1:25" x14ac:dyDescent="0.25">
      <c r="A29" s="4" t="s">
        <v>709</v>
      </c>
      <c r="B29" s="7" t="s">
        <v>332</v>
      </c>
      <c r="C29" s="2" t="s">
        <v>710</v>
      </c>
      <c r="D29">
        <f>VLOOKUP(B29,'Model allocations'!$A$1:$L$317,5,FALSE)</f>
        <v>68318.967648639169</v>
      </c>
      <c r="E29" s="31">
        <f>VLOOKUP(B29,'Initial adjusted formula count'!$A$1:$P$317,12,FALSE)</f>
        <v>0.110152621101526</v>
      </c>
      <c r="F29">
        <f>VLOOKUP(B29,'Model allocations'!$A$1:$L$317,10,FALSE)</f>
        <v>69610.2769381174</v>
      </c>
      <c r="G29" s="30">
        <f t="shared" si="7"/>
        <v>0.85</v>
      </c>
      <c r="H29">
        <f t="shared" si="8"/>
        <v>58071.122501343292</v>
      </c>
      <c r="I29">
        <f t="shared" si="0"/>
        <v>0</v>
      </c>
      <c r="J29">
        <f t="shared" si="1"/>
        <v>69610.2769381174</v>
      </c>
      <c r="K29">
        <f t="shared" si="2"/>
        <v>69570.365791651799</v>
      </c>
      <c r="L29">
        <f t="shared" si="9"/>
        <v>69570.365791651799</v>
      </c>
      <c r="M29">
        <f t="shared" si="3"/>
        <v>0</v>
      </c>
      <c r="N29" s="29">
        <f t="shared" si="10"/>
        <v>69570.365791651799</v>
      </c>
      <c r="O29" s="29">
        <f t="shared" si="4"/>
        <v>69565.332900251728</v>
      </c>
      <c r="P29" s="29">
        <f t="shared" si="11"/>
        <v>69565.332900251728</v>
      </c>
      <c r="Q29">
        <f t="shared" si="12"/>
        <v>0</v>
      </c>
      <c r="R29" s="29">
        <f t="shared" si="13"/>
        <v>69565.332900251728</v>
      </c>
      <c r="S29" s="29">
        <f t="shared" si="5"/>
        <v>69565.332900251771</v>
      </c>
      <c r="T29" s="29">
        <f t="shared" si="14"/>
        <v>69565.332900251771</v>
      </c>
      <c r="U29">
        <f t="shared" si="15"/>
        <v>0</v>
      </c>
      <c r="V29" s="29">
        <f t="shared" si="16"/>
        <v>69565.332900251771</v>
      </c>
      <c r="W29" s="29">
        <f t="shared" si="6"/>
        <v>69565.332900251786</v>
      </c>
      <c r="X29" s="29">
        <f t="shared" si="17"/>
        <v>69565.332900251786</v>
      </c>
      <c r="Y29">
        <f t="shared" si="18"/>
        <v>0</v>
      </c>
    </row>
    <row r="30" spans="1:25" x14ac:dyDescent="0.25">
      <c r="A30" s="4" t="s">
        <v>711</v>
      </c>
      <c r="B30" s="7" t="s">
        <v>105</v>
      </c>
      <c r="C30" s="2" t="s">
        <v>712</v>
      </c>
      <c r="D30">
        <f>VLOOKUP(B30,'Model allocations'!$A$1:$L$317,5,FALSE)</f>
        <v>76550.168570161957</v>
      </c>
      <c r="E30" s="31">
        <f>VLOOKUP(B30,'Initial adjusted formula count'!$A$1:$P$317,12,FALSE)</f>
        <v>0.116797110174594</v>
      </c>
      <c r="F30">
        <f>VLOOKUP(B30,'Model allocations'!$A$1:$L$317,10,FALSE)</f>
        <v>81351.769433703463</v>
      </c>
      <c r="G30" s="30">
        <f t="shared" si="7"/>
        <v>0.85</v>
      </c>
      <c r="H30">
        <f t="shared" si="8"/>
        <v>65067.643284637663</v>
      </c>
      <c r="I30">
        <f t="shared" si="0"/>
        <v>0</v>
      </c>
      <c r="J30">
        <f t="shared" si="1"/>
        <v>81351.769433703463</v>
      </c>
      <c r="K30">
        <f t="shared" si="2"/>
        <v>81305.126286629224</v>
      </c>
      <c r="L30">
        <f t="shared" si="9"/>
        <v>81305.126286629224</v>
      </c>
      <c r="M30">
        <f t="shared" si="3"/>
        <v>0</v>
      </c>
      <c r="N30" s="29">
        <f t="shared" si="10"/>
        <v>81305.126286629224</v>
      </c>
      <c r="O30" s="29">
        <f t="shared" si="4"/>
        <v>81299.244473788174</v>
      </c>
      <c r="P30" s="29">
        <f t="shared" si="11"/>
        <v>81299.244473788174</v>
      </c>
      <c r="Q30">
        <f t="shared" si="12"/>
        <v>0</v>
      </c>
      <c r="R30" s="29">
        <f t="shared" si="13"/>
        <v>81299.244473788174</v>
      </c>
      <c r="S30" s="29">
        <f t="shared" si="5"/>
        <v>81299.244473788218</v>
      </c>
      <c r="T30" s="29">
        <f t="shared" si="14"/>
        <v>81299.244473788218</v>
      </c>
      <c r="U30">
        <f t="shared" si="15"/>
        <v>0</v>
      </c>
      <c r="V30" s="29">
        <f t="shared" si="16"/>
        <v>81299.244473788218</v>
      </c>
      <c r="W30" s="29">
        <f t="shared" si="6"/>
        <v>81299.244473788218</v>
      </c>
      <c r="X30" s="29">
        <f t="shared" si="17"/>
        <v>81299.244473788218</v>
      </c>
      <c r="Y30">
        <f t="shared" si="18"/>
        <v>0</v>
      </c>
    </row>
    <row r="31" spans="1:25" x14ac:dyDescent="0.25">
      <c r="A31" s="4" t="s">
        <v>8</v>
      </c>
      <c r="B31" s="7" t="s">
        <v>66</v>
      </c>
      <c r="C31" s="2" t="s">
        <v>713</v>
      </c>
      <c r="D31">
        <f>VLOOKUP(B31,'Model allocations'!$A$1:$L$317,5,FALSE)</f>
        <v>35454.923777041549</v>
      </c>
      <c r="E31" s="31">
        <f>VLOOKUP(B31,'Initial adjusted formula count'!$A$1:$P$317,12,FALSE)</f>
        <v>0.10646043117432499</v>
      </c>
      <c r="F31">
        <f>VLOOKUP(B31,'Model allocations'!$A$1:$L$317,10,FALSE)</f>
        <v>34148.622546752653</v>
      </c>
      <c r="G31" s="30">
        <f t="shared" si="7"/>
        <v>0.85</v>
      </c>
      <c r="H31">
        <f t="shared" si="8"/>
        <v>30136.685210485317</v>
      </c>
      <c r="I31">
        <f t="shared" si="0"/>
        <v>0</v>
      </c>
      <c r="J31">
        <f t="shared" si="1"/>
        <v>34148.622546752653</v>
      </c>
      <c r="K31">
        <f t="shared" si="2"/>
        <v>34129.043387812177</v>
      </c>
      <c r="L31">
        <f t="shared" si="9"/>
        <v>34129.043387812177</v>
      </c>
      <c r="M31">
        <f t="shared" si="3"/>
        <v>0</v>
      </c>
      <c r="N31" s="29">
        <f t="shared" si="10"/>
        <v>34129.043387812177</v>
      </c>
      <c r="O31" s="29">
        <f t="shared" si="4"/>
        <v>34126.574408858207</v>
      </c>
      <c r="P31" s="29">
        <f t="shared" si="11"/>
        <v>34126.574408858207</v>
      </c>
      <c r="Q31">
        <f t="shared" si="12"/>
        <v>0</v>
      </c>
      <c r="R31" s="29">
        <f t="shared" si="13"/>
        <v>34126.574408858207</v>
      </c>
      <c r="S31" s="29">
        <f t="shared" si="5"/>
        <v>34126.574408858229</v>
      </c>
      <c r="T31" s="29">
        <f t="shared" si="14"/>
        <v>34126.574408858229</v>
      </c>
      <c r="U31">
        <f t="shared" si="15"/>
        <v>0</v>
      </c>
      <c r="V31" s="29">
        <f t="shared" si="16"/>
        <v>34126.574408858229</v>
      </c>
      <c r="W31" s="29">
        <f t="shared" si="6"/>
        <v>34126.574408858236</v>
      </c>
      <c r="X31" s="29">
        <f t="shared" si="17"/>
        <v>34126.574408858236</v>
      </c>
      <c r="Y31">
        <f t="shared" si="18"/>
        <v>0</v>
      </c>
    </row>
    <row r="32" spans="1:25" x14ac:dyDescent="0.25">
      <c r="A32" s="4" t="s">
        <v>714</v>
      </c>
      <c r="B32" s="7" t="s">
        <v>334</v>
      </c>
      <c r="C32" s="2" t="s">
        <v>715</v>
      </c>
      <c r="D32">
        <f>VLOOKUP(B32,'Model allocations'!$A$1:$L$317,5,FALSE)</f>
        <v>16960.893659854155</v>
      </c>
      <c r="E32" s="31">
        <f>VLOOKUP(B32,'Initial adjusted formula count'!$A$1:$P$317,12,FALSE)</f>
        <v>0.25531914893617003</v>
      </c>
      <c r="F32">
        <f>VLOOKUP(B32,'Model allocations'!$A$1:$L$317,10,FALSE)</f>
        <v>15264.804293868739</v>
      </c>
      <c r="G32" s="30">
        <f t="shared" si="7"/>
        <v>0.9</v>
      </c>
      <c r="H32">
        <f t="shared" si="8"/>
        <v>15264.804293868739</v>
      </c>
      <c r="I32">
        <f t="shared" si="0"/>
        <v>0</v>
      </c>
      <c r="J32">
        <f t="shared" si="1"/>
        <v>15264.804293868739</v>
      </c>
      <c r="K32">
        <f t="shared" si="2"/>
        <v>15256.052197673476</v>
      </c>
      <c r="L32">
        <f t="shared" si="9"/>
        <v>15256.052197673476</v>
      </c>
      <c r="M32">
        <f t="shared" si="3"/>
        <v>15264.804293868739</v>
      </c>
      <c r="N32" s="29">
        <f t="shared" si="10"/>
        <v>0</v>
      </c>
      <c r="O32" s="29">
        <f t="shared" si="4"/>
        <v>0</v>
      </c>
      <c r="P32" s="29">
        <f t="shared" si="11"/>
        <v>15264.804293868739</v>
      </c>
      <c r="Q32">
        <f t="shared" si="12"/>
        <v>0</v>
      </c>
      <c r="R32" s="29">
        <f t="shared" si="13"/>
        <v>0</v>
      </c>
      <c r="S32" s="29">
        <f t="shared" si="5"/>
        <v>0</v>
      </c>
      <c r="T32" s="29">
        <f t="shared" si="14"/>
        <v>15264.804293868739</v>
      </c>
      <c r="U32">
        <f t="shared" si="15"/>
        <v>0</v>
      </c>
      <c r="V32" s="29">
        <f t="shared" si="16"/>
        <v>0</v>
      </c>
      <c r="W32" s="29">
        <f t="shared" si="6"/>
        <v>0</v>
      </c>
      <c r="X32" s="29">
        <f t="shared" si="17"/>
        <v>15264.804293868739</v>
      </c>
      <c r="Y32">
        <f t="shared" si="18"/>
        <v>0</v>
      </c>
    </row>
    <row r="33" spans="1:25" x14ac:dyDescent="0.25">
      <c r="A33" s="4" t="s">
        <v>716</v>
      </c>
      <c r="B33" s="7" t="s">
        <v>107</v>
      </c>
      <c r="C33" s="2" t="s">
        <v>717</v>
      </c>
      <c r="D33">
        <f>VLOOKUP(B33,'Model allocations'!$A$1:$L$317,5,FALSE)</f>
        <v>396743.88441739831</v>
      </c>
      <c r="E33" s="31">
        <f>VLOOKUP(B33,'Initial adjusted formula count'!$A$1:$P$317,12,FALSE)</f>
        <v>7.0639978457948102E-2</v>
      </c>
      <c r="F33">
        <f>VLOOKUP(B33,'Model allocations'!$A$1:$L$317,10,FALSE)</f>
        <v>350148.07977908425</v>
      </c>
      <c r="G33" s="30">
        <f t="shared" si="7"/>
        <v>0.85</v>
      </c>
      <c r="H33">
        <f t="shared" si="8"/>
        <v>337232.30175478855</v>
      </c>
      <c r="I33">
        <f t="shared" si="0"/>
        <v>0</v>
      </c>
      <c r="J33">
        <f t="shared" si="1"/>
        <v>350148.07977908425</v>
      </c>
      <c r="K33">
        <f t="shared" si="2"/>
        <v>349947.32190379046</v>
      </c>
      <c r="L33">
        <f t="shared" si="9"/>
        <v>349947.32190379046</v>
      </c>
      <c r="M33">
        <f t="shared" si="3"/>
        <v>0</v>
      </c>
      <c r="N33" s="29">
        <f t="shared" si="10"/>
        <v>349947.32190379046</v>
      </c>
      <c r="O33" s="29">
        <f t="shared" si="4"/>
        <v>349922.0058536756</v>
      </c>
      <c r="P33" s="29">
        <f t="shared" si="11"/>
        <v>349922.0058536756</v>
      </c>
      <c r="Q33">
        <f t="shared" si="12"/>
        <v>0</v>
      </c>
      <c r="R33" s="29">
        <f t="shared" si="13"/>
        <v>349922.0058536756</v>
      </c>
      <c r="S33" s="29">
        <f t="shared" si="5"/>
        <v>349922.00585367577</v>
      </c>
      <c r="T33" s="29">
        <f t="shared" si="14"/>
        <v>349922.00585367577</v>
      </c>
      <c r="U33">
        <f t="shared" si="15"/>
        <v>0</v>
      </c>
      <c r="V33" s="29">
        <f t="shared" si="16"/>
        <v>349922.00585367577</v>
      </c>
      <c r="W33" s="29">
        <f t="shared" si="6"/>
        <v>349922.00585367583</v>
      </c>
      <c r="X33" s="29">
        <f t="shared" si="17"/>
        <v>349922.00585367583</v>
      </c>
      <c r="Y33">
        <f t="shared" si="18"/>
        <v>0</v>
      </c>
    </row>
    <row r="34" spans="1:25" x14ac:dyDescent="0.25">
      <c r="A34" s="4" t="s">
        <v>718</v>
      </c>
      <c r="B34" s="7" t="s">
        <v>266</v>
      </c>
      <c r="C34" s="2" t="s">
        <v>719</v>
      </c>
      <c r="D34">
        <f>VLOOKUP(B34,'Model allocations'!$A$1:$L$317,5,FALSE)</f>
        <v>1001737.1521493235</v>
      </c>
      <c r="E34" s="31">
        <f>VLOOKUP(B34,'Initial adjusted formula count'!$A$1:$P$317,12,FALSE)</f>
        <v>8.5457621186490099E-2</v>
      </c>
      <c r="F34">
        <f>VLOOKUP(B34,'Model allocations'!$A$1:$L$317,10,FALSE)</f>
        <v>851476.57932692498</v>
      </c>
      <c r="G34" s="30">
        <f t="shared" si="7"/>
        <v>0.85</v>
      </c>
      <c r="H34">
        <f t="shared" si="8"/>
        <v>851476.57932692498</v>
      </c>
      <c r="I34">
        <f t="shared" si="0"/>
        <v>0</v>
      </c>
      <c r="J34">
        <f t="shared" si="1"/>
        <v>851476.57932692498</v>
      </c>
      <c r="K34">
        <f t="shared" si="2"/>
        <v>850988.38407811499</v>
      </c>
      <c r="L34">
        <f t="shared" si="9"/>
        <v>850988.38407811499</v>
      </c>
      <c r="M34">
        <f t="shared" si="3"/>
        <v>851476.57932692498</v>
      </c>
      <c r="N34" s="29">
        <f t="shared" si="10"/>
        <v>0</v>
      </c>
      <c r="O34" s="29">
        <f t="shared" si="4"/>
        <v>0</v>
      </c>
      <c r="P34" s="29">
        <f t="shared" si="11"/>
        <v>851476.57932692498</v>
      </c>
      <c r="Q34">
        <f t="shared" si="12"/>
        <v>0</v>
      </c>
      <c r="R34" s="29">
        <f t="shared" si="13"/>
        <v>0</v>
      </c>
      <c r="S34" s="29">
        <f t="shared" si="5"/>
        <v>0</v>
      </c>
      <c r="T34" s="29">
        <f t="shared" si="14"/>
        <v>851476.57932692498</v>
      </c>
      <c r="U34">
        <f t="shared" si="15"/>
        <v>0</v>
      </c>
      <c r="V34" s="29">
        <f t="shared" si="16"/>
        <v>0</v>
      </c>
      <c r="W34" s="29">
        <f t="shared" si="6"/>
        <v>0</v>
      </c>
      <c r="X34" s="29">
        <f t="shared" si="17"/>
        <v>851476.57932692498</v>
      </c>
      <c r="Y34">
        <f t="shared" si="18"/>
        <v>0</v>
      </c>
    </row>
    <row r="35" spans="1:25" x14ac:dyDescent="0.25">
      <c r="A35" s="4" t="s">
        <v>720</v>
      </c>
      <c r="B35" s="7" t="s">
        <v>336</v>
      </c>
      <c r="C35" s="2" t="s">
        <v>721</v>
      </c>
      <c r="D35">
        <f>VLOOKUP(B35,'Model allocations'!$A$1:$L$317,5,FALSE)</f>
        <v>349037.1197123953</v>
      </c>
      <c r="E35" s="31">
        <f>VLOOKUP(B35,'Initial adjusted formula count'!$A$1:$P$317,12,FALSE)</f>
        <v>0.19820027688048</v>
      </c>
      <c r="F35">
        <f>VLOOKUP(B35,'Model allocations'!$A$1:$L$317,10,FALSE)</f>
        <v>418006.40023515519</v>
      </c>
      <c r="G35" s="30">
        <f t="shared" si="7"/>
        <v>0.9</v>
      </c>
      <c r="H35">
        <f t="shared" si="8"/>
        <v>314133.40774115577</v>
      </c>
      <c r="I35">
        <f t="shared" si="0"/>
        <v>0</v>
      </c>
      <c r="J35">
        <f t="shared" si="1"/>
        <v>418006.40023515519</v>
      </c>
      <c r="K35">
        <f t="shared" si="2"/>
        <v>417766.73570001515</v>
      </c>
      <c r="L35">
        <f t="shared" si="9"/>
        <v>417766.73570001515</v>
      </c>
      <c r="M35">
        <f t="shared" si="3"/>
        <v>0</v>
      </c>
      <c r="N35" s="29">
        <f t="shared" si="10"/>
        <v>417766.73570001515</v>
      </c>
      <c r="O35" s="29">
        <f t="shared" si="4"/>
        <v>417736.51342667476</v>
      </c>
      <c r="P35" s="29">
        <f t="shared" si="11"/>
        <v>417736.51342667476</v>
      </c>
      <c r="Q35">
        <f t="shared" si="12"/>
        <v>0</v>
      </c>
      <c r="R35" s="29">
        <f t="shared" si="13"/>
        <v>417736.51342667476</v>
      </c>
      <c r="S35" s="29">
        <f t="shared" si="5"/>
        <v>417736.513426675</v>
      </c>
      <c r="T35" s="29">
        <f t="shared" si="14"/>
        <v>417736.513426675</v>
      </c>
      <c r="U35">
        <f t="shared" si="15"/>
        <v>0</v>
      </c>
      <c r="V35" s="29">
        <f t="shared" si="16"/>
        <v>417736.513426675</v>
      </c>
      <c r="W35" s="29">
        <f t="shared" si="6"/>
        <v>417736.513426675</v>
      </c>
      <c r="X35" s="29">
        <f t="shared" si="17"/>
        <v>417736.513426675</v>
      </c>
      <c r="Y35">
        <f t="shared" si="18"/>
        <v>0</v>
      </c>
    </row>
    <row r="36" spans="1:25" x14ac:dyDescent="0.25">
      <c r="A36" s="4" t="s">
        <v>722</v>
      </c>
      <c r="B36" s="7" t="s">
        <v>338</v>
      </c>
      <c r="C36" s="2" t="s">
        <v>723</v>
      </c>
      <c r="D36">
        <f>VLOOKUP(B36,'Model allocations'!$A$1:$L$317,5,FALSE)</f>
        <v>120173.68173369349</v>
      </c>
      <c r="E36" s="31">
        <f>VLOOKUP(B36,'Initial adjusted formula count'!$A$1:$P$317,12,FALSE)</f>
        <v>0.138562543192813</v>
      </c>
      <c r="F36">
        <f>VLOOKUP(B36,'Model allocations'!$A$1:$L$317,10,FALSE)</f>
        <v>168154.94609750045</v>
      </c>
      <c r="G36" s="30">
        <f t="shared" si="7"/>
        <v>0.85</v>
      </c>
      <c r="H36">
        <f t="shared" si="8"/>
        <v>102147.62947363946</v>
      </c>
      <c r="I36">
        <f t="shared" si="0"/>
        <v>0</v>
      </c>
      <c r="J36">
        <f t="shared" si="1"/>
        <v>168154.94609750045</v>
      </c>
      <c r="K36">
        <f t="shared" si="2"/>
        <v>168058.53423164081</v>
      </c>
      <c r="L36">
        <f t="shared" si="9"/>
        <v>168058.53423164081</v>
      </c>
      <c r="M36">
        <f t="shared" si="3"/>
        <v>0</v>
      </c>
      <c r="N36" s="29">
        <f t="shared" si="10"/>
        <v>168058.53423164081</v>
      </c>
      <c r="O36" s="29">
        <f t="shared" si="4"/>
        <v>168046.37646386109</v>
      </c>
      <c r="P36" s="29">
        <f t="shared" si="11"/>
        <v>168046.37646386109</v>
      </c>
      <c r="Q36">
        <f t="shared" si="12"/>
        <v>0</v>
      </c>
      <c r="R36" s="29">
        <f t="shared" si="13"/>
        <v>168046.37646386109</v>
      </c>
      <c r="S36" s="29">
        <f t="shared" si="5"/>
        <v>168046.37646386118</v>
      </c>
      <c r="T36" s="29">
        <f t="shared" si="14"/>
        <v>168046.37646386118</v>
      </c>
      <c r="U36">
        <f t="shared" si="15"/>
        <v>0</v>
      </c>
      <c r="V36" s="29">
        <f t="shared" si="16"/>
        <v>168046.37646386118</v>
      </c>
      <c r="W36" s="29">
        <f t="shared" si="6"/>
        <v>168046.37646386118</v>
      </c>
      <c r="X36" s="29">
        <f t="shared" si="17"/>
        <v>168046.37646386118</v>
      </c>
      <c r="Y36">
        <f t="shared" si="18"/>
        <v>0</v>
      </c>
    </row>
    <row r="37" spans="1:25" x14ac:dyDescent="0.25">
      <c r="A37" s="4" t="s">
        <v>724</v>
      </c>
      <c r="B37" s="7" t="s">
        <v>268</v>
      </c>
      <c r="C37" s="2" t="s">
        <v>725</v>
      </c>
      <c r="D37">
        <f>VLOOKUP(B37,'Model allocations'!$A$1:$L$317,5,FALSE)</f>
        <v>398595.904624741</v>
      </c>
      <c r="E37" s="31">
        <f>VLOOKUP(B37,'Initial adjusted formula count'!$A$1:$P$317,12,FALSE)</f>
        <v>0.114381164492523</v>
      </c>
      <c r="F37">
        <f>VLOOKUP(B37,'Model allocations'!$A$1:$L$317,10,FALSE)</f>
        <v>338806.51893102983</v>
      </c>
      <c r="G37" s="30">
        <f t="shared" si="7"/>
        <v>0.85</v>
      </c>
      <c r="H37">
        <f t="shared" si="8"/>
        <v>338806.51893102983</v>
      </c>
      <c r="I37">
        <f t="shared" si="0"/>
        <v>0</v>
      </c>
      <c r="J37">
        <f t="shared" si="1"/>
        <v>338806.51893102983</v>
      </c>
      <c r="K37">
        <f t="shared" si="2"/>
        <v>338612.26375499344</v>
      </c>
      <c r="L37">
        <f t="shared" si="9"/>
        <v>338612.26375499344</v>
      </c>
      <c r="M37">
        <f t="shared" si="3"/>
        <v>338806.51893102983</v>
      </c>
      <c r="N37" s="29">
        <f t="shared" si="10"/>
        <v>0</v>
      </c>
      <c r="O37" s="29">
        <f t="shared" si="4"/>
        <v>0</v>
      </c>
      <c r="P37" s="29">
        <f t="shared" si="11"/>
        <v>338806.51893102983</v>
      </c>
      <c r="Q37">
        <f t="shared" si="12"/>
        <v>0</v>
      </c>
      <c r="R37" s="29">
        <f t="shared" si="13"/>
        <v>0</v>
      </c>
      <c r="S37" s="29">
        <f t="shared" si="5"/>
        <v>0</v>
      </c>
      <c r="T37" s="29">
        <f t="shared" si="14"/>
        <v>338806.51893102983</v>
      </c>
      <c r="U37">
        <f t="shared" si="15"/>
        <v>0</v>
      </c>
      <c r="V37" s="29">
        <f t="shared" si="16"/>
        <v>0</v>
      </c>
      <c r="W37" s="29">
        <f t="shared" si="6"/>
        <v>0</v>
      </c>
      <c r="X37" s="29">
        <f t="shared" si="17"/>
        <v>338806.51893102983</v>
      </c>
      <c r="Y37">
        <f t="shared" si="18"/>
        <v>0</v>
      </c>
    </row>
    <row r="38" spans="1:25" x14ac:dyDescent="0.25">
      <c r="A38" s="4" t="s">
        <v>726</v>
      </c>
      <c r="B38" s="7" t="s">
        <v>340</v>
      </c>
      <c r="C38" s="2" t="s">
        <v>727</v>
      </c>
      <c r="D38">
        <f>VLOOKUP(B38,'Model allocations'!$A$1:$L$317,5,FALSE)</f>
        <v>87445.243673026634</v>
      </c>
      <c r="E38" s="31">
        <f>VLOOKUP(B38,'Initial adjusted formula count'!$A$1:$P$317,12,FALSE)</f>
        <v>0.161904761904762</v>
      </c>
      <c r="F38">
        <f>VLOOKUP(B38,'Model allocations'!$A$1:$L$317,10,FALSE)</f>
        <v>78700.719305723978</v>
      </c>
      <c r="G38" s="30">
        <f t="shared" si="7"/>
        <v>0.9</v>
      </c>
      <c r="H38">
        <f t="shared" si="8"/>
        <v>78700.719305723978</v>
      </c>
      <c r="I38">
        <f t="shared" si="0"/>
        <v>0</v>
      </c>
      <c r="J38">
        <f t="shared" si="1"/>
        <v>78700.719305723978</v>
      </c>
      <c r="K38">
        <f t="shared" si="2"/>
        <v>78655.596141827496</v>
      </c>
      <c r="L38">
        <f t="shared" si="9"/>
        <v>78655.596141827496</v>
      </c>
      <c r="M38">
        <f t="shared" si="3"/>
        <v>78700.719305723978</v>
      </c>
      <c r="N38" s="29">
        <f t="shared" si="10"/>
        <v>0</v>
      </c>
      <c r="O38" s="29">
        <f t="shared" si="4"/>
        <v>0</v>
      </c>
      <c r="P38" s="29">
        <f t="shared" si="11"/>
        <v>78700.719305723978</v>
      </c>
      <c r="Q38">
        <f t="shared" si="12"/>
        <v>0</v>
      </c>
      <c r="R38" s="29">
        <f t="shared" si="13"/>
        <v>0</v>
      </c>
      <c r="S38" s="29">
        <f t="shared" si="5"/>
        <v>0</v>
      </c>
      <c r="T38" s="29">
        <f t="shared" si="14"/>
        <v>78700.719305723978</v>
      </c>
      <c r="U38">
        <f t="shared" si="15"/>
        <v>0</v>
      </c>
      <c r="V38" s="29">
        <f t="shared" si="16"/>
        <v>0</v>
      </c>
      <c r="W38" s="29">
        <f t="shared" si="6"/>
        <v>0</v>
      </c>
      <c r="X38" s="29">
        <f t="shared" si="17"/>
        <v>78700.719305723978</v>
      </c>
      <c r="Y38">
        <f t="shared" si="18"/>
        <v>0</v>
      </c>
    </row>
    <row r="39" spans="1:25" x14ac:dyDescent="0.25">
      <c r="A39" s="4" t="s">
        <v>728</v>
      </c>
      <c r="B39" s="7" t="s">
        <v>109</v>
      </c>
      <c r="C39" s="2" t="s">
        <v>729</v>
      </c>
      <c r="D39">
        <f>VLOOKUP(B39,'Model allocations'!$A$1:$L$317,5,FALSE)</f>
        <v>80540.048045916323</v>
      </c>
      <c r="E39" s="31">
        <f>VLOOKUP(B39,'Initial adjusted formula count'!$A$1:$P$317,12,FALSE)</f>
        <v>0.135957066189624</v>
      </c>
      <c r="F39">
        <f>VLOOKUP(B39,'Model allocations'!$A$1:$L$317,10,FALSE)</f>
        <v>68459.040839028879</v>
      </c>
      <c r="G39" s="30">
        <f t="shared" si="7"/>
        <v>0.85</v>
      </c>
      <c r="H39">
        <f t="shared" si="8"/>
        <v>68459.040839028879</v>
      </c>
      <c r="I39">
        <f t="shared" si="0"/>
        <v>0</v>
      </c>
      <c r="J39">
        <f t="shared" si="1"/>
        <v>68459.040839028879</v>
      </c>
      <c r="K39">
        <f t="shared" si="2"/>
        <v>68419.789755338323</v>
      </c>
      <c r="L39">
        <f t="shared" si="9"/>
        <v>68419.789755338323</v>
      </c>
      <c r="M39">
        <f t="shared" si="3"/>
        <v>68459.040839028879</v>
      </c>
      <c r="N39" s="29">
        <f t="shared" si="10"/>
        <v>0</v>
      </c>
      <c r="O39" s="29">
        <f t="shared" si="4"/>
        <v>0</v>
      </c>
      <c r="P39" s="29">
        <f t="shared" si="11"/>
        <v>68459.040839028879</v>
      </c>
      <c r="Q39">
        <f t="shared" si="12"/>
        <v>0</v>
      </c>
      <c r="R39" s="29">
        <f t="shared" si="13"/>
        <v>0</v>
      </c>
      <c r="S39" s="29">
        <f t="shared" si="5"/>
        <v>0</v>
      </c>
      <c r="T39" s="29">
        <f t="shared" si="14"/>
        <v>68459.040839028879</v>
      </c>
      <c r="U39">
        <f t="shared" si="15"/>
        <v>0</v>
      </c>
      <c r="V39" s="29">
        <f t="shared" si="16"/>
        <v>0</v>
      </c>
      <c r="W39" s="29">
        <f t="shared" si="6"/>
        <v>0</v>
      </c>
      <c r="X39" s="29">
        <f t="shared" si="17"/>
        <v>68459.040839028879</v>
      </c>
      <c r="Y39">
        <f t="shared" si="18"/>
        <v>0</v>
      </c>
    </row>
    <row r="40" spans="1:25" x14ac:dyDescent="0.25">
      <c r="A40" s="4" t="s">
        <v>730</v>
      </c>
      <c r="B40" s="7" t="s">
        <v>342</v>
      </c>
      <c r="C40" s="2" t="s">
        <v>731</v>
      </c>
      <c r="D40">
        <f>VLOOKUP(B40,'Model allocations'!$A$1:$L$317,5,FALSE)</f>
        <v>302045.66694547463</v>
      </c>
      <c r="E40" s="31">
        <f>VLOOKUP(B40,'Initial adjusted formula count'!$A$1:$P$317,12,FALSE)</f>
        <v>0.18896501983411501</v>
      </c>
      <c r="F40">
        <f>VLOOKUP(B40,'Model allocations'!$A$1:$L$317,10,FALSE)</f>
        <v>271908.44802352751</v>
      </c>
      <c r="G40" s="30">
        <f t="shared" si="7"/>
        <v>0.9</v>
      </c>
      <c r="H40">
        <f t="shared" si="8"/>
        <v>271841.10025092715</v>
      </c>
      <c r="I40">
        <f t="shared" si="0"/>
        <v>0</v>
      </c>
      <c r="J40">
        <f t="shared" si="1"/>
        <v>271908.44802352751</v>
      </c>
      <c r="K40">
        <f t="shared" si="2"/>
        <v>271752.54894695943</v>
      </c>
      <c r="L40">
        <f t="shared" si="9"/>
        <v>271752.54894695943</v>
      </c>
      <c r="M40">
        <f t="shared" si="3"/>
        <v>271841.10025092715</v>
      </c>
      <c r="N40" s="29">
        <f t="shared" si="10"/>
        <v>0</v>
      </c>
      <c r="O40" s="29">
        <f t="shared" si="4"/>
        <v>0</v>
      </c>
      <c r="P40" s="29">
        <f t="shared" si="11"/>
        <v>271841.10025092715</v>
      </c>
      <c r="Q40">
        <f t="shared" si="12"/>
        <v>0</v>
      </c>
      <c r="R40" s="29">
        <f t="shared" si="13"/>
        <v>0</v>
      </c>
      <c r="S40" s="29">
        <f t="shared" si="5"/>
        <v>0</v>
      </c>
      <c r="T40" s="29">
        <f t="shared" si="14"/>
        <v>271841.10025092715</v>
      </c>
      <c r="U40">
        <f t="shared" si="15"/>
        <v>0</v>
      </c>
      <c r="V40" s="29">
        <f t="shared" si="16"/>
        <v>0</v>
      </c>
      <c r="W40" s="29">
        <f t="shared" si="6"/>
        <v>0</v>
      </c>
      <c r="X40" s="29">
        <f t="shared" si="17"/>
        <v>271841.10025092715</v>
      </c>
      <c r="Y40">
        <f t="shared" si="18"/>
        <v>0</v>
      </c>
    </row>
    <row r="41" spans="1:25" x14ac:dyDescent="0.25">
      <c r="A41" s="4" t="s">
        <v>732</v>
      </c>
      <c r="B41" s="7" t="s">
        <v>344</v>
      </c>
      <c r="C41" s="2" t="s">
        <v>733</v>
      </c>
      <c r="D41">
        <f>VLOOKUP(B41,'Model allocations'!$A$1:$L$317,5,FALSE)</f>
        <v>61322.446865344777</v>
      </c>
      <c r="E41" s="31">
        <f>VLOOKUP(B41,'Initial adjusted formula count'!$A$1:$P$317,12,FALSE)</f>
        <v>0.14656771799628901</v>
      </c>
      <c r="F41">
        <f>VLOOKUP(B41,'Model allocations'!$A$1:$L$317,10,FALSE)</f>
        <v>66255.564796521372</v>
      </c>
      <c r="G41" s="30">
        <f t="shared" si="7"/>
        <v>0.85</v>
      </c>
      <c r="H41">
        <f t="shared" si="8"/>
        <v>52124.07983554306</v>
      </c>
      <c r="I41">
        <f t="shared" si="0"/>
        <v>0</v>
      </c>
      <c r="J41">
        <f t="shared" si="1"/>
        <v>66255.564796521372</v>
      </c>
      <c r="K41">
        <f t="shared" si="2"/>
        <v>66217.5770788011</v>
      </c>
      <c r="L41">
        <f t="shared" si="9"/>
        <v>66217.5770788011</v>
      </c>
      <c r="M41">
        <f t="shared" si="3"/>
        <v>0</v>
      </c>
      <c r="N41" s="29">
        <f t="shared" si="10"/>
        <v>66217.5770788011</v>
      </c>
      <c r="O41" s="29">
        <f t="shared" si="4"/>
        <v>66212.786736384151</v>
      </c>
      <c r="P41" s="29">
        <f t="shared" si="11"/>
        <v>66212.786736384151</v>
      </c>
      <c r="Q41">
        <f t="shared" si="12"/>
        <v>0</v>
      </c>
      <c r="R41" s="29">
        <f t="shared" si="13"/>
        <v>66212.786736384151</v>
      </c>
      <c r="S41" s="29">
        <f t="shared" si="5"/>
        <v>66212.78673638418</v>
      </c>
      <c r="T41" s="29">
        <f t="shared" si="14"/>
        <v>66212.78673638418</v>
      </c>
      <c r="U41">
        <f t="shared" si="15"/>
        <v>0</v>
      </c>
      <c r="V41" s="29">
        <f t="shared" si="16"/>
        <v>66212.78673638418</v>
      </c>
      <c r="W41" s="29">
        <f t="shared" si="6"/>
        <v>66212.78673638418</v>
      </c>
      <c r="X41" s="29">
        <f t="shared" si="17"/>
        <v>66212.78673638418</v>
      </c>
      <c r="Y41">
        <f t="shared" si="18"/>
        <v>0</v>
      </c>
    </row>
    <row r="42" spans="1:25" x14ac:dyDescent="0.25">
      <c r="A42" s="4" t="s">
        <v>734</v>
      </c>
      <c r="B42" s="7" t="s">
        <v>346</v>
      </c>
      <c r="C42" s="2" t="s">
        <v>735</v>
      </c>
      <c r="D42">
        <f>VLOOKUP(B42,'Model allocations'!$A$1:$L$317,5,FALSE)</f>
        <v>1087547.4217561984</v>
      </c>
      <c r="E42" s="31">
        <f>VLOOKUP(B42,'Initial adjusted formula count'!$A$1:$P$317,12,FALSE)</f>
        <v>0.151860178403075</v>
      </c>
      <c r="F42">
        <f>VLOOKUP(B42,'Model allocations'!$A$1:$L$317,10,FALSE)</f>
        <v>1172262.2239789579</v>
      </c>
      <c r="G42" s="30">
        <f t="shared" si="7"/>
        <v>0.9</v>
      </c>
      <c r="H42">
        <f t="shared" si="8"/>
        <v>978792.67958057858</v>
      </c>
      <c r="I42">
        <f t="shared" si="0"/>
        <v>0</v>
      </c>
      <c r="J42">
        <f t="shared" si="1"/>
        <v>1172262.2239789579</v>
      </c>
      <c r="K42">
        <f t="shared" si="2"/>
        <v>1171590.1058467615</v>
      </c>
      <c r="L42">
        <f t="shared" si="9"/>
        <v>1171590.1058467615</v>
      </c>
      <c r="M42">
        <f t="shared" si="3"/>
        <v>0</v>
      </c>
      <c r="N42" s="29">
        <f t="shared" si="10"/>
        <v>1171590.1058467615</v>
      </c>
      <c r="O42" s="29">
        <f t="shared" si="4"/>
        <v>1171505.3501364666</v>
      </c>
      <c r="P42" s="29">
        <f t="shared" si="11"/>
        <v>1171505.3501364666</v>
      </c>
      <c r="Q42">
        <f t="shared" si="12"/>
        <v>0</v>
      </c>
      <c r="R42" s="29">
        <f t="shared" si="13"/>
        <v>1171505.3501364666</v>
      </c>
      <c r="S42" s="29">
        <f t="shared" si="5"/>
        <v>1171505.350136467</v>
      </c>
      <c r="T42" s="29">
        <f t="shared" si="14"/>
        <v>1171505.350136467</v>
      </c>
      <c r="U42">
        <f t="shared" si="15"/>
        <v>0</v>
      </c>
      <c r="V42" s="29">
        <f t="shared" si="16"/>
        <v>1171505.350136467</v>
      </c>
      <c r="W42" s="29">
        <f t="shared" si="6"/>
        <v>1171505.350136467</v>
      </c>
      <c r="X42" s="29">
        <f t="shared" si="17"/>
        <v>1171505.350136467</v>
      </c>
      <c r="Y42">
        <f t="shared" si="18"/>
        <v>0</v>
      </c>
    </row>
    <row r="43" spans="1:25" x14ac:dyDescent="0.25">
      <c r="A43" s="4" t="s">
        <v>736</v>
      </c>
      <c r="B43" s="7" t="s">
        <v>270</v>
      </c>
      <c r="C43" s="2" t="s">
        <v>737</v>
      </c>
      <c r="D43">
        <f>VLOOKUP(B43,'Model allocations'!$A$1:$L$317,5,FALSE)</f>
        <v>18520.202073426277</v>
      </c>
      <c r="E43" s="31">
        <f>VLOOKUP(B43,'Initial adjusted formula count'!$A$1:$P$317,12,FALSE)</f>
        <v>9.8070739549839206E-2</v>
      </c>
      <c r="F43">
        <f>VLOOKUP(B43,'Model allocations'!$A$1:$L$317,10,FALSE)</f>
        <v>25579.680079669637</v>
      </c>
      <c r="G43" s="30">
        <f t="shared" si="7"/>
        <v>0.85</v>
      </c>
      <c r="H43">
        <f t="shared" si="8"/>
        <v>15742.171762412336</v>
      </c>
      <c r="I43">
        <f t="shared" si="0"/>
        <v>0</v>
      </c>
      <c r="J43">
        <f t="shared" si="1"/>
        <v>25579.680079669637</v>
      </c>
      <c r="K43">
        <f t="shared" si="2"/>
        <v>25565.013935486495</v>
      </c>
      <c r="L43">
        <f t="shared" si="9"/>
        <v>25565.013935486495</v>
      </c>
      <c r="M43">
        <f t="shared" si="3"/>
        <v>0</v>
      </c>
      <c r="N43" s="29">
        <f t="shared" si="10"/>
        <v>25565.013935486495</v>
      </c>
      <c r="O43" s="29">
        <f t="shared" si="4"/>
        <v>25563.164499490082</v>
      </c>
      <c r="P43" s="29">
        <f t="shared" si="11"/>
        <v>25563.164499490082</v>
      </c>
      <c r="Q43">
        <f t="shared" si="12"/>
        <v>0</v>
      </c>
      <c r="R43" s="29">
        <f t="shared" si="13"/>
        <v>25563.164499490082</v>
      </c>
      <c r="S43" s="29">
        <f t="shared" si="5"/>
        <v>25563.164499490096</v>
      </c>
      <c r="T43" s="29">
        <f t="shared" si="14"/>
        <v>25563.164499490096</v>
      </c>
      <c r="U43">
        <f t="shared" si="15"/>
        <v>0</v>
      </c>
      <c r="V43" s="29">
        <f t="shared" si="16"/>
        <v>25563.164499490096</v>
      </c>
      <c r="W43" s="29">
        <f t="shared" si="6"/>
        <v>25563.164499490096</v>
      </c>
      <c r="X43" s="29">
        <f t="shared" si="17"/>
        <v>25563.164499490096</v>
      </c>
      <c r="Y43">
        <f t="shared" si="18"/>
        <v>0</v>
      </c>
    </row>
    <row r="44" spans="1:25" x14ac:dyDescent="0.25">
      <c r="A44" s="4" t="s">
        <v>738</v>
      </c>
      <c r="B44" s="7" t="s">
        <v>348</v>
      </c>
      <c r="C44" s="2" t="s">
        <v>739</v>
      </c>
      <c r="D44">
        <f>VLOOKUP(B44,'Model allocations'!$A$1:$L$317,5,FALSE)</f>
        <v>89308.529998522266</v>
      </c>
      <c r="E44" s="31">
        <f>VLOOKUP(B44,'Initial adjusted formula count'!$A$1:$P$317,12,FALSE)</f>
        <v>0.14292706803720001</v>
      </c>
      <c r="F44">
        <f>VLOOKUP(B44,'Model allocations'!$A$1:$L$317,10,FALSE)</f>
        <v>122446.99316825469</v>
      </c>
      <c r="G44" s="30">
        <f t="shared" si="7"/>
        <v>0.85</v>
      </c>
      <c r="H44">
        <f t="shared" si="8"/>
        <v>75912.250498743932</v>
      </c>
      <c r="I44">
        <f t="shared" si="0"/>
        <v>0</v>
      </c>
      <c r="J44">
        <f t="shared" si="1"/>
        <v>122446.99316825469</v>
      </c>
      <c r="K44">
        <f t="shared" si="2"/>
        <v>122376.78801905015</v>
      </c>
      <c r="L44">
        <f t="shared" si="9"/>
        <v>122376.78801905015</v>
      </c>
      <c r="M44">
        <f t="shared" si="3"/>
        <v>0</v>
      </c>
      <c r="N44" s="29">
        <f t="shared" si="10"/>
        <v>122376.78801905015</v>
      </c>
      <c r="O44" s="29">
        <f t="shared" si="4"/>
        <v>122367.93498116566</v>
      </c>
      <c r="P44" s="29">
        <f t="shared" si="11"/>
        <v>122367.93498116566</v>
      </c>
      <c r="Q44">
        <f t="shared" si="12"/>
        <v>0</v>
      </c>
      <c r="R44" s="29">
        <f t="shared" si="13"/>
        <v>122367.93498116566</v>
      </c>
      <c r="S44" s="29">
        <f t="shared" si="5"/>
        <v>122367.93498116573</v>
      </c>
      <c r="T44" s="29">
        <f t="shared" si="14"/>
        <v>122367.93498116573</v>
      </c>
      <c r="U44">
        <f t="shared" si="15"/>
        <v>0</v>
      </c>
      <c r="V44" s="29">
        <f t="shared" si="16"/>
        <v>122367.93498116573</v>
      </c>
      <c r="W44" s="29">
        <f t="shared" si="6"/>
        <v>122367.93498116574</v>
      </c>
      <c r="X44" s="29">
        <f t="shared" si="17"/>
        <v>122367.93498116574</v>
      </c>
      <c r="Y44">
        <f t="shared" si="18"/>
        <v>0</v>
      </c>
    </row>
    <row r="45" spans="1:25" x14ac:dyDescent="0.25">
      <c r="A45" s="4" t="s">
        <v>740</v>
      </c>
      <c r="B45" s="7" t="s">
        <v>350</v>
      </c>
      <c r="C45" s="2" t="s">
        <v>741</v>
      </c>
      <c r="D45">
        <f>VLOOKUP(B45,'Model allocations'!$A$1:$L$317,5,FALSE)</f>
        <v>6996.5207832943697</v>
      </c>
      <c r="E45" s="31">
        <f>VLOOKUP(B45,'Initial adjusted formula count'!$A$1:$P$317,12,FALSE)</f>
        <v>3.5999999999999997E-2</v>
      </c>
      <c r="F45">
        <f>VLOOKUP(B45,'Model allocations'!$A$1:$L$317,10,FALSE)</f>
        <v>0</v>
      </c>
      <c r="G45" s="30">
        <f t="shared" si="7"/>
        <v>0.85</v>
      </c>
      <c r="H45">
        <f t="shared" si="8"/>
        <v>0</v>
      </c>
      <c r="I45">
        <f t="shared" si="0"/>
        <v>0</v>
      </c>
      <c r="J45">
        <f t="shared" si="1"/>
        <v>0</v>
      </c>
      <c r="K45">
        <f t="shared" si="2"/>
        <v>0</v>
      </c>
      <c r="L45">
        <f t="shared" si="9"/>
        <v>0</v>
      </c>
      <c r="M45">
        <f t="shared" si="3"/>
        <v>0</v>
      </c>
      <c r="N45" s="29">
        <f t="shared" si="10"/>
        <v>0</v>
      </c>
      <c r="O45" s="29">
        <f t="shared" si="4"/>
        <v>0</v>
      </c>
      <c r="P45" s="29">
        <f t="shared" si="11"/>
        <v>0</v>
      </c>
      <c r="Q45">
        <f t="shared" si="12"/>
        <v>0</v>
      </c>
      <c r="R45" s="29">
        <f t="shared" si="13"/>
        <v>0</v>
      </c>
      <c r="S45" s="29">
        <f t="shared" si="5"/>
        <v>0</v>
      </c>
      <c r="T45" s="29">
        <f t="shared" si="14"/>
        <v>0</v>
      </c>
      <c r="U45">
        <f t="shared" si="15"/>
        <v>0</v>
      </c>
      <c r="V45" s="29">
        <f t="shared" si="16"/>
        <v>0</v>
      </c>
      <c r="W45" s="29">
        <f t="shared" si="6"/>
        <v>0</v>
      </c>
      <c r="X45" s="29">
        <f t="shared" si="17"/>
        <v>0</v>
      </c>
      <c r="Y45">
        <f t="shared" si="18"/>
        <v>0</v>
      </c>
    </row>
    <row r="46" spans="1:25" x14ac:dyDescent="0.25">
      <c r="A46" s="4" t="s">
        <v>742</v>
      </c>
      <c r="B46" s="7" t="s">
        <v>352</v>
      </c>
      <c r="C46" s="2" t="s">
        <v>743</v>
      </c>
      <c r="D46">
        <f>VLOOKUP(B46,'Model allocations'!$A$1:$L$317,5,FALSE)</f>
        <v>21111.281233510137</v>
      </c>
      <c r="E46" s="31">
        <f>VLOOKUP(B46,'Initial adjusted formula count'!$A$1:$P$317,12,FALSE)</f>
        <v>0.18446601941747601</v>
      </c>
      <c r="F46">
        <f>VLOOKUP(B46,'Model allocations'!$A$1:$L$317,10,FALSE)</f>
        <v>19000.153110159124</v>
      </c>
      <c r="G46" s="30">
        <f t="shared" si="7"/>
        <v>0.9</v>
      </c>
      <c r="H46">
        <f t="shared" si="8"/>
        <v>19000.153110159124</v>
      </c>
      <c r="I46">
        <f t="shared" si="0"/>
        <v>0</v>
      </c>
      <c r="J46">
        <f t="shared" si="1"/>
        <v>19000.153110159124</v>
      </c>
      <c r="K46">
        <f t="shared" si="2"/>
        <v>18989.259346666091</v>
      </c>
      <c r="L46">
        <f t="shared" si="9"/>
        <v>18989.259346666091</v>
      </c>
      <c r="M46">
        <f t="shared" si="3"/>
        <v>19000.153110159124</v>
      </c>
      <c r="N46" s="29">
        <f t="shared" si="10"/>
        <v>0</v>
      </c>
      <c r="O46" s="29">
        <f t="shared" si="4"/>
        <v>0</v>
      </c>
      <c r="P46" s="29">
        <f t="shared" si="11"/>
        <v>19000.153110159124</v>
      </c>
      <c r="Q46">
        <f t="shared" si="12"/>
        <v>0</v>
      </c>
      <c r="R46" s="29">
        <f t="shared" si="13"/>
        <v>0</v>
      </c>
      <c r="S46" s="29">
        <f t="shared" si="5"/>
        <v>0</v>
      </c>
      <c r="T46" s="29">
        <f t="shared" si="14"/>
        <v>19000.153110159124</v>
      </c>
      <c r="U46">
        <f t="shared" si="15"/>
        <v>0</v>
      </c>
      <c r="V46" s="29">
        <f t="shared" si="16"/>
        <v>0</v>
      </c>
      <c r="W46" s="29">
        <f t="shared" si="6"/>
        <v>0</v>
      </c>
      <c r="X46" s="29">
        <f t="shared" si="17"/>
        <v>19000.153110159124</v>
      </c>
      <c r="Y46">
        <f t="shared" si="18"/>
        <v>0</v>
      </c>
    </row>
    <row r="47" spans="1:25" x14ac:dyDescent="0.25">
      <c r="A47" s="4" t="s">
        <v>744</v>
      </c>
      <c r="B47" s="7" t="s">
        <v>353</v>
      </c>
      <c r="C47" s="2" t="s">
        <v>745</v>
      </c>
      <c r="D47">
        <f>VLOOKUP(B47,'Model allocations'!$A$1:$L$317,5,FALSE)</f>
        <v>42048.386874260774</v>
      </c>
      <c r="E47" s="31">
        <f>VLOOKUP(B47,'Initial adjusted formula count'!$A$1:$P$317,12,FALSE)</f>
        <v>0.138339920948617</v>
      </c>
      <c r="F47">
        <f>VLOOKUP(B47,'Model allocations'!$A$1:$L$317,10,FALSE)</f>
        <v>44030.596858447738</v>
      </c>
      <c r="G47" s="30">
        <f t="shared" si="7"/>
        <v>0.85</v>
      </c>
      <c r="H47">
        <f t="shared" si="8"/>
        <v>35741.12884312166</v>
      </c>
      <c r="I47">
        <f t="shared" si="0"/>
        <v>0</v>
      </c>
      <c r="J47">
        <f t="shared" si="1"/>
        <v>44030.596858447738</v>
      </c>
      <c r="K47">
        <f t="shared" si="2"/>
        <v>44005.351856165282</v>
      </c>
      <c r="L47">
        <f t="shared" si="9"/>
        <v>44005.351856165282</v>
      </c>
      <c r="M47">
        <f t="shared" si="3"/>
        <v>0</v>
      </c>
      <c r="N47" s="29">
        <f t="shared" si="10"/>
        <v>44005.351856165282</v>
      </c>
      <c r="O47" s="29">
        <f t="shared" si="4"/>
        <v>44002.16840076162</v>
      </c>
      <c r="P47" s="29">
        <f t="shared" si="11"/>
        <v>44002.16840076162</v>
      </c>
      <c r="Q47">
        <f t="shared" si="12"/>
        <v>0</v>
      </c>
      <c r="R47" s="29">
        <f t="shared" si="13"/>
        <v>44002.16840076162</v>
      </c>
      <c r="S47" s="29">
        <f t="shared" si="5"/>
        <v>44002.16840076165</v>
      </c>
      <c r="T47" s="29">
        <f t="shared" si="14"/>
        <v>44002.16840076165</v>
      </c>
      <c r="U47">
        <f t="shared" si="15"/>
        <v>0</v>
      </c>
      <c r="V47" s="29">
        <f t="shared" si="16"/>
        <v>44002.16840076165</v>
      </c>
      <c r="W47" s="29">
        <f t="shared" si="6"/>
        <v>44002.168400761657</v>
      </c>
      <c r="X47" s="29">
        <f t="shared" si="17"/>
        <v>44002.168400761657</v>
      </c>
      <c r="Y47">
        <f t="shared" si="18"/>
        <v>0</v>
      </c>
    </row>
    <row r="48" spans="1:25" x14ac:dyDescent="0.25">
      <c r="A48" s="4" t="s">
        <v>746</v>
      </c>
      <c r="B48" s="7" t="s">
        <v>354</v>
      </c>
      <c r="C48" s="2" t="s">
        <v>747</v>
      </c>
      <c r="D48">
        <f>VLOOKUP(B48,'Model allocations'!$A$1:$L$317,5,FALSE)</f>
        <v>139412.21575203945</v>
      </c>
      <c r="E48" s="31">
        <f>VLOOKUP(B48,'Initial adjusted formula count'!$A$1:$P$317,12,FALSE)</f>
        <v>0.17445328031809099</v>
      </c>
      <c r="F48">
        <f>VLOOKUP(B48,'Model allocations'!$A$1:$L$317,10,FALSE)</f>
        <v>158991.4660149274</v>
      </c>
      <c r="G48" s="30">
        <f t="shared" si="7"/>
        <v>0.9</v>
      </c>
      <c r="H48">
        <f t="shared" si="8"/>
        <v>125470.99417683551</v>
      </c>
      <c r="I48">
        <f t="shared" si="0"/>
        <v>0</v>
      </c>
      <c r="J48">
        <f t="shared" si="1"/>
        <v>158991.4660149274</v>
      </c>
      <c r="K48">
        <f t="shared" si="2"/>
        <v>158900.30804277133</v>
      </c>
      <c r="L48">
        <f t="shared" si="9"/>
        <v>158900.30804277133</v>
      </c>
      <c r="M48">
        <f t="shared" si="3"/>
        <v>0</v>
      </c>
      <c r="N48" s="29">
        <f t="shared" si="10"/>
        <v>158900.30804277133</v>
      </c>
      <c r="O48" s="29">
        <f t="shared" si="4"/>
        <v>158888.81280360278</v>
      </c>
      <c r="P48" s="29">
        <f t="shared" si="11"/>
        <v>158888.81280360278</v>
      </c>
      <c r="Q48">
        <f t="shared" si="12"/>
        <v>0</v>
      </c>
      <c r="R48" s="29">
        <f t="shared" si="13"/>
        <v>158888.81280360278</v>
      </c>
      <c r="S48" s="29">
        <f t="shared" si="5"/>
        <v>158888.81280360286</v>
      </c>
      <c r="T48" s="29">
        <f t="shared" si="14"/>
        <v>158888.81280360286</v>
      </c>
      <c r="U48">
        <f t="shared" si="15"/>
        <v>0</v>
      </c>
      <c r="V48" s="29">
        <f t="shared" si="16"/>
        <v>158888.81280360286</v>
      </c>
      <c r="W48" s="29">
        <f t="shared" si="6"/>
        <v>158888.81280360286</v>
      </c>
      <c r="X48" s="29">
        <f t="shared" si="17"/>
        <v>158888.81280360286</v>
      </c>
      <c r="Y48">
        <f t="shared" si="18"/>
        <v>0</v>
      </c>
    </row>
    <row r="49" spans="1:25" x14ac:dyDescent="0.25">
      <c r="A49" s="4" t="s">
        <v>748</v>
      </c>
      <c r="B49" s="7" t="s">
        <v>356</v>
      </c>
      <c r="C49" s="2" t="s">
        <v>749</v>
      </c>
      <c r="D49">
        <f>VLOOKUP(B49,'Model allocations'!$A$1:$L$317,5,FALSE)</f>
        <v>67119.434738345633</v>
      </c>
      <c r="E49" s="31">
        <f>VLOOKUP(B49,'Initial adjusted formula count'!$A$1:$P$317,12,FALSE)</f>
        <v>0.140226628895184</v>
      </c>
      <c r="F49">
        <f>VLOOKUP(B49,'Model allocations'!$A$1:$L$317,10,FALSE)</f>
        <v>57051.519527593788</v>
      </c>
      <c r="G49" s="30">
        <f t="shared" si="7"/>
        <v>0.85</v>
      </c>
      <c r="H49">
        <f t="shared" si="8"/>
        <v>57051.519527593788</v>
      </c>
      <c r="I49">
        <f t="shared" si="0"/>
        <v>0</v>
      </c>
      <c r="J49">
        <f t="shared" si="1"/>
        <v>57051.519527593788</v>
      </c>
      <c r="K49">
        <f t="shared" si="2"/>
        <v>57018.808961681585</v>
      </c>
      <c r="L49">
        <f t="shared" si="9"/>
        <v>57018.808961681585</v>
      </c>
      <c r="M49">
        <f t="shared" si="3"/>
        <v>57051.519527593788</v>
      </c>
      <c r="N49" s="29">
        <f t="shared" si="10"/>
        <v>0</v>
      </c>
      <c r="O49" s="29">
        <f t="shared" si="4"/>
        <v>0</v>
      </c>
      <c r="P49" s="29">
        <f t="shared" si="11"/>
        <v>57051.519527593788</v>
      </c>
      <c r="Q49">
        <f t="shared" si="12"/>
        <v>0</v>
      </c>
      <c r="R49" s="29">
        <f t="shared" si="13"/>
        <v>0</v>
      </c>
      <c r="S49" s="29">
        <f t="shared" si="5"/>
        <v>0</v>
      </c>
      <c r="T49" s="29">
        <f t="shared" si="14"/>
        <v>57051.519527593788</v>
      </c>
      <c r="U49">
        <f t="shared" si="15"/>
        <v>0</v>
      </c>
      <c r="V49" s="29">
        <f t="shared" si="16"/>
        <v>0</v>
      </c>
      <c r="W49" s="29">
        <f t="shared" si="6"/>
        <v>0</v>
      </c>
      <c r="X49" s="29">
        <f t="shared" si="17"/>
        <v>57051.519527593788</v>
      </c>
      <c r="Y49">
        <f t="shared" si="18"/>
        <v>0</v>
      </c>
    </row>
    <row r="50" spans="1:25" x14ac:dyDescent="0.25">
      <c r="A50" s="4" t="s">
        <v>750</v>
      </c>
      <c r="B50" s="7" t="s">
        <v>111</v>
      </c>
      <c r="C50" s="2" t="s">
        <v>751</v>
      </c>
      <c r="D50">
        <f>VLOOKUP(B50,'Model allocations'!$A$1:$L$317,5,FALSE)</f>
        <v>24282.04271849223</v>
      </c>
      <c r="E50" s="31">
        <f>VLOOKUP(B50,'Initial adjusted formula count'!$A$1:$P$317,12,FALSE)</f>
        <v>8.6142322097378293E-2</v>
      </c>
      <c r="F50">
        <f>VLOOKUP(B50,'Model allocations'!$A$1:$L$317,10,FALSE)</f>
        <v>20639.736310718396</v>
      </c>
      <c r="G50" s="30">
        <f t="shared" si="7"/>
        <v>0.85</v>
      </c>
      <c r="H50">
        <f t="shared" si="8"/>
        <v>20639.736310718396</v>
      </c>
      <c r="I50">
        <f t="shared" si="0"/>
        <v>0</v>
      </c>
      <c r="J50">
        <f t="shared" si="1"/>
        <v>20639.736310718396</v>
      </c>
      <c r="K50">
        <f t="shared" si="2"/>
        <v>20627.902489978955</v>
      </c>
      <c r="L50">
        <f t="shared" si="9"/>
        <v>20627.902489978955</v>
      </c>
      <c r="M50">
        <f t="shared" si="3"/>
        <v>20639.736310718396</v>
      </c>
      <c r="N50" s="29">
        <f t="shared" si="10"/>
        <v>0</v>
      </c>
      <c r="O50" s="29">
        <f t="shared" si="4"/>
        <v>0</v>
      </c>
      <c r="P50" s="29">
        <f t="shared" si="11"/>
        <v>20639.736310718396</v>
      </c>
      <c r="Q50">
        <f t="shared" si="12"/>
        <v>0</v>
      </c>
      <c r="R50" s="29">
        <f t="shared" si="13"/>
        <v>0</v>
      </c>
      <c r="S50" s="29">
        <f t="shared" si="5"/>
        <v>0</v>
      </c>
      <c r="T50" s="29">
        <f t="shared" si="14"/>
        <v>20639.736310718396</v>
      </c>
      <c r="U50">
        <f t="shared" si="15"/>
        <v>0</v>
      </c>
      <c r="V50" s="29">
        <f t="shared" si="16"/>
        <v>0</v>
      </c>
      <c r="W50" s="29">
        <f t="shared" si="6"/>
        <v>0</v>
      </c>
      <c r="X50" s="29">
        <f t="shared" si="17"/>
        <v>20639.736310718396</v>
      </c>
      <c r="Y50">
        <f t="shared" si="18"/>
        <v>0</v>
      </c>
    </row>
    <row r="51" spans="1:25" x14ac:dyDescent="0.25">
      <c r="A51" s="4" t="s">
        <v>752</v>
      </c>
      <c r="B51" s="7" t="s">
        <v>113</v>
      </c>
      <c r="C51" s="2" t="s">
        <v>753</v>
      </c>
      <c r="D51">
        <f>VLOOKUP(B51,'Model allocations'!$A$1:$L$317,5,FALSE)</f>
        <v>19754.882211654698</v>
      </c>
      <c r="E51" s="31">
        <f>VLOOKUP(B51,'Initial adjusted formula count'!$A$1:$P$317,12,FALSE)</f>
        <v>0.117460317460317</v>
      </c>
      <c r="F51">
        <f>VLOOKUP(B51,'Model allocations'!$A$1:$L$317,10,FALSE)</f>
        <v>16898.860299525844</v>
      </c>
      <c r="G51" s="30">
        <f t="shared" si="7"/>
        <v>0.85</v>
      </c>
      <c r="H51">
        <f t="shared" si="8"/>
        <v>16791.649879906494</v>
      </c>
      <c r="I51">
        <f t="shared" si="0"/>
        <v>0</v>
      </c>
      <c r="J51">
        <f t="shared" si="1"/>
        <v>16898.860299525844</v>
      </c>
      <c r="K51">
        <f t="shared" si="2"/>
        <v>16889.171315108852</v>
      </c>
      <c r="L51">
        <f t="shared" si="9"/>
        <v>16889.171315108852</v>
      </c>
      <c r="M51">
        <f t="shared" si="3"/>
        <v>0</v>
      </c>
      <c r="N51" s="29">
        <f t="shared" si="10"/>
        <v>16889.171315108852</v>
      </c>
      <c r="O51" s="29">
        <f t="shared" si="4"/>
        <v>16887.949510909621</v>
      </c>
      <c r="P51" s="29">
        <f t="shared" si="11"/>
        <v>16887.949510909621</v>
      </c>
      <c r="Q51">
        <f t="shared" si="12"/>
        <v>0</v>
      </c>
      <c r="R51" s="29">
        <f t="shared" si="13"/>
        <v>16887.949510909621</v>
      </c>
      <c r="S51" s="29">
        <f t="shared" si="5"/>
        <v>16887.949510909631</v>
      </c>
      <c r="T51" s="29">
        <f t="shared" si="14"/>
        <v>16887.949510909631</v>
      </c>
      <c r="U51">
        <f t="shared" si="15"/>
        <v>0</v>
      </c>
      <c r="V51" s="29">
        <f t="shared" si="16"/>
        <v>16887.949510909631</v>
      </c>
      <c r="W51" s="29">
        <f t="shared" si="6"/>
        <v>16887.949510909631</v>
      </c>
      <c r="X51" s="29">
        <f t="shared" si="17"/>
        <v>16887.949510909631</v>
      </c>
      <c r="Y51">
        <f t="shared" si="18"/>
        <v>0</v>
      </c>
    </row>
    <row r="52" spans="1:25" x14ac:dyDescent="0.25">
      <c r="A52" s="4" t="s">
        <v>754</v>
      </c>
      <c r="B52" s="7" t="s">
        <v>358</v>
      </c>
      <c r="C52" s="2" t="s">
        <v>755</v>
      </c>
      <c r="D52">
        <f>VLOOKUP(B52,'Model allocations'!$A$1:$L$317,5,FALSE)</f>
        <v>16930.777753482525</v>
      </c>
      <c r="E52" s="31">
        <f>VLOOKUP(B52,'Initial adjusted formula count'!$A$1:$P$317,12,FALSE)</f>
        <v>0.19758064516129001</v>
      </c>
      <c r="F52">
        <f>VLOOKUP(B52,'Model allocations'!$A$1:$L$317,10,FALSE)</f>
        <v>23806.379241621991</v>
      </c>
      <c r="G52" s="30">
        <f t="shared" si="7"/>
        <v>0.9</v>
      </c>
      <c r="H52">
        <f t="shared" si="8"/>
        <v>15237.699978134273</v>
      </c>
      <c r="I52">
        <f t="shared" si="0"/>
        <v>0</v>
      </c>
      <c r="J52">
        <f t="shared" si="1"/>
        <v>23806.379241621991</v>
      </c>
      <c r="K52">
        <f t="shared" si="2"/>
        <v>23792.729821873632</v>
      </c>
      <c r="L52">
        <f t="shared" si="9"/>
        <v>23792.729821873632</v>
      </c>
      <c r="M52">
        <f t="shared" si="3"/>
        <v>0</v>
      </c>
      <c r="N52" s="29">
        <f t="shared" si="10"/>
        <v>23792.729821873632</v>
      </c>
      <c r="O52" s="29">
        <f t="shared" si="4"/>
        <v>23791.008597269702</v>
      </c>
      <c r="P52" s="29">
        <f t="shared" si="11"/>
        <v>23791.008597269702</v>
      </c>
      <c r="Q52">
        <f t="shared" si="12"/>
        <v>0</v>
      </c>
      <c r="R52" s="29">
        <f t="shared" si="13"/>
        <v>23791.008597269702</v>
      </c>
      <c r="S52" s="29">
        <f t="shared" si="5"/>
        <v>23791.008597269712</v>
      </c>
      <c r="T52" s="29">
        <f t="shared" si="14"/>
        <v>23791.008597269712</v>
      </c>
      <c r="U52">
        <f t="shared" si="15"/>
        <v>0</v>
      </c>
      <c r="V52" s="29">
        <f t="shared" si="16"/>
        <v>23791.008597269712</v>
      </c>
      <c r="W52" s="29">
        <f t="shared" si="6"/>
        <v>23791.008597269712</v>
      </c>
      <c r="X52" s="29">
        <f t="shared" si="17"/>
        <v>23791.008597269712</v>
      </c>
      <c r="Y52">
        <f t="shared" si="18"/>
        <v>0</v>
      </c>
    </row>
    <row r="53" spans="1:25" x14ac:dyDescent="0.25">
      <c r="A53" s="4" t="s">
        <v>756</v>
      </c>
      <c r="B53" s="7" t="s">
        <v>360</v>
      </c>
      <c r="C53" s="2" t="s">
        <v>757</v>
      </c>
      <c r="D53">
        <f>VLOOKUP(B53,'Model allocations'!$A$1:$L$317,5,FALSE)</f>
        <v>41059.341259011955</v>
      </c>
      <c r="E53" s="31">
        <f>VLOOKUP(B53,'Initial adjusted formula count'!$A$1:$P$317,12,FALSE)</f>
        <v>0.10213556174559001</v>
      </c>
      <c r="F53">
        <f>VLOOKUP(B53,'Model allocations'!$A$1:$L$317,10,FALSE)</f>
        <v>46127.291946945261</v>
      </c>
      <c r="G53" s="30">
        <f t="shared" si="7"/>
        <v>0.85</v>
      </c>
      <c r="H53">
        <f t="shared" si="8"/>
        <v>34900.440070160163</v>
      </c>
      <c r="I53">
        <f t="shared" si="0"/>
        <v>0</v>
      </c>
      <c r="J53">
        <f t="shared" si="1"/>
        <v>46127.291946945261</v>
      </c>
      <c r="K53">
        <f t="shared" si="2"/>
        <v>46100.844801696978</v>
      </c>
      <c r="L53">
        <f t="shared" si="9"/>
        <v>46100.844801696978</v>
      </c>
      <c r="M53">
        <f t="shared" si="3"/>
        <v>0</v>
      </c>
      <c r="N53" s="29">
        <f t="shared" si="10"/>
        <v>46100.844801696978</v>
      </c>
      <c r="O53" s="29">
        <f t="shared" si="4"/>
        <v>46097.509753178849</v>
      </c>
      <c r="P53" s="29">
        <f t="shared" si="11"/>
        <v>46097.509753178849</v>
      </c>
      <c r="Q53">
        <f t="shared" si="12"/>
        <v>0</v>
      </c>
      <c r="R53" s="29">
        <f t="shared" si="13"/>
        <v>46097.509753178849</v>
      </c>
      <c r="S53" s="29">
        <f t="shared" si="5"/>
        <v>46097.509753178871</v>
      </c>
      <c r="T53" s="29">
        <f t="shared" si="14"/>
        <v>46097.509753178871</v>
      </c>
      <c r="U53">
        <f t="shared" si="15"/>
        <v>0</v>
      </c>
      <c r="V53" s="29">
        <f t="shared" si="16"/>
        <v>46097.509753178871</v>
      </c>
      <c r="W53" s="29">
        <f t="shared" si="6"/>
        <v>46097.509753178871</v>
      </c>
      <c r="X53" s="29">
        <f t="shared" si="17"/>
        <v>46097.509753178871</v>
      </c>
      <c r="Y53">
        <f t="shared" si="18"/>
        <v>0</v>
      </c>
    </row>
    <row r="54" spans="1:25" x14ac:dyDescent="0.25">
      <c r="A54" s="4" t="s">
        <v>758</v>
      </c>
      <c r="B54" s="7" t="s">
        <v>362</v>
      </c>
      <c r="C54" s="2" t="s">
        <v>759</v>
      </c>
      <c r="D54">
        <f>VLOOKUP(B54,'Model allocations'!$A$1:$L$317,5,FALSE)</f>
        <v>31664.092374948425</v>
      </c>
      <c r="E54" s="31">
        <f>VLOOKUP(B54,'Initial adjusted formula count'!$A$1:$P$317,12,FALSE)</f>
        <v>0.181286549707602</v>
      </c>
      <c r="F54">
        <f>VLOOKUP(B54,'Model allocations'!$A$1:$L$317,10,FALSE)</f>
        <v>28740.364057776107</v>
      </c>
      <c r="G54" s="30">
        <f t="shared" si="7"/>
        <v>0.9</v>
      </c>
      <c r="H54">
        <f t="shared" si="8"/>
        <v>28497.683137453583</v>
      </c>
      <c r="I54">
        <f t="shared" si="0"/>
        <v>0</v>
      </c>
      <c r="J54">
        <f t="shared" si="1"/>
        <v>28740.364057776107</v>
      </c>
      <c r="K54">
        <f t="shared" si="2"/>
        <v>28723.885731157694</v>
      </c>
      <c r="L54">
        <f t="shared" si="9"/>
        <v>28723.885731157694</v>
      </c>
      <c r="M54">
        <f t="shared" si="3"/>
        <v>0</v>
      </c>
      <c r="N54" s="29">
        <f t="shared" si="10"/>
        <v>28723.885731157694</v>
      </c>
      <c r="O54" s="29">
        <f t="shared" si="4"/>
        <v>28721.807774604953</v>
      </c>
      <c r="P54" s="29">
        <f t="shared" si="11"/>
        <v>28721.807774604953</v>
      </c>
      <c r="Q54">
        <f t="shared" si="12"/>
        <v>0</v>
      </c>
      <c r="R54" s="29">
        <f t="shared" si="13"/>
        <v>28721.807774604953</v>
      </c>
      <c r="S54" s="29">
        <f t="shared" si="5"/>
        <v>28721.807774604968</v>
      </c>
      <c r="T54" s="29">
        <f t="shared" si="14"/>
        <v>28721.807774604968</v>
      </c>
      <c r="U54">
        <f t="shared" si="15"/>
        <v>0</v>
      </c>
      <c r="V54" s="29">
        <f t="shared" si="16"/>
        <v>28721.807774604968</v>
      </c>
      <c r="W54" s="29">
        <f t="shared" si="6"/>
        <v>28721.807774604971</v>
      </c>
      <c r="X54" s="29">
        <f t="shared" si="17"/>
        <v>28721.807774604971</v>
      </c>
      <c r="Y54">
        <f t="shared" si="18"/>
        <v>0</v>
      </c>
    </row>
    <row r="55" spans="1:25" x14ac:dyDescent="0.25">
      <c r="A55" s="8" t="s">
        <v>760</v>
      </c>
      <c r="B55" s="7" t="s">
        <v>364</v>
      </c>
      <c r="C55" s="2" t="s">
        <v>761</v>
      </c>
      <c r="D55">
        <f>VLOOKUP(B55,'Model allocations'!$A$1:$L$317,5,FALSE)</f>
        <v>6808.6736096702216</v>
      </c>
      <c r="E55" s="31">
        <f>VLOOKUP(B55,'Initial adjusted formula count'!$A$1:$P$317,12,FALSE)</f>
        <v>0.14912280701754399</v>
      </c>
      <c r="F55">
        <f>VLOOKUP(B55,'Model allocations'!$A$1:$L$317,10,FALSE)</f>
        <v>7128.7633008915391</v>
      </c>
      <c r="G55" s="30">
        <f t="shared" si="7"/>
        <v>0.85</v>
      </c>
      <c r="H55">
        <f t="shared" si="8"/>
        <v>5787.3725682196882</v>
      </c>
      <c r="I55">
        <f t="shared" si="0"/>
        <v>0</v>
      </c>
      <c r="J55">
        <f t="shared" si="1"/>
        <v>7128.7633008915391</v>
      </c>
      <c r="K55">
        <f t="shared" si="2"/>
        <v>7124.6760148077128</v>
      </c>
      <c r="L55">
        <f t="shared" si="9"/>
        <v>7124.6760148077128</v>
      </c>
      <c r="M55">
        <f t="shared" si="3"/>
        <v>0</v>
      </c>
      <c r="N55" s="29">
        <f t="shared" si="10"/>
        <v>7124.6760148077128</v>
      </c>
      <c r="O55" s="29">
        <f t="shared" si="4"/>
        <v>7124.1605982185474</v>
      </c>
      <c r="P55" s="29">
        <f t="shared" si="11"/>
        <v>7124.1605982185474</v>
      </c>
      <c r="Q55">
        <f t="shared" si="12"/>
        <v>0</v>
      </c>
      <c r="R55" s="29">
        <f t="shared" si="13"/>
        <v>7124.1605982185474</v>
      </c>
      <c r="S55" s="29">
        <f t="shared" si="5"/>
        <v>7124.1605982185511</v>
      </c>
      <c r="T55" s="29">
        <f t="shared" si="14"/>
        <v>7124.1605982185511</v>
      </c>
      <c r="U55">
        <f t="shared" si="15"/>
        <v>0</v>
      </c>
      <c r="V55" s="29">
        <f t="shared" si="16"/>
        <v>7124.1605982185511</v>
      </c>
      <c r="W55" s="29">
        <f t="shared" si="6"/>
        <v>7124.160598218552</v>
      </c>
      <c r="X55" s="29">
        <f t="shared" si="17"/>
        <v>7124.160598218552</v>
      </c>
      <c r="Y55">
        <f t="shared" si="18"/>
        <v>0</v>
      </c>
    </row>
    <row r="56" spans="1:25" x14ac:dyDescent="0.25">
      <c r="A56" s="4" t="s">
        <v>762</v>
      </c>
      <c r="B56" s="7" t="s">
        <v>366</v>
      </c>
      <c r="C56" s="2" t="s">
        <v>763</v>
      </c>
      <c r="D56">
        <f>VLOOKUP(B56,'Model allocations'!$A$1:$L$317,5,FALSE)</f>
        <v>31701.278752995968</v>
      </c>
      <c r="E56" s="31">
        <f>VLOOKUP(B56,'Initial adjusted formula count'!$A$1:$P$317,12,FALSE)</f>
        <v>0.33333333333333298</v>
      </c>
      <c r="F56">
        <f>VLOOKUP(B56,'Model allocations'!$A$1:$L$317,10,FALSE)</f>
        <v>39747.310879533376</v>
      </c>
      <c r="G56" s="30">
        <f t="shared" si="7"/>
        <v>0.95</v>
      </c>
      <c r="H56">
        <f t="shared" si="8"/>
        <v>30116.214815346168</v>
      </c>
      <c r="I56">
        <f t="shared" si="0"/>
        <v>0</v>
      </c>
      <c r="J56">
        <f t="shared" si="1"/>
        <v>39747.310879533376</v>
      </c>
      <c r="K56">
        <f t="shared" si="2"/>
        <v>39724.521705062238</v>
      </c>
      <c r="L56">
        <f t="shared" si="9"/>
        <v>39724.521705062238</v>
      </c>
      <c r="M56">
        <f t="shared" si="3"/>
        <v>0</v>
      </c>
      <c r="N56" s="29">
        <f t="shared" si="10"/>
        <v>39724.521705062238</v>
      </c>
      <c r="O56" s="29">
        <f t="shared" si="4"/>
        <v>39721.647935442277</v>
      </c>
      <c r="P56" s="29">
        <f t="shared" si="11"/>
        <v>39721.647935442277</v>
      </c>
      <c r="Q56">
        <f t="shared" si="12"/>
        <v>0</v>
      </c>
      <c r="R56" s="29">
        <f t="shared" si="13"/>
        <v>39721.647935442277</v>
      </c>
      <c r="S56" s="29">
        <f t="shared" si="5"/>
        <v>39721.647935442299</v>
      </c>
      <c r="T56" s="29">
        <f t="shared" si="14"/>
        <v>39721.647935442299</v>
      </c>
      <c r="U56">
        <f t="shared" si="15"/>
        <v>0</v>
      </c>
      <c r="V56" s="29">
        <f t="shared" si="16"/>
        <v>39721.647935442299</v>
      </c>
      <c r="W56" s="29">
        <f t="shared" si="6"/>
        <v>39721.647935442306</v>
      </c>
      <c r="X56" s="29">
        <f t="shared" si="17"/>
        <v>39721.647935442306</v>
      </c>
      <c r="Y56">
        <f t="shared" si="18"/>
        <v>0</v>
      </c>
    </row>
    <row r="57" spans="1:25" x14ac:dyDescent="0.25">
      <c r="A57" s="4" t="s">
        <v>764</v>
      </c>
      <c r="B57" s="7" t="s">
        <v>368</v>
      </c>
      <c r="C57" s="2" t="s">
        <v>765</v>
      </c>
      <c r="D57">
        <f>VLOOKUP(B57,'Model allocations'!$A$1:$L$317,5,FALSE)</f>
        <v>56546.755740877394</v>
      </c>
      <c r="E57" s="31">
        <f>VLOOKUP(B57,'Initial adjusted formula count'!$A$1:$P$317,12,FALSE)</f>
        <v>0.232198142414861</v>
      </c>
      <c r="F57">
        <f>VLOOKUP(B57,'Model allocations'!$A$1:$L$317,10,FALSE)</f>
        <v>50892.080166789652</v>
      </c>
      <c r="G57" s="30">
        <f t="shared" si="7"/>
        <v>0.9</v>
      </c>
      <c r="H57">
        <f t="shared" si="8"/>
        <v>50892.080166789652</v>
      </c>
      <c r="I57">
        <f t="shared" si="0"/>
        <v>0</v>
      </c>
      <c r="J57">
        <f t="shared" si="1"/>
        <v>50892.080166789652</v>
      </c>
      <c r="K57">
        <f t="shared" si="2"/>
        <v>50862.90112376873</v>
      </c>
      <c r="L57">
        <f t="shared" si="9"/>
        <v>50862.90112376873</v>
      </c>
      <c r="M57">
        <f t="shared" si="3"/>
        <v>50892.080166789652</v>
      </c>
      <c r="N57" s="29">
        <f t="shared" si="10"/>
        <v>0</v>
      </c>
      <c r="O57" s="29">
        <f t="shared" si="4"/>
        <v>0</v>
      </c>
      <c r="P57" s="29">
        <f t="shared" si="11"/>
        <v>50892.080166789652</v>
      </c>
      <c r="Q57">
        <f t="shared" si="12"/>
        <v>0</v>
      </c>
      <c r="R57" s="29">
        <f t="shared" si="13"/>
        <v>0</v>
      </c>
      <c r="S57" s="29">
        <f t="shared" si="5"/>
        <v>0</v>
      </c>
      <c r="T57" s="29">
        <f t="shared" si="14"/>
        <v>50892.080166789652</v>
      </c>
      <c r="U57">
        <f t="shared" si="15"/>
        <v>0</v>
      </c>
      <c r="V57" s="29">
        <f t="shared" si="16"/>
        <v>0</v>
      </c>
      <c r="W57" s="29">
        <f t="shared" si="6"/>
        <v>0</v>
      </c>
      <c r="X57" s="29">
        <f t="shared" si="17"/>
        <v>50892.080166789652</v>
      </c>
      <c r="Y57">
        <f t="shared" si="18"/>
        <v>0</v>
      </c>
    </row>
    <row r="58" spans="1:25" x14ac:dyDescent="0.25">
      <c r="A58" s="4" t="s">
        <v>766</v>
      </c>
      <c r="B58" s="7" t="s">
        <v>115</v>
      </c>
      <c r="C58" s="2" t="s">
        <v>767</v>
      </c>
      <c r="D58">
        <f>VLOOKUP(B58,'Model allocations'!$A$1:$L$317,5,FALSE)</f>
        <v>0</v>
      </c>
      <c r="E58" s="31">
        <f>VLOOKUP(B58,'Initial adjusted formula count'!$A$1:$P$317,12,FALSE)</f>
        <v>2.6548672566371698E-2</v>
      </c>
      <c r="F58">
        <f>VLOOKUP(B58,'Model allocations'!$A$1:$L$317,10,FALSE)</f>
        <v>0</v>
      </c>
      <c r="G58" s="30">
        <f t="shared" si="7"/>
        <v>0.85</v>
      </c>
      <c r="H58">
        <f t="shared" si="8"/>
        <v>0</v>
      </c>
      <c r="I58">
        <f t="shared" si="0"/>
        <v>0</v>
      </c>
      <c r="J58">
        <f t="shared" si="1"/>
        <v>0</v>
      </c>
      <c r="K58">
        <f t="shared" si="2"/>
        <v>0</v>
      </c>
      <c r="L58">
        <f t="shared" si="9"/>
        <v>0</v>
      </c>
      <c r="M58">
        <f t="shared" si="3"/>
        <v>0</v>
      </c>
      <c r="N58" s="29">
        <f t="shared" si="10"/>
        <v>0</v>
      </c>
      <c r="O58" s="29">
        <f t="shared" si="4"/>
        <v>0</v>
      </c>
      <c r="P58" s="29">
        <f t="shared" si="11"/>
        <v>0</v>
      </c>
      <c r="Q58">
        <f t="shared" si="12"/>
        <v>0</v>
      </c>
      <c r="R58" s="29">
        <f t="shared" si="13"/>
        <v>0</v>
      </c>
      <c r="S58" s="29">
        <f t="shared" si="5"/>
        <v>0</v>
      </c>
      <c r="T58" s="29">
        <f t="shared" si="14"/>
        <v>0</v>
      </c>
      <c r="U58">
        <f t="shared" si="15"/>
        <v>0</v>
      </c>
      <c r="V58" s="29">
        <f t="shared" si="16"/>
        <v>0</v>
      </c>
      <c r="W58" s="29">
        <f t="shared" si="6"/>
        <v>0</v>
      </c>
      <c r="X58" s="29">
        <f t="shared" si="17"/>
        <v>0</v>
      </c>
      <c r="Y58">
        <f t="shared" si="18"/>
        <v>0</v>
      </c>
    </row>
    <row r="59" spans="1:25" x14ac:dyDescent="0.25">
      <c r="A59" s="4" t="s">
        <v>768</v>
      </c>
      <c r="B59" s="7" t="s">
        <v>272</v>
      </c>
      <c r="C59" s="2" t="s">
        <v>769</v>
      </c>
      <c r="D59">
        <f>VLOOKUP(B59,'Model allocations'!$A$1:$L$317,5,FALSE)</f>
        <v>28593.491581728107</v>
      </c>
      <c r="E59" s="31">
        <f>VLOOKUP(B59,'Initial adjusted formula count'!$A$1:$P$317,12,FALSE)</f>
        <v>8.89328063241107E-2</v>
      </c>
      <c r="F59">
        <f>VLOOKUP(B59,'Model allocations'!$A$1:$L$317,10,FALSE)</f>
        <v>24304.467844468891</v>
      </c>
      <c r="G59" s="30">
        <f t="shared" si="7"/>
        <v>0.85</v>
      </c>
      <c r="H59">
        <f t="shared" si="8"/>
        <v>24304.467844468891</v>
      </c>
      <c r="I59">
        <f t="shared" si="0"/>
        <v>0</v>
      </c>
      <c r="J59">
        <f t="shared" si="1"/>
        <v>24304.467844468891</v>
      </c>
      <c r="K59">
        <f t="shared" si="2"/>
        <v>24290.532844946174</v>
      </c>
      <c r="L59">
        <f t="shared" si="9"/>
        <v>24290.532844946174</v>
      </c>
      <c r="M59">
        <f t="shared" si="3"/>
        <v>24304.467844468891</v>
      </c>
      <c r="N59" s="29">
        <f t="shared" si="10"/>
        <v>0</v>
      </c>
      <c r="O59" s="29">
        <f t="shared" si="4"/>
        <v>0</v>
      </c>
      <c r="P59" s="29">
        <f t="shared" si="11"/>
        <v>24304.467844468891</v>
      </c>
      <c r="Q59">
        <f t="shared" si="12"/>
        <v>0</v>
      </c>
      <c r="R59" s="29">
        <f t="shared" si="13"/>
        <v>0</v>
      </c>
      <c r="S59" s="29">
        <f t="shared" si="5"/>
        <v>0</v>
      </c>
      <c r="T59" s="29">
        <f t="shared" si="14"/>
        <v>24304.467844468891</v>
      </c>
      <c r="U59">
        <f t="shared" si="15"/>
        <v>0</v>
      </c>
      <c r="V59" s="29">
        <f t="shared" si="16"/>
        <v>0</v>
      </c>
      <c r="W59" s="29">
        <f t="shared" si="6"/>
        <v>0</v>
      </c>
      <c r="X59" s="29">
        <f t="shared" si="17"/>
        <v>24304.467844468891</v>
      </c>
      <c r="Y59">
        <f t="shared" si="18"/>
        <v>0</v>
      </c>
    </row>
    <row r="60" spans="1:25" x14ac:dyDescent="0.25">
      <c r="A60" s="4" t="s">
        <v>770</v>
      </c>
      <c r="B60" s="7" t="s">
        <v>370</v>
      </c>
      <c r="C60" s="2" t="s">
        <v>771</v>
      </c>
      <c r="D60">
        <f>VLOOKUP(B60,'Model allocations'!$A$1:$L$317,5,FALSE)</f>
        <v>33336.363732167294</v>
      </c>
      <c r="E60" s="31">
        <f>VLOOKUP(B60,'Initial adjusted formula count'!$A$1:$P$317,12,FALSE)</f>
        <v>0.13945578231292499</v>
      </c>
      <c r="F60">
        <f>VLOOKUP(B60,'Model allocations'!$A$1:$L$317,10,FALSE)</f>
        <v>34385.799451359191</v>
      </c>
      <c r="G60" s="30">
        <f t="shared" si="7"/>
        <v>0.85</v>
      </c>
      <c r="H60">
        <f t="shared" si="8"/>
        <v>28335.909172342199</v>
      </c>
      <c r="I60">
        <f t="shared" si="0"/>
        <v>0</v>
      </c>
      <c r="J60">
        <f t="shared" si="1"/>
        <v>34385.799451359191</v>
      </c>
      <c r="K60">
        <f t="shared" si="2"/>
        <v>34366.08430671956</v>
      </c>
      <c r="L60">
        <f t="shared" si="9"/>
        <v>34366.08430671956</v>
      </c>
      <c r="M60">
        <f t="shared" si="3"/>
        <v>0</v>
      </c>
      <c r="N60" s="29">
        <f t="shared" si="10"/>
        <v>34366.08430671956</v>
      </c>
      <c r="O60" s="29">
        <f t="shared" si="4"/>
        <v>34363.598179642409</v>
      </c>
      <c r="P60" s="29">
        <f t="shared" si="11"/>
        <v>34363.598179642409</v>
      </c>
      <c r="Q60">
        <f t="shared" si="12"/>
        <v>0</v>
      </c>
      <c r="R60" s="29">
        <f t="shared" si="13"/>
        <v>34363.598179642409</v>
      </c>
      <c r="S60" s="29">
        <f t="shared" si="5"/>
        <v>34363.598179642431</v>
      </c>
      <c r="T60" s="29">
        <f t="shared" si="14"/>
        <v>34363.598179642431</v>
      </c>
      <c r="U60">
        <f t="shared" si="15"/>
        <v>0</v>
      </c>
      <c r="V60" s="29">
        <f t="shared" si="16"/>
        <v>34363.598179642431</v>
      </c>
      <c r="W60" s="29">
        <f t="shared" si="6"/>
        <v>34363.598179642438</v>
      </c>
      <c r="X60" s="29">
        <f t="shared" si="17"/>
        <v>34363.598179642438</v>
      </c>
      <c r="Y60">
        <f t="shared" si="18"/>
        <v>0</v>
      </c>
    </row>
    <row r="61" spans="1:25" x14ac:dyDescent="0.25">
      <c r="A61" s="4" t="s">
        <v>772</v>
      </c>
      <c r="B61" s="7" t="s">
        <v>372</v>
      </c>
      <c r="C61" s="2" t="s">
        <v>773</v>
      </c>
      <c r="D61">
        <f>VLOOKUP(B61,'Model allocations'!$A$1:$L$317,5,FALSE)</f>
        <v>38523.59312048537</v>
      </c>
      <c r="E61" s="31">
        <f>VLOOKUP(B61,'Initial adjusted formula count'!$A$1:$P$317,12,FALSE)</f>
        <v>0.179883945841393</v>
      </c>
      <c r="F61">
        <f>VLOOKUP(B61,'Model allocations'!$A$1:$L$317,10,FALSE)</f>
        <v>42914.547029791407</v>
      </c>
      <c r="G61" s="30">
        <f t="shared" si="7"/>
        <v>0.9</v>
      </c>
      <c r="H61">
        <f t="shared" si="8"/>
        <v>34671.233808436831</v>
      </c>
      <c r="I61">
        <f t="shared" si="0"/>
        <v>0</v>
      </c>
      <c r="J61">
        <f t="shared" si="1"/>
        <v>42914.547029791407</v>
      </c>
      <c r="K61">
        <f t="shared" si="2"/>
        <v>42889.941916188232</v>
      </c>
      <c r="L61">
        <f t="shared" si="9"/>
        <v>42889.941916188232</v>
      </c>
      <c r="M61">
        <f t="shared" si="3"/>
        <v>0</v>
      </c>
      <c r="N61" s="29">
        <f t="shared" si="10"/>
        <v>42889.941916188232</v>
      </c>
      <c r="O61" s="29">
        <f t="shared" si="4"/>
        <v>42886.839152283465</v>
      </c>
      <c r="P61" s="29">
        <f t="shared" si="11"/>
        <v>42886.839152283465</v>
      </c>
      <c r="Q61">
        <f t="shared" si="12"/>
        <v>0</v>
      </c>
      <c r="R61" s="29">
        <f t="shared" si="13"/>
        <v>42886.839152283465</v>
      </c>
      <c r="S61" s="29">
        <f t="shared" si="5"/>
        <v>42886.839152283494</v>
      </c>
      <c r="T61" s="29">
        <f t="shared" si="14"/>
        <v>42886.839152283494</v>
      </c>
      <c r="U61">
        <f t="shared" si="15"/>
        <v>0</v>
      </c>
      <c r="V61" s="29">
        <f t="shared" si="16"/>
        <v>42886.839152283494</v>
      </c>
      <c r="W61" s="29">
        <f t="shared" si="6"/>
        <v>42886.839152283501</v>
      </c>
      <c r="X61" s="29">
        <f t="shared" si="17"/>
        <v>42886.839152283501</v>
      </c>
      <c r="Y61">
        <f t="shared" si="18"/>
        <v>0</v>
      </c>
    </row>
    <row r="62" spans="1:25" x14ac:dyDescent="0.25">
      <c r="A62" s="4" t="s">
        <v>774</v>
      </c>
      <c r="B62" s="7" t="s">
        <v>374</v>
      </c>
      <c r="C62" s="2" t="s">
        <v>775</v>
      </c>
      <c r="D62">
        <f>VLOOKUP(B62,'Model allocations'!$A$1:$L$317,5,FALSE)</f>
        <v>139107.29557373511</v>
      </c>
      <c r="E62" s="31">
        <f>VLOOKUP(B62,'Initial adjusted formula count'!$A$1:$P$317,12,FALSE)</f>
        <v>9.9287808965228305E-2</v>
      </c>
      <c r="F62">
        <f>VLOOKUP(B62,'Model allocations'!$A$1:$L$317,10,FALSE)</f>
        <v>118241.20123767485</v>
      </c>
      <c r="G62" s="30">
        <f t="shared" si="7"/>
        <v>0.85</v>
      </c>
      <c r="H62">
        <f t="shared" si="8"/>
        <v>118241.20123767485</v>
      </c>
      <c r="I62">
        <f t="shared" si="0"/>
        <v>0</v>
      </c>
      <c r="J62">
        <f t="shared" si="1"/>
        <v>118241.20123767485</v>
      </c>
      <c r="K62">
        <f t="shared" si="2"/>
        <v>118173.40748496416</v>
      </c>
      <c r="L62">
        <f t="shared" si="9"/>
        <v>118173.40748496416</v>
      </c>
      <c r="M62">
        <f t="shared" si="3"/>
        <v>118241.20123767485</v>
      </c>
      <c r="N62" s="29">
        <f t="shared" si="10"/>
        <v>0</v>
      </c>
      <c r="O62" s="29">
        <f t="shared" si="4"/>
        <v>0</v>
      </c>
      <c r="P62" s="29">
        <f t="shared" si="11"/>
        <v>118241.20123767485</v>
      </c>
      <c r="Q62">
        <f t="shared" si="12"/>
        <v>0</v>
      </c>
      <c r="R62" s="29">
        <f t="shared" si="13"/>
        <v>0</v>
      </c>
      <c r="S62" s="29">
        <f t="shared" si="5"/>
        <v>0</v>
      </c>
      <c r="T62" s="29">
        <f t="shared" si="14"/>
        <v>118241.20123767485</v>
      </c>
      <c r="U62">
        <f t="shared" si="15"/>
        <v>0</v>
      </c>
      <c r="V62" s="29">
        <f t="shared" si="16"/>
        <v>0</v>
      </c>
      <c r="W62" s="29">
        <f t="shared" si="6"/>
        <v>0</v>
      </c>
      <c r="X62" s="29">
        <f t="shared" si="17"/>
        <v>118241.20123767485</v>
      </c>
      <c r="Y62">
        <f t="shared" si="18"/>
        <v>0</v>
      </c>
    </row>
    <row r="63" spans="1:25" x14ac:dyDescent="0.25">
      <c r="A63" s="4" t="s">
        <v>776</v>
      </c>
      <c r="B63" s="7" t="s">
        <v>274</v>
      </c>
      <c r="C63" s="2" t="s">
        <v>777</v>
      </c>
      <c r="D63">
        <f>VLOOKUP(B63,'Model allocations'!$A$1:$L$317,5,FALSE)</f>
        <v>0</v>
      </c>
      <c r="E63" s="31">
        <f>VLOOKUP(B63,'Initial adjusted formula count'!$A$1:$P$317,12,FALSE)</f>
        <v>4.4483209768861803E-2</v>
      </c>
      <c r="F63">
        <f>VLOOKUP(B63,'Model allocations'!$A$1:$L$317,10,FALSE)</f>
        <v>0</v>
      </c>
      <c r="G63" s="30">
        <f t="shared" si="7"/>
        <v>0.85</v>
      </c>
      <c r="H63">
        <f t="shared" si="8"/>
        <v>0</v>
      </c>
      <c r="I63">
        <f t="shared" si="0"/>
        <v>0</v>
      </c>
      <c r="J63">
        <f t="shared" si="1"/>
        <v>0</v>
      </c>
      <c r="K63">
        <f t="shared" si="2"/>
        <v>0</v>
      </c>
      <c r="L63">
        <f t="shared" si="9"/>
        <v>0</v>
      </c>
      <c r="M63">
        <f t="shared" si="3"/>
        <v>0</v>
      </c>
      <c r="N63" s="29">
        <f t="shared" si="10"/>
        <v>0</v>
      </c>
      <c r="O63" s="29">
        <f t="shared" si="4"/>
        <v>0</v>
      </c>
      <c r="P63" s="29">
        <f t="shared" si="11"/>
        <v>0</v>
      </c>
      <c r="Q63">
        <f t="shared" si="12"/>
        <v>0</v>
      </c>
      <c r="R63" s="29">
        <f t="shared" si="13"/>
        <v>0</v>
      </c>
      <c r="S63" s="29">
        <f t="shared" si="5"/>
        <v>0</v>
      </c>
      <c r="T63" s="29">
        <f t="shared" si="14"/>
        <v>0</v>
      </c>
      <c r="U63">
        <f t="shared" si="15"/>
        <v>0</v>
      </c>
      <c r="V63" s="29">
        <f t="shared" si="16"/>
        <v>0</v>
      </c>
      <c r="W63" s="29">
        <f t="shared" si="6"/>
        <v>0</v>
      </c>
      <c r="X63" s="29">
        <f t="shared" si="17"/>
        <v>0</v>
      </c>
      <c r="Y63">
        <f t="shared" si="18"/>
        <v>0</v>
      </c>
    </row>
    <row r="64" spans="1:25" x14ac:dyDescent="0.25">
      <c r="A64" s="4" t="s">
        <v>778</v>
      </c>
      <c r="B64" s="7" t="s">
        <v>376</v>
      </c>
      <c r="C64" s="2" t="s">
        <v>779</v>
      </c>
      <c r="D64">
        <f>VLOOKUP(B64,'Model allocations'!$A$1:$L$317,5,FALSE)</f>
        <v>0</v>
      </c>
      <c r="E64" s="31">
        <f>VLOOKUP(B64,'Initial adjusted formula count'!$A$1:$P$317,12,FALSE)</f>
        <v>0.08</v>
      </c>
      <c r="F64">
        <f>VLOOKUP(B64,'Model allocations'!$A$1:$L$317,10,FALSE)</f>
        <v>0</v>
      </c>
      <c r="G64" s="30">
        <f t="shared" si="7"/>
        <v>0.85</v>
      </c>
      <c r="H64">
        <f t="shared" si="8"/>
        <v>0</v>
      </c>
      <c r="I64">
        <f t="shared" si="0"/>
        <v>0</v>
      </c>
      <c r="J64">
        <f t="shared" si="1"/>
        <v>0</v>
      </c>
      <c r="K64">
        <f t="shared" si="2"/>
        <v>0</v>
      </c>
      <c r="L64">
        <f t="shared" si="9"/>
        <v>0</v>
      </c>
      <c r="M64">
        <f t="shared" si="3"/>
        <v>0</v>
      </c>
      <c r="N64" s="29">
        <f t="shared" si="10"/>
        <v>0</v>
      </c>
      <c r="O64" s="29">
        <f t="shared" si="4"/>
        <v>0</v>
      </c>
      <c r="P64" s="29">
        <f t="shared" si="11"/>
        <v>0</v>
      </c>
      <c r="Q64">
        <f t="shared" si="12"/>
        <v>0</v>
      </c>
      <c r="R64" s="29">
        <f t="shared" si="13"/>
        <v>0</v>
      </c>
      <c r="S64" s="29">
        <f t="shared" si="5"/>
        <v>0</v>
      </c>
      <c r="T64" s="29">
        <f t="shared" si="14"/>
        <v>0</v>
      </c>
      <c r="U64">
        <f t="shared" si="15"/>
        <v>0</v>
      </c>
      <c r="V64" s="29">
        <f t="shared" si="16"/>
        <v>0</v>
      </c>
      <c r="W64" s="29">
        <f t="shared" si="6"/>
        <v>0</v>
      </c>
      <c r="X64" s="29">
        <f t="shared" si="17"/>
        <v>0</v>
      </c>
      <c r="Y64">
        <f t="shared" si="18"/>
        <v>0</v>
      </c>
    </row>
    <row r="65" spans="1:25" x14ac:dyDescent="0.25">
      <c r="A65" s="4" t="s">
        <v>780</v>
      </c>
      <c r="B65" s="7" t="s">
        <v>378</v>
      </c>
      <c r="C65" s="2" t="s">
        <v>781</v>
      </c>
      <c r="D65">
        <f>VLOOKUP(B65,'Model allocations'!$A$1:$L$317,5,FALSE)</f>
        <v>358369.55242720636</v>
      </c>
      <c r="E65" s="31">
        <f>VLOOKUP(B65,'Initial adjusted formula count'!$A$1:$P$317,12,FALSE)</f>
        <v>0.126458731169107</v>
      </c>
      <c r="F65">
        <f>VLOOKUP(B65,'Model allocations'!$A$1:$L$317,10,FALSE)</f>
        <v>304614.11956312542</v>
      </c>
      <c r="G65" s="30">
        <f t="shared" si="7"/>
        <v>0.85</v>
      </c>
      <c r="H65">
        <f t="shared" si="8"/>
        <v>304614.11956312542</v>
      </c>
      <c r="I65">
        <f t="shared" si="0"/>
        <v>0</v>
      </c>
      <c r="J65">
        <f t="shared" si="1"/>
        <v>304614.11956312542</v>
      </c>
      <c r="K65">
        <f t="shared" si="2"/>
        <v>304439.46864552912</v>
      </c>
      <c r="L65">
        <f t="shared" si="9"/>
        <v>304439.46864552912</v>
      </c>
      <c r="M65">
        <f t="shared" si="3"/>
        <v>304614.11956312542</v>
      </c>
      <c r="N65" s="29">
        <f t="shared" si="10"/>
        <v>0</v>
      </c>
      <c r="O65" s="29">
        <f t="shared" si="4"/>
        <v>0</v>
      </c>
      <c r="P65" s="29">
        <f t="shared" si="11"/>
        <v>304614.11956312542</v>
      </c>
      <c r="Q65">
        <f t="shared" si="12"/>
        <v>0</v>
      </c>
      <c r="R65" s="29">
        <f t="shared" si="13"/>
        <v>0</v>
      </c>
      <c r="S65" s="29">
        <f t="shared" si="5"/>
        <v>0</v>
      </c>
      <c r="T65" s="29">
        <f t="shared" si="14"/>
        <v>304614.11956312542</v>
      </c>
      <c r="U65">
        <f t="shared" si="15"/>
        <v>0</v>
      </c>
      <c r="V65" s="29">
        <f t="shared" si="16"/>
        <v>0</v>
      </c>
      <c r="W65" s="29">
        <f t="shared" si="6"/>
        <v>0</v>
      </c>
      <c r="X65" s="29">
        <f t="shared" si="17"/>
        <v>304614.11956312542</v>
      </c>
      <c r="Y65">
        <f t="shared" si="18"/>
        <v>0</v>
      </c>
    </row>
    <row r="66" spans="1:25" x14ac:dyDescent="0.25">
      <c r="A66" s="4" t="s">
        <v>782</v>
      </c>
      <c r="B66" s="7" t="s">
        <v>380</v>
      </c>
      <c r="C66" s="2" t="s">
        <v>783</v>
      </c>
      <c r="D66">
        <f>VLOOKUP(B66,'Model allocations'!$A$1:$L$317,5,FALSE)</f>
        <v>172855.21935197857</v>
      </c>
      <c r="E66" s="31">
        <f>VLOOKUP(B66,'Initial adjusted formula count'!$A$1:$P$317,12,FALSE)</f>
        <v>0.137717818999438</v>
      </c>
      <c r="F66">
        <f>VLOOKUP(B66,'Model allocations'!$A$1:$L$317,10,FALSE)</f>
        <v>205476.11867275616</v>
      </c>
      <c r="G66" s="30">
        <f t="shared" si="7"/>
        <v>0.85</v>
      </c>
      <c r="H66">
        <f t="shared" si="8"/>
        <v>146926.93644918178</v>
      </c>
      <c r="I66">
        <f t="shared" si="0"/>
        <v>0</v>
      </c>
      <c r="J66">
        <f t="shared" si="1"/>
        <v>205476.11867275616</v>
      </c>
      <c r="K66">
        <f t="shared" si="2"/>
        <v>205358.30866210471</v>
      </c>
      <c r="L66">
        <f t="shared" si="9"/>
        <v>205358.30866210471</v>
      </c>
      <c r="M66">
        <f t="shared" si="3"/>
        <v>0</v>
      </c>
      <c r="N66" s="29">
        <f t="shared" si="10"/>
        <v>205358.30866210471</v>
      </c>
      <c r="O66" s="29">
        <f t="shared" si="4"/>
        <v>205343.45253688761</v>
      </c>
      <c r="P66" s="29">
        <f t="shared" si="11"/>
        <v>205343.45253688761</v>
      </c>
      <c r="Q66">
        <f t="shared" si="12"/>
        <v>0</v>
      </c>
      <c r="R66" s="29">
        <f t="shared" si="13"/>
        <v>205343.45253688761</v>
      </c>
      <c r="S66" s="29">
        <f t="shared" si="5"/>
        <v>205343.45253688772</v>
      </c>
      <c r="T66" s="29">
        <f t="shared" si="14"/>
        <v>205343.45253688772</v>
      </c>
      <c r="U66">
        <f t="shared" si="15"/>
        <v>0</v>
      </c>
      <c r="V66" s="29">
        <f t="shared" si="16"/>
        <v>205343.45253688772</v>
      </c>
      <c r="W66" s="29">
        <f t="shared" si="6"/>
        <v>205343.45253688775</v>
      </c>
      <c r="X66" s="29">
        <f t="shared" si="17"/>
        <v>205343.45253688775</v>
      </c>
      <c r="Y66">
        <f t="shared" si="18"/>
        <v>0</v>
      </c>
    </row>
    <row r="67" spans="1:25" x14ac:dyDescent="0.25">
      <c r="A67" s="4" t="s">
        <v>784</v>
      </c>
      <c r="B67" s="7" t="s">
        <v>382</v>
      </c>
      <c r="C67" s="2" t="s">
        <v>785</v>
      </c>
      <c r="D67">
        <f>VLOOKUP(B67,'Model allocations'!$A$1:$L$317,5,FALSE)</f>
        <v>262163.74935050082</v>
      </c>
      <c r="E67" s="31">
        <f>VLOOKUP(B67,'Initial adjusted formula count'!$A$1:$P$317,12,FALSE)</f>
        <v>0.138697557921102</v>
      </c>
      <c r="F67">
        <f>VLOOKUP(B67,'Model allocations'!$A$1:$L$317,10,FALSE)</f>
        <v>412419.92390746059</v>
      </c>
      <c r="G67" s="30">
        <f t="shared" si="7"/>
        <v>0.85</v>
      </c>
      <c r="H67">
        <f t="shared" si="8"/>
        <v>222839.18694792569</v>
      </c>
      <c r="I67">
        <f t="shared" si="0"/>
        <v>0</v>
      </c>
      <c r="J67">
        <f t="shared" si="1"/>
        <v>412419.92390746059</v>
      </c>
      <c r="K67">
        <f t="shared" si="2"/>
        <v>412183.46238608158</v>
      </c>
      <c r="L67">
        <f t="shared" si="9"/>
        <v>412183.46238608158</v>
      </c>
      <c r="M67">
        <f t="shared" si="3"/>
        <v>0</v>
      </c>
      <c r="N67" s="29">
        <f t="shared" si="10"/>
        <v>412183.46238608158</v>
      </c>
      <c r="O67" s="29">
        <f t="shared" si="4"/>
        <v>412153.64402046724</v>
      </c>
      <c r="P67" s="29">
        <f t="shared" si="11"/>
        <v>412153.64402046724</v>
      </c>
      <c r="Q67">
        <f t="shared" si="12"/>
        <v>0</v>
      </c>
      <c r="R67" s="29">
        <f t="shared" si="13"/>
        <v>412153.64402046724</v>
      </c>
      <c r="S67" s="29">
        <f t="shared" si="5"/>
        <v>412153.64402046747</v>
      </c>
      <c r="T67" s="29">
        <f t="shared" si="14"/>
        <v>412153.64402046747</v>
      </c>
      <c r="U67">
        <f t="shared" si="15"/>
        <v>0</v>
      </c>
      <c r="V67" s="29">
        <f t="shared" si="16"/>
        <v>412153.64402046747</v>
      </c>
      <c r="W67" s="29">
        <f t="shared" si="6"/>
        <v>412153.64402046753</v>
      </c>
      <c r="X67" s="29">
        <f t="shared" si="17"/>
        <v>412153.64402046753</v>
      </c>
      <c r="Y67">
        <f t="shared" si="18"/>
        <v>0</v>
      </c>
    </row>
    <row r="68" spans="1:25" x14ac:dyDescent="0.25">
      <c r="A68" s="4" t="s">
        <v>786</v>
      </c>
      <c r="B68" s="7" t="s">
        <v>117</v>
      </c>
      <c r="C68" s="2" t="s">
        <v>787</v>
      </c>
      <c r="D68">
        <f>VLOOKUP(B68,'Model allocations'!$A$1:$L$317,5,FALSE)</f>
        <v>0</v>
      </c>
      <c r="E68" s="31">
        <f>VLOOKUP(B68,'Initial adjusted formula count'!$A$1:$P$317,12,FALSE)</f>
        <v>0.13375796178343899</v>
      </c>
      <c r="F68">
        <f>VLOOKUP(B68,'Model allocations'!$A$1:$L$317,10,FALSE)</f>
        <v>8806.1193716895486</v>
      </c>
      <c r="G68" s="30">
        <f t="shared" si="7"/>
        <v>0.85</v>
      </c>
      <c r="H68">
        <f t="shared" si="8"/>
        <v>0</v>
      </c>
      <c r="I68">
        <f t="shared" ref="I68:I131" si="19">IF(F68&lt;H68,H68,0)</f>
        <v>0</v>
      </c>
      <c r="J68">
        <f t="shared" ref="J68:J131" si="20">IF(I68=0,F68,0)</f>
        <v>8806.1193716895486</v>
      </c>
      <c r="K68">
        <f t="shared" ref="K68:K131" si="21">(J68/$J$3)*($F$3-$I$3)</f>
        <v>8801.0703712330578</v>
      </c>
      <c r="L68">
        <f t="shared" si="9"/>
        <v>8801.0703712330578</v>
      </c>
      <c r="M68">
        <f t="shared" ref="M68:M131" si="22">IF(L68&lt;H68,H68,0)</f>
        <v>0</v>
      </c>
      <c r="N68" s="29">
        <f t="shared" si="10"/>
        <v>8801.0703712330578</v>
      </c>
      <c r="O68" s="29">
        <f t="shared" ref="O68:O131" si="23">((N68/$N$3)*($F$3-$I$3-$M$3))</f>
        <v>8800.4336801523259</v>
      </c>
      <c r="P68" s="29">
        <f t="shared" si="11"/>
        <v>8800.4336801523259</v>
      </c>
      <c r="Q68">
        <f t="shared" si="12"/>
        <v>0</v>
      </c>
      <c r="R68" s="29">
        <f t="shared" si="13"/>
        <v>8800.4336801523259</v>
      </c>
      <c r="S68" s="29">
        <f t="shared" ref="S68:S131" si="24">((R68/$R$3)*($F$3-$I$3-$M$3-$Q$3))</f>
        <v>8800.4336801523314</v>
      </c>
      <c r="T68" s="29">
        <f t="shared" si="14"/>
        <v>8800.4336801523314</v>
      </c>
      <c r="U68">
        <f t="shared" si="15"/>
        <v>0</v>
      </c>
      <c r="V68" s="29">
        <f t="shared" si="16"/>
        <v>8800.4336801523314</v>
      </c>
      <c r="W68" s="29">
        <f t="shared" ref="W68:W131" si="25">((V68/$V$3)*($F$3-$I$3-$M$3-$Q$3-$U$3))</f>
        <v>8800.4336801523332</v>
      </c>
      <c r="X68" s="29">
        <f t="shared" si="17"/>
        <v>8800.4336801523332</v>
      </c>
      <c r="Y68">
        <f t="shared" si="18"/>
        <v>0</v>
      </c>
    </row>
    <row r="69" spans="1:25" x14ac:dyDescent="0.25">
      <c r="A69" s="4" t="s">
        <v>788</v>
      </c>
      <c r="B69" s="7" t="s">
        <v>119</v>
      </c>
      <c r="C69" s="2" t="s">
        <v>789</v>
      </c>
      <c r="D69">
        <f>VLOOKUP(B69,'Model allocations'!$A$1:$L$317,5,FALSE)</f>
        <v>78607.968800542629</v>
      </c>
      <c r="E69" s="31">
        <f>VLOOKUP(B69,'Initial adjusted formula count'!$A$1:$P$317,12,FALSE)</f>
        <v>7.0657065706570599E-2</v>
      </c>
      <c r="F69">
        <f>VLOOKUP(B69,'Model allocations'!$A$1:$L$317,10,FALSE)</f>
        <v>66816.773480461226</v>
      </c>
      <c r="G69" s="30">
        <f t="shared" ref="G69:G132" si="26">IF(E69&lt;0.15,0.85,IF(AND(E69&gt;=0.15,E69&lt;0.3),0.9,0.95))</f>
        <v>0.85</v>
      </c>
      <c r="H69">
        <f t="shared" ref="H69:H132" si="27">IF(F69 = 0, 0, D69*G69)</f>
        <v>66816.773480461226</v>
      </c>
      <c r="I69">
        <f t="shared" si="19"/>
        <v>0</v>
      </c>
      <c r="J69">
        <f t="shared" si="20"/>
        <v>66816.773480461226</v>
      </c>
      <c r="K69">
        <f t="shared" si="21"/>
        <v>66778.463992982695</v>
      </c>
      <c r="L69">
        <f t="shared" ref="L69:L132" si="28">I69+K69</f>
        <v>66778.463992982695</v>
      </c>
      <c r="M69">
        <f t="shared" si="22"/>
        <v>66816.773480461226</v>
      </c>
      <c r="N69" s="29">
        <f t="shared" ref="N69:N132" si="29">IF($I69+$M69=0,L69,0)</f>
        <v>0</v>
      </c>
      <c r="O69" s="29">
        <f t="shared" si="23"/>
        <v>0</v>
      </c>
      <c r="P69" s="29">
        <f t="shared" ref="P69:P132" si="30">$I69+$M69+O69</f>
        <v>66816.773480461226</v>
      </c>
      <c r="Q69">
        <f t="shared" ref="Q69:Q132" si="31">IF(P69&lt;H69,H69,0)</f>
        <v>0</v>
      </c>
      <c r="R69" s="29">
        <f t="shared" ref="R69:R132" si="32">IF($I69+$M69+$Q69=0,P69,0)</f>
        <v>0</v>
      </c>
      <c r="S69" s="29">
        <f t="shared" si="24"/>
        <v>0</v>
      </c>
      <c r="T69" s="29">
        <f t="shared" ref="T69:T132" si="33">$I69+$M69+$Q69+S69</f>
        <v>66816.773480461226</v>
      </c>
      <c r="U69">
        <f t="shared" ref="U69:U132" si="34">IF(T69&lt;H69,H69,0)</f>
        <v>0</v>
      </c>
      <c r="V69" s="29">
        <f t="shared" ref="V69:V132" si="35">IF($I69+$M69+$Q69+U69=0,T69,0)</f>
        <v>0</v>
      </c>
      <c r="W69" s="29">
        <f t="shared" si="25"/>
        <v>0</v>
      </c>
      <c r="X69" s="29">
        <f t="shared" ref="X69:X132" si="36">$I69+$M69+$Q69+$U69+W69</f>
        <v>66816.773480461226</v>
      </c>
      <c r="Y69">
        <f t="shared" ref="Y69:Y132" si="37">IF(X69&lt;H69,H69,0)</f>
        <v>0</v>
      </c>
    </row>
    <row r="70" spans="1:25" x14ac:dyDescent="0.25">
      <c r="A70" s="4" t="s">
        <v>790</v>
      </c>
      <c r="B70" s="7" t="s">
        <v>121</v>
      </c>
      <c r="C70" s="2" t="s">
        <v>791</v>
      </c>
      <c r="D70">
        <f>VLOOKUP(B70,'Model allocations'!$A$1:$L$317,5,FALSE)</f>
        <v>1161010.8899807895</v>
      </c>
      <c r="E70" s="31">
        <f>VLOOKUP(B70,'Initial adjusted formula count'!$A$1:$P$317,12,FALSE)</f>
        <v>9.6499488229273303E-2</v>
      </c>
      <c r="F70">
        <f>VLOOKUP(B70,'Model allocations'!$A$1:$L$317,10,FALSE)</f>
        <v>1357610.069802139</v>
      </c>
      <c r="G70" s="30">
        <f t="shared" si="26"/>
        <v>0.85</v>
      </c>
      <c r="H70">
        <f t="shared" si="27"/>
        <v>986859.25648367102</v>
      </c>
      <c r="I70">
        <f t="shared" si="19"/>
        <v>0</v>
      </c>
      <c r="J70">
        <f t="shared" si="20"/>
        <v>1357610.069802139</v>
      </c>
      <c r="K70">
        <f t="shared" si="21"/>
        <v>1356831.6822317634</v>
      </c>
      <c r="L70">
        <f t="shared" si="28"/>
        <v>1356831.6822317634</v>
      </c>
      <c r="M70">
        <f t="shared" si="22"/>
        <v>0</v>
      </c>
      <c r="N70" s="29">
        <f t="shared" si="29"/>
        <v>1356831.6822317634</v>
      </c>
      <c r="O70" s="29">
        <f t="shared" si="23"/>
        <v>1356733.5256901504</v>
      </c>
      <c r="P70" s="29">
        <f t="shared" si="30"/>
        <v>1356733.5256901504</v>
      </c>
      <c r="Q70">
        <f t="shared" si="31"/>
        <v>0</v>
      </c>
      <c r="R70" s="29">
        <f t="shared" si="32"/>
        <v>1356733.5256901504</v>
      </c>
      <c r="S70" s="29">
        <f t="shared" si="24"/>
        <v>1356733.5256901514</v>
      </c>
      <c r="T70" s="29">
        <f t="shared" si="33"/>
        <v>1356733.5256901514</v>
      </c>
      <c r="U70">
        <f t="shared" si="34"/>
        <v>0</v>
      </c>
      <c r="V70" s="29">
        <f t="shared" si="35"/>
        <v>1356733.5256901514</v>
      </c>
      <c r="W70" s="29">
        <f t="shared" si="25"/>
        <v>1356733.5256901514</v>
      </c>
      <c r="X70" s="29">
        <f t="shared" si="36"/>
        <v>1356733.5256901514</v>
      </c>
      <c r="Y70">
        <f t="shared" si="37"/>
        <v>0</v>
      </c>
    </row>
    <row r="71" spans="1:25" x14ac:dyDescent="0.25">
      <c r="A71" s="4" t="s">
        <v>792</v>
      </c>
      <c r="B71" s="7" t="s">
        <v>384</v>
      </c>
      <c r="C71" s="2" t="s">
        <v>793</v>
      </c>
      <c r="D71">
        <f>VLOOKUP(B71,'Model allocations'!$A$1:$L$317,5,FALSE)</f>
        <v>162977.7782461512</v>
      </c>
      <c r="E71" s="31">
        <f>VLOOKUP(B71,'Initial adjusted formula count'!$A$1:$P$317,12,FALSE)</f>
        <v>0.12371420628301399</v>
      </c>
      <c r="F71">
        <f>VLOOKUP(B71,'Model allocations'!$A$1:$L$317,10,FALSE)</f>
        <v>186605.86287627855</v>
      </c>
      <c r="G71" s="30">
        <f t="shared" si="26"/>
        <v>0.85</v>
      </c>
      <c r="H71">
        <f t="shared" si="27"/>
        <v>138531.1115092285</v>
      </c>
      <c r="I71">
        <f t="shared" si="19"/>
        <v>0</v>
      </c>
      <c r="J71">
        <f t="shared" si="20"/>
        <v>186605.86287627855</v>
      </c>
      <c r="K71">
        <f t="shared" si="21"/>
        <v>186498.87215231959</v>
      </c>
      <c r="L71">
        <f t="shared" si="28"/>
        <v>186498.87215231959</v>
      </c>
      <c r="M71">
        <f t="shared" si="22"/>
        <v>0</v>
      </c>
      <c r="N71" s="29">
        <f t="shared" si="29"/>
        <v>186498.87215231959</v>
      </c>
      <c r="O71" s="29">
        <f t="shared" si="23"/>
        <v>186485.38036513262</v>
      </c>
      <c r="P71" s="29">
        <f t="shared" si="30"/>
        <v>186485.38036513262</v>
      </c>
      <c r="Q71">
        <f t="shared" si="31"/>
        <v>0</v>
      </c>
      <c r="R71" s="29">
        <f t="shared" si="32"/>
        <v>186485.38036513262</v>
      </c>
      <c r="S71" s="29">
        <f t="shared" si="24"/>
        <v>186485.3803651327</v>
      </c>
      <c r="T71" s="29">
        <f t="shared" si="33"/>
        <v>186485.3803651327</v>
      </c>
      <c r="U71">
        <f t="shared" si="34"/>
        <v>0</v>
      </c>
      <c r="V71" s="29">
        <f t="shared" si="35"/>
        <v>186485.3803651327</v>
      </c>
      <c r="W71" s="29">
        <f t="shared" si="25"/>
        <v>186485.3803651327</v>
      </c>
      <c r="X71" s="29">
        <f t="shared" si="36"/>
        <v>186485.3803651327</v>
      </c>
      <c r="Y71">
        <f t="shared" si="37"/>
        <v>0</v>
      </c>
    </row>
    <row r="72" spans="1:25" x14ac:dyDescent="0.25">
      <c r="A72" s="4" t="s">
        <v>794</v>
      </c>
      <c r="B72" s="7" t="s">
        <v>386</v>
      </c>
      <c r="C72" s="2" t="s">
        <v>795</v>
      </c>
      <c r="D72">
        <f>VLOOKUP(B72,'Model allocations'!$A$1:$L$317,5,FALSE)</f>
        <v>159867.2897299169</v>
      </c>
      <c r="E72" s="31">
        <f>VLOOKUP(B72,'Initial adjusted formula count'!$A$1:$P$317,12,FALSE)</f>
        <v>0.15379786566227199</v>
      </c>
      <c r="F72">
        <f>VLOOKUP(B72,'Model allocations'!$A$1:$L$317,10,FALSE)</f>
        <v>143880.5607569252</v>
      </c>
      <c r="G72" s="30">
        <f t="shared" si="26"/>
        <v>0.9</v>
      </c>
      <c r="H72">
        <f t="shared" si="27"/>
        <v>143880.5607569252</v>
      </c>
      <c r="I72">
        <f t="shared" si="19"/>
        <v>0</v>
      </c>
      <c r="J72">
        <f t="shared" si="20"/>
        <v>143880.5607569252</v>
      </c>
      <c r="K72">
        <f t="shared" si="21"/>
        <v>143798.06664274394</v>
      </c>
      <c r="L72">
        <f t="shared" si="28"/>
        <v>143798.06664274394</v>
      </c>
      <c r="M72">
        <f t="shared" si="22"/>
        <v>143880.5607569252</v>
      </c>
      <c r="N72" s="29">
        <f t="shared" si="29"/>
        <v>0</v>
      </c>
      <c r="O72" s="29">
        <f t="shared" si="23"/>
        <v>0</v>
      </c>
      <c r="P72" s="29">
        <f t="shared" si="30"/>
        <v>143880.5607569252</v>
      </c>
      <c r="Q72">
        <f t="shared" si="31"/>
        <v>0</v>
      </c>
      <c r="R72" s="29">
        <f t="shared" si="32"/>
        <v>0</v>
      </c>
      <c r="S72" s="29">
        <f t="shared" si="24"/>
        <v>0</v>
      </c>
      <c r="T72" s="29">
        <f t="shared" si="33"/>
        <v>143880.5607569252</v>
      </c>
      <c r="U72">
        <f t="shared" si="34"/>
        <v>0</v>
      </c>
      <c r="V72" s="29">
        <f t="shared" si="35"/>
        <v>0</v>
      </c>
      <c r="W72" s="29">
        <f t="shared" si="25"/>
        <v>0</v>
      </c>
      <c r="X72" s="29">
        <f t="shared" si="36"/>
        <v>143880.5607569252</v>
      </c>
      <c r="Y72">
        <f t="shared" si="37"/>
        <v>0</v>
      </c>
    </row>
    <row r="73" spans="1:25" x14ac:dyDescent="0.25">
      <c r="A73" s="4" t="s">
        <v>796</v>
      </c>
      <c r="B73" s="7" t="s">
        <v>388</v>
      </c>
      <c r="C73" s="2" t="s">
        <v>797</v>
      </c>
      <c r="D73">
        <f>VLOOKUP(B73,'Model allocations'!$A$1:$L$317,5,FALSE)</f>
        <v>10866.384934651529</v>
      </c>
      <c r="E73" s="31">
        <f>VLOOKUP(B73,'Initial adjusted formula count'!$A$1:$P$317,12,FALSE)</f>
        <v>0.24444444444444399</v>
      </c>
      <c r="F73">
        <f>VLOOKUP(B73,'Model allocations'!$A$1:$L$317,10,FALSE)</f>
        <v>12395.346858934015</v>
      </c>
      <c r="G73" s="30">
        <f t="shared" si="26"/>
        <v>0.9</v>
      </c>
      <c r="H73">
        <f t="shared" si="27"/>
        <v>9779.7464411863766</v>
      </c>
      <c r="I73">
        <f t="shared" si="19"/>
        <v>0</v>
      </c>
      <c r="J73">
        <f t="shared" si="20"/>
        <v>12395.346858934015</v>
      </c>
      <c r="K73">
        <f t="shared" si="21"/>
        <v>12388.239970041466</v>
      </c>
      <c r="L73">
        <f t="shared" si="28"/>
        <v>12388.239970041466</v>
      </c>
      <c r="M73">
        <f t="shared" si="22"/>
        <v>0</v>
      </c>
      <c r="N73" s="29">
        <f t="shared" si="29"/>
        <v>12388.239970041466</v>
      </c>
      <c r="O73" s="29">
        <f t="shared" si="23"/>
        <v>12387.343774287743</v>
      </c>
      <c r="P73" s="29">
        <f t="shared" si="30"/>
        <v>12387.343774287743</v>
      </c>
      <c r="Q73">
        <f t="shared" si="31"/>
        <v>0</v>
      </c>
      <c r="R73" s="29">
        <f t="shared" si="32"/>
        <v>12387.343774287743</v>
      </c>
      <c r="S73" s="29">
        <f t="shared" si="24"/>
        <v>12387.34377428775</v>
      </c>
      <c r="T73" s="29">
        <f t="shared" si="33"/>
        <v>12387.34377428775</v>
      </c>
      <c r="U73">
        <f t="shared" si="34"/>
        <v>0</v>
      </c>
      <c r="V73" s="29">
        <f t="shared" si="35"/>
        <v>12387.34377428775</v>
      </c>
      <c r="W73" s="29">
        <f t="shared" si="25"/>
        <v>12387.34377428775</v>
      </c>
      <c r="X73" s="29">
        <f t="shared" si="36"/>
        <v>12387.34377428775</v>
      </c>
      <c r="Y73">
        <f t="shared" si="37"/>
        <v>0</v>
      </c>
    </row>
    <row r="74" spans="1:25" x14ac:dyDescent="0.25">
      <c r="A74" s="4" t="s">
        <v>798</v>
      </c>
      <c r="B74" s="7" t="s">
        <v>390</v>
      </c>
      <c r="C74" s="2" t="s">
        <v>799</v>
      </c>
      <c r="D74">
        <f>VLOOKUP(B74,'Model allocations'!$A$1:$L$317,5,FALSE)</f>
        <v>30891.244342424343</v>
      </c>
      <c r="E74" s="31">
        <f>VLOOKUP(B74,'Initial adjusted formula count'!$A$1:$P$317,12,FALSE)</f>
        <v>0.17114914425427899</v>
      </c>
      <c r="F74">
        <f>VLOOKUP(B74,'Model allocations'!$A$1:$L$317,10,FALSE)</f>
        <v>31328.126102950628</v>
      </c>
      <c r="G74" s="30">
        <f t="shared" si="26"/>
        <v>0.9</v>
      </c>
      <c r="H74">
        <f t="shared" si="27"/>
        <v>27802.11990818191</v>
      </c>
      <c r="I74">
        <f t="shared" si="19"/>
        <v>0</v>
      </c>
      <c r="J74">
        <f t="shared" si="20"/>
        <v>31328.126102950628</v>
      </c>
      <c r="K74">
        <f t="shared" si="21"/>
        <v>31310.16407946236</v>
      </c>
      <c r="L74">
        <f t="shared" si="28"/>
        <v>31310.16407946236</v>
      </c>
      <c r="M74">
        <f t="shared" si="22"/>
        <v>0</v>
      </c>
      <c r="N74" s="29">
        <f t="shared" si="29"/>
        <v>31310.16407946236</v>
      </c>
      <c r="O74" s="29">
        <f t="shared" si="23"/>
        <v>31307.899025171824</v>
      </c>
      <c r="P74" s="29">
        <f t="shared" si="30"/>
        <v>31307.899025171824</v>
      </c>
      <c r="Q74">
        <f t="shared" si="31"/>
        <v>0</v>
      </c>
      <c r="R74" s="29">
        <f t="shared" si="32"/>
        <v>31307.899025171824</v>
      </c>
      <c r="S74" s="29">
        <f t="shared" si="24"/>
        <v>31307.899025171842</v>
      </c>
      <c r="T74" s="29">
        <f t="shared" si="33"/>
        <v>31307.899025171842</v>
      </c>
      <c r="U74">
        <f t="shared" si="34"/>
        <v>0</v>
      </c>
      <c r="V74" s="29">
        <f t="shared" si="35"/>
        <v>31307.899025171842</v>
      </c>
      <c r="W74" s="29">
        <f t="shared" si="25"/>
        <v>31307.899025171846</v>
      </c>
      <c r="X74" s="29">
        <f t="shared" si="36"/>
        <v>31307.899025171846</v>
      </c>
      <c r="Y74">
        <f t="shared" si="37"/>
        <v>0</v>
      </c>
    </row>
    <row r="75" spans="1:25" x14ac:dyDescent="0.25">
      <c r="A75" s="4" t="s">
        <v>800</v>
      </c>
      <c r="B75" s="7" t="s">
        <v>123</v>
      </c>
      <c r="C75" s="2" t="s">
        <v>801</v>
      </c>
      <c r="D75">
        <f>VLOOKUP(B75,'Model allocations'!$A$1:$L$317,5,FALSE)</f>
        <v>123879.573868918</v>
      </c>
      <c r="E75" s="31">
        <f>VLOOKUP(B75,'Initial adjusted formula count'!$A$1:$P$317,12,FALSE)</f>
        <v>6.2126387702818101E-2</v>
      </c>
      <c r="F75">
        <f>VLOOKUP(B75,'Model allocations'!$A$1:$L$317,10,FALSE)</f>
        <v>122027.65415055519</v>
      </c>
      <c r="G75" s="30">
        <f t="shared" si="26"/>
        <v>0.85</v>
      </c>
      <c r="H75">
        <f t="shared" si="27"/>
        <v>105297.63778858029</v>
      </c>
      <c r="I75">
        <f t="shared" si="19"/>
        <v>0</v>
      </c>
      <c r="J75">
        <f t="shared" si="20"/>
        <v>122027.65415055519</v>
      </c>
      <c r="K75">
        <f t="shared" si="21"/>
        <v>121957.68942994381</v>
      </c>
      <c r="L75">
        <f t="shared" si="28"/>
        <v>121957.68942994381</v>
      </c>
      <c r="M75">
        <f t="shared" si="22"/>
        <v>0</v>
      </c>
      <c r="N75" s="29">
        <f t="shared" si="29"/>
        <v>121957.68942994381</v>
      </c>
      <c r="O75" s="29">
        <f t="shared" si="23"/>
        <v>121948.86671068222</v>
      </c>
      <c r="P75" s="29">
        <f t="shared" si="30"/>
        <v>121948.86671068222</v>
      </c>
      <c r="Q75">
        <f t="shared" si="31"/>
        <v>0</v>
      </c>
      <c r="R75" s="29">
        <f t="shared" si="32"/>
        <v>121948.86671068222</v>
      </c>
      <c r="S75" s="29">
        <f t="shared" si="24"/>
        <v>121948.86671068228</v>
      </c>
      <c r="T75" s="29">
        <f t="shared" si="33"/>
        <v>121948.86671068228</v>
      </c>
      <c r="U75">
        <f t="shared" si="34"/>
        <v>0</v>
      </c>
      <c r="V75" s="29">
        <f t="shared" si="35"/>
        <v>121948.86671068228</v>
      </c>
      <c r="W75" s="29">
        <f t="shared" si="25"/>
        <v>121948.8667106823</v>
      </c>
      <c r="X75" s="29">
        <f t="shared" si="36"/>
        <v>121948.8667106823</v>
      </c>
      <c r="Y75">
        <f t="shared" si="37"/>
        <v>0</v>
      </c>
    </row>
    <row r="76" spans="1:25" x14ac:dyDescent="0.25">
      <c r="A76" s="4" t="s">
        <v>802</v>
      </c>
      <c r="B76" s="7" t="s">
        <v>392</v>
      </c>
      <c r="C76" s="2" t="s">
        <v>803</v>
      </c>
      <c r="D76">
        <f>VLOOKUP(B76,'Model allocations'!$A$1:$L$317,5,FALSE)</f>
        <v>195203.23852394748</v>
      </c>
      <c r="E76" s="31">
        <f>VLOOKUP(B76,'Initial adjusted formula count'!$A$1:$P$317,12,FALSE)</f>
        <v>0.147867950481431</v>
      </c>
      <c r="F76">
        <f>VLOOKUP(B76,'Model allocations'!$A$1:$L$317,10,FALSE)</f>
        <v>180315.777610786</v>
      </c>
      <c r="G76" s="30">
        <f t="shared" si="26"/>
        <v>0.85</v>
      </c>
      <c r="H76">
        <f t="shared" si="27"/>
        <v>165922.75274535536</v>
      </c>
      <c r="I76">
        <f t="shared" si="19"/>
        <v>0</v>
      </c>
      <c r="J76">
        <f t="shared" si="20"/>
        <v>180315.777610786</v>
      </c>
      <c r="K76">
        <f t="shared" si="21"/>
        <v>180212.3933157245</v>
      </c>
      <c r="L76">
        <f t="shared" si="28"/>
        <v>180212.3933157245</v>
      </c>
      <c r="M76">
        <f t="shared" si="22"/>
        <v>0</v>
      </c>
      <c r="N76" s="29">
        <f t="shared" si="29"/>
        <v>180212.3933157245</v>
      </c>
      <c r="O76" s="29">
        <f t="shared" si="23"/>
        <v>180199.35630788092</v>
      </c>
      <c r="P76" s="29">
        <f t="shared" si="30"/>
        <v>180199.35630788092</v>
      </c>
      <c r="Q76">
        <f t="shared" si="31"/>
        <v>0</v>
      </c>
      <c r="R76" s="29">
        <f t="shared" si="32"/>
        <v>180199.35630788092</v>
      </c>
      <c r="S76" s="29">
        <f t="shared" si="24"/>
        <v>180199.35630788104</v>
      </c>
      <c r="T76" s="29">
        <f t="shared" si="33"/>
        <v>180199.35630788104</v>
      </c>
      <c r="U76">
        <f t="shared" si="34"/>
        <v>0</v>
      </c>
      <c r="V76" s="29">
        <f t="shared" si="35"/>
        <v>180199.35630788104</v>
      </c>
      <c r="W76" s="29">
        <f t="shared" si="25"/>
        <v>180199.35630788107</v>
      </c>
      <c r="X76" s="29">
        <f t="shared" si="36"/>
        <v>180199.35630788107</v>
      </c>
      <c r="Y76">
        <f t="shared" si="37"/>
        <v>0</v>
      </c>
    </row>
    <row r="77" spans="1:25" x14ac:dyDescent="0.25">
      <c r="A77" s="4" t="s">
        <v>804</v>
      </c>
      <c r="B77" s="7" t="s">
        <v>394</v>
      </c>
      <c r="C77" s="2" t="s">
        <v>805</v>
      </c>
      <c r="D77">
        <f>VLOOKUP(B77,'Model allocations'!$A$1:$L$317,5,FALSE)</f>
        <v>18432.836413721761</v>
      </c>
      <c r="E77" s="31">
        <f>VLOOKUP(B77,'Initial adjusted formula count'!$A$1:$P$317,12,FALSE)</f>
        <v>0.130769230769231</v>
      </c>
      <c r="F77">
        <f>VLOOKUP(B77,'Model allocations'!$A$1:$L$317,10,FALSE)</f>
        <v>15667.910951663496</v>
      </c>
      <c r="G77" s="30">
        <f t="shared" si="26"/>
        <v>0.85</v>
      </c>
      <c r="H77">
        <f t="shared" si="27"/>
        <v>15667.910951663496</v>
      </c>
      <c r="I77">
        <f t="shared" si="19"/>
        <v>0</v>
      </c>
      <c r="J77">
        <f t="shared" si="20"/>
        <v>15667.910951663496</v>
      </c>
      <c r="K77">
        <f t="shared" si="21"/>
        <v>15658.927733720582</v>
      </c>
      <c r="L77">
        <f t="shared" si="28"/>
        <v>15658.927733720582</v>
      </c>
      <c r="M77">
        <f t="shared" si="22"/>
        <v>15667.910951663496</v>
      </c>
      <c r="N77" s="29">
        <f t="shared" si="29"/>
        <v>0</v>
      </c>
      <c r="O77" s="29">
        <f t="shared" si="23"/>
        <v>0</v>
      </c>
      <c r="P77" s="29">
        <f t="shared" si="30"/>
        <v>15667.910951663496</v>
      </c>
      <c r="Q77">
        <f t="shared" si="31"/>
        <v>0</v>
      </c>
      <c r="R77" s="29">
        <f t="shared" si="32"/>
        <v>0</v>
      </c>
      <c r="S77" s="29">
        <f t="shared" si="24"/>
        <v>0</v>
      </c>
      <c r="T77" s="29">
        <f t="shared" si="33"/>
        <v>15667.910951663496</v>
      </c>
      <c r="U77">
        <f t="shared" si="34"/>
        <v>0</v>
      </c>
      <c r="V77" s="29">
        <f t="shared" si="35"/>
        <v>0</v>
      </c>
      <c r="W77" s="29">
        <f t="shared" si="25"/>
        <v>0</v>
      </c>
      <c r="X77" s="29">
        <f t="shared" si="36"/>
        <v>15667.910951663496</v>
      </c>
      <c r="Y77">
        <f t="shared" si="37"/>
        <v>0</v>
      </c>
    </row>
    <row r="78" spans="1:25" x14ac:dyDescent="0.25">
      <c r="A78" s="4" t="s">
        <v>806</v>
      </c>
      <c r="B78" s="7" t="s">
        <v>125</v>
      </c>
      <c r="C78" s="2" t="s">
        <v>807</v>
      </c>
      <c r="D78">
        <f>VLOOKUP(B78,'Model allocations'!$A$1:$L$317,5,FALSE)</f>
        <v>1325017.5683421309</v>
      </c>
      <c r="E78" s="31">
        <f>VLOOKUP(B78,'Initial adjusted formula count'!$A$1:$P$317,12,FALSE)</f>
        <v>0.106415389972145</v>
      </c>
      <c r="F78">
        <f>VLOOKUP(B78,'Model allocations'!$A$1:$L$317,10,FALSE)</f>
        <v>1431413.7369172513</v>
      </c>
      <c r="G78" s="30">
        <f t="shared" si="26"/>
        <v>0.85</v>
      </c>
      <c r="H78">
        <f t="shared" si="27"/>
        <v>1126264.9330908111</v>
      </c>
      <c r="I78">
        <f t="shared" si="19"/>
        <v>0</v>
      </c>
      <c r="J78">
        <f t="shared" si="20"/>
        <v>1431413.7369172513</v>
      </c>
      <c r="K78">
        <f t="shared" si="21"/>
        <v>1430593.0339144783</v>
      </c>
      <c r="L78">
        <f t="shared" si="28"/>
        <v>1430593.0339144783</v>
      </c>
      <c r="M78">
        <f t="shared" si="22"/>
        <v>0</v>
      </c>
      <c r="N78" s="29">
        <f t="shared" si="29"/>
        <v>1430593.0339144783</v>
      </c>
      <c r="O78" s="29">
        <f t="shared" si="23"/>
        <v>1430489.5412952362</v>
      </c>
      <c r="P78" s="29">
        <f t="shared" si="30"/>
        <v>1430489.5412952362</v>
      </c>
      <c r="Q78">
        <f t="shared" si="31"/>
        <v>0</v>
      </c>
      <c r="R78" s="29">
        <f t="shared" si="32"/>
        <v>1430489.5412952362</v>
      </c>
      <c r="S78" s="29">
        <f t="shared" si="24"/>
        <v>1430489.5412952369</v>
      </c>
      <c r="T78" s="29">
        <f t="shared" si="33"/>
        <v>1430489.5412952369</v>
      </c>
      <c r="U78">
        <f t="shared" si="34"/>
        <v>0</v>
      </c>
      <c r="V78" s="29">
        <f t="shared" si="35"/>
        <v>1430489.5412952369</v>
      </c>
      <c r="W78" s="29">
        <f t="shared" si="25"/>
        <v>1430489.5412952371</v>
      </c>
      <c r="X78" s="29">
        <f t="shared" si="36"/>
        <v>1430489.5412952371</v>
      </c>
      <c r="Y78">
        <f t="shared" si="37"/>
        <v>0</v>
      </c>
    </row>
    <row r="79" spans="1:25" x14ac:dyDescent="0.25">
      <c r="A79" s="4" t="s">
        <v>808</v>
      </c>
      <c r="B79" s="7" t="s">
        <v>276</v>
      </c>
      <c r="C79" s="2" t="s">
        <v>809</v>
      </c>
      <c r="D79">
        <f>VLOOKUP(B79,'Model allocations'!$A$1:$L$317,5,FALSE)</f>
        <v>1571130.4758956628</v>
      </c>
      <c r="E79" s="31">
        <f>VLOOKUP(B79,'Initial adjusted formula count'!$A$1:$P$317,12,FALSE)</f>
        <v>9.8521250046560094E-2</v>
      </c>
      <c r="F79">
        <f>VLOOKUP(B79,'Model allocations'!$A$1:$L$317,10,FALSE)</f>
        <v>1599149.3439970519</v>
      </c>
      <c r="G79" s="30">
        <f t="shared" si="26"/>
        <v>0.85</v>
      </c>
      <c r="H79">
        <f t="shared" si="27"/>
        <v>1335460.9045113134</v>
      </c>
      <c r="I79">
        <f t="shared" si="19"/>
        <v>0</v>
      </c>
      <c r="J79">
        <f t="shared" si="20"/>
        <v>1599149.3439970519</v>
      </c>
      <c r="K79">
        <f t="shared" si="21"/>
        <v>1598232.4695570124</v>
      </c>
      <c r="L79">
        <f t="shared" si="28"/>
        <v>1598232.4695570124</v>
      </c>
      <c r="M79">
        <f t="shared" si="22"/>
        <v>0</v>
      </c>
      <c r="N79" s="29">
        <f t="shared" si="29"/>
        <v>1598232.4695570124</v>
      </c>
      <c r="O79" s="29">
        <f t="shared" si="23"/>
        <v>1598116.8494886137</v>
      </c>
      <c r="P79" s="29">
        <f t="shared" si="30"/>
        <v>1598116.8494886137</v>
      </c>
      <c r="Q79">
        <f t="shared" si="31"/>
        <v>0</v>
      </c>
      <c r="R79" s="29">
        <f t="shared" si="32"/>
        <v>1598116.8494886137</v>
      </c>
      <c r="S79" s="29">
        <f t="shared" si="24"/>
        <v>1598116.8494886146</v>
      </c>
      <c r="T79" s="29">
        <f t="shared" si="33"/>
        <v>1598116.8494886146</v>
      </c>
      <c r="U79">
        <f t="shared" si="34"/>
        <v>0</v>
      </c>
      <c r="V79" s="29">
        <f t="shared" si="35"/>
        <v>1598116.8494886146</v>
      </c>
      <c r="W79" s="29">
        <f t="shared" si="25"/>
        <v>1598116.8494886148</v>
      </c>
      <c r="X79" s="29">
        <f t="shared" si="36"/>
        <v>1598116.8494886148</v>
      </c>
      <c r="Y79">
        <f t="shared" si="37"/>
        <v>0</v>
      </c>
    </row>
    <row r="80" spans="1:25" x14ac:dyDescent="0.25">
      <c r="A80" s="4" t="s">
        <v>810</v>
      </c>
      <c r="B80" s="7" t="s">
        <v>396</v>
      </c>
      <c r="C80" s="2" t="s">
        <v>811</v>
      </c>
      <c r="D80">
        <f>VLOOKUP(B80,'Model allocations'!$A$1:$L$317,5,FALSE)</f>
        <v>10424.757619893451</v>
      </c>
      <c r="E80" s="31">
        <f>VLOOKUP(B80,'Initial adjusted formula count'!$A$1:$P$317,12,FALSE)</f>
        <v>0.31578947368421001</v>
      </c>
      <c r="F80">
        <f>VLOOKUP(B80,'Model allocations'!$A$1:$L$317,10,FALSE)</f>
        <v>12368.037405406334</v>
      </c>
      <c r="G80" s="30">
        <f t="shared" si="26"/>
        <v>0.95</v>
      </c>
      <c r="H80">
        <f t="shared" si="27"/>
        <v>9903.5197388987781</v>
      </c>
      <c r="I80">
        <f t="shared" si="19"/>
        <v>0</v>
      </c>
      <c r="J80">
        <f t="shared" si="20"/>
        <v>12368.037405406334</v>
      </c>
      <c r="K80">
        <f t="shared" si="21"/>
        <v>12360.946174425915</v>
      </c>
      <c r="L80">
        <f t="shared" si="28"/>
        <v>12360.946174425915</v>
      </c>
      <c r="M80">
        <f t="shared" si="22"/>
        <v>0</v>
      </c>
      <c r="N80" s="29">
        <f t="shared" si="29"/>
        <v>12360.946174425915</v>
      </c>
      <c r="O80" s="29">
        <f t="shared" si="23"/>
        <v>12360.051953172508</v>
      </c>
      <c r="P80" s="29">
        <f t="shared" si="30"/>
        <v>12360.051953172508</v>
      </c>
      <c r="Q80">
        <f t="shared" si="31"/>
        <v>0</v>
      </c>
      <c r="R80" s="29">
        <f t="shared" si="32"/>
        <v>12360.051953172508</v>
      </c>
      <c r="S80" s="29">
        <f t="shared" si="24"/>
        <v>12360.051953172513</v>
      </c>
      <c r="T80" s="29">
        <f t="shared" si="33"/>
        <v>12360.051953172513</v>
      </c>
      <c r="U80">
        <f t="shared" si="34"/>
        <v>0</v>
      </c>
      <c r="V80" s="29">
        <f t="shared" si="35"/>
        <v>12360.051953172513</v>
      </c>
      <c r="W80" s="29">
        <f t="shared" si="25"/>
        <v>12360.051953172513</v>
      </c>
      <c r="X80" s="29">
        <f t="shared" si="36"/>
        <v>12360.051953172513</v>
      </c>
      <c r="Y80">
        <f t="shared" si="37"/>
        <v>0</v>
      </c>
    </row>
    <row r="81" spans="1:25" x14ac:dyDescent="0.25">
      <c r="A81" s="4" t="s">
        <v>812</v>
      </c>
      <c r="B81" s="7" t="s">
        <v>398</v>
      </c>
      <c r="C81" s="2" t="s">
        <v>813</v>
      </c>
      <c r="D81">
        <f>VLOOKUP(B81,'Model allocations'!$A$1:$L$317,5,FALSE)</f>
        <v>2893061.3438922218</v>
      </c>
      <c r="E81" s="31">
        <f>VLOOKUP(B81,'Initial adjusted formula count'!$A$1:$P$317,12,FALSE)</f>
        <v>0.17547778605112899</v>
      </c>
      <c r="F81">
        <f>VLOOKUP(B81,'Model allocations'!$A$1:$L$317,10,FALSE)</f>
        <v>2938518.1665292634</v>
      </c>
      <c r="G81" s="30">
        <f t="shared" si="26"/>
        <v>0.9</v>
      </c>
      <c r="H81">
        <f t="shared" si="27"/>
        <v>2603755.2095029997</v>
      </c>
      <c r="I81">
        <f t="shared" si="19"/>
        <v>0</v>
      </c>
      <c r="J81">
        <f t="shared" si="20"/>
        <v>2938518.1665292634</v>
      </c>
      <c r="K81">
        <f t="shared" si="21"/>
        <v>2936833.3631626512</v>
      </c>
      <c r="L81">
        <f t="shared" si="28"/>
        <v>2936833.3631626512</v>
      </c>
      <c r="M81">
        <f t="shared" si="22"/>
        <v>0</v>
      </c>
      <c r="N81" s="29">
        <f t="shared" si="29"/>
        <v>2936833.3631626512</v>
      </c>
      <c r="O81" s="29">
        <f t="shared" si="23"/>
        <v>2936620.905412735</v>
      </c>
      <c r="P81" s="29">
        <f t="shared" si="30"/>
        <v>2936620.905412735</v>
      </c>
      <c r="Q81">
        <f t="shared" si="31"/>
        <v>0</v>
      </c>
      <c r="R81" s="29">
        <f t="shared" si="32"/>
        <v>2936620.905412735</v>
      </c>
      <c r="S81" s="29">
        <f t="shared" si="24"/>
        <v>2936620.9054127363</v>
      </c>
      <c r="T81" s="29">
        <f t="shared" si="33"/>
        <v>2936620.9054127363</v>
      </c>
      <c r="U81">
        <f t="shared" si="34"/>
        <v>0</v>
      </c>
      <c r="V81" s="29">
        <f t="shared" si="35"/>
        <v>2936620.9054127363</v>
      </c>
      <c r="W81" s="29">
        <f t="shared" si="25"/>
        <v>2936620.9054127363</v>
      </c>
      <c r="X81" s="29">
        <f t="shared" si="36"/>
        <v>2936620.9054127363</v>
      </c>
      <c r="Y81">
        <f t="shared" si="37"/>
        <v>0</v>
      </c>
    </row>
    <row r="82" spans="1:25" x14ac:dyDescent="0.25">
      <c r="A82" s="4" t="s">
        <v>814</v>
      </c>
      <c r="B82" s="7" t="s">
        <v>127</v>
      </c>
      <c r="C82" s="2" t="s">
        <v>815</v>
      </c>
      <c r="D82">
        <f>VLOOKUP(B82,'Model allocations'!$A$1:$L$317,5,FALSE)</f>
        <v>400912.75489490537</v>
      </c>
      <c r="E82" s="31">
        <f>VLOOKUP(B82,'Initial adjusted formula count'!$A$1:$P$317,12,FALSE)</f>
        <v>0.12687893971229999</v>
      </c>
      <c r="F82">
        <f>VLOOKUP(B82,'Model allocations'!$A$1:$L$317,10,FALSE)</f>
        <v>348890.06272598583</v>
      </c>
      <c r="G82" s="30">
        <f t="shared" si="26"/>
        <v>0.85</v>
      </c>
      <c r="H82">
        <f t="shared" si="27"/>
        <v>340775.84166066954</v>
      </c>
      <c r="I82">
        <f t="shared" si="19"/>
        <v>0</v>
      </c>
      <c r="J82">
        <f t="shared" si="20"/>
        <v>348890.06272598583</v>
      </c>
      <c r="K82">
        <f t="shared" si="21"/>
        <v>348690.02613647154</v>
      </c>
      <c r="L82">
        <f t="shared" si="28"/>
        <v>348690.02613647154</v>
      </c>
      <c r="M82">
        <f t="shared" si="22"/>
        <v>0</v>
      </c>
      <c r="N82" s="29">
        <f t="shared" si="29"/>
        <v>348690.02613647154</v>
      </c>
      <c r="O82" s="29">
        <f t="shared" si="23"/>
        <v>348664.80104222533</v>
      </c>
      <c r="P82" s="29">
        <f t="shared" si="30"/>
        <v>348664.80104222533</v>
      </c>
      <c r="Q82">
        <f t="shared" si="31"/>
        <v>0</v>
      </c>
      <c r="R82" s="29">
        <f t="shared" si="32"/>
        <v>348664.80104222533</v>
      </c>
      <c r="S82" s="29">
        <f t="shared" si="24"/>
        <v>348664.8010422255</v>
      </c>
      <c r="T82" s="29">
        <f t="shared" si="33"/>
        <v>348664.8010422255</v>
      </c>
      <c r="U82">
        <f t="shared" si="34"/>
        <v>0</v>
      </c>
      <c r="V82" s="29">
        <f t="shared" si="35"/>
        <v>348664.8010422255</v>
      </c>
      <c r="W82" s="29">
        <f t="shared" si="25"/>
        <v>348664.80104222556</v>
      </c>
      <c r="X82" s="29">
        <f t="shared" si="36"/>
        <v>348664.80104222556</v>
      </c>
      <c r="Y82">
        <f t="shared" si="37"/>
        <v>0</v>
      </c>
    </row>
    <row r="83" spans="1:25" x14ac:dyDescent="0.25">
      <c r="A83" s="4" t="s">
        <v>816</v>
      </c>
      <c r="B83" s="7" t="s">
        <v>129</v>
      </c>
      <c r="C83" s="2" t="s">
        <v>817</v>
      </c>
      <c r="D83">
        <f>VLOOKUP(B83,'Model allocations'!$A$1:$L$317,5,FALSE)</f>
        <v>150219.41681779089</v>
      </c>
      <c r="E83" s="31">
        <f>VLOOKUP(B83,'Initial adjusted formula count'!$A$1:$P$317,12,FALSE)</f>
        <v>9.7215437225207604E-2</v>
      </c>
      <c r="F83">
        <f>VLOOKUP(B83,'Model allocations'!$A$1:$L$317,10,FALSE)</f>
        <v>166896.92904440194</v>
      </c>
      <c r="G83" s="30">
        <f t="shared" si="26"/>
        <v>0.85</v>
      </c>
      <c r="H83">
        <f t="shared" si="27"/>
        <v>127686.50429512226</v>
      </c>
      <c r="I83">
        <f t="shared" si="19"/>
        <v>0</v>
      </c>
      <c r="J83">
        <f t="shared" si="20"/>
        <v>166896.92904440194</v>
      </c>
      <c r="K83">
        <f t="shared" si="21"/>
        <v>166801.23846432177</v>
      </c>
      <c r="L83">
        <f t="shared" si="28"/>
        <v>166801.23846432177</v>
      </c>
      <c r="M83">
        <f t="shared" si="22"/>
        <v>0</v>
      </c>
      <c r="N83" s="29">
        <f t="shared" si="29"/>
        <v>166801.23846432177</v>
      </c>
      <c r="O83" s="29">
        <f t="shared" si="23"/>
        <v>166789.17165241073</v>
      </c>
      <c r="P83" s="29">
        <f t="shared" si="30"/>
        <v>166789.17165241073</v>
      </c>
      <c r="Q83">
        <f t="shared" si="31"/>
        <v>0</v>
      </c>
      <c r="R83" s="29">
        <f t="shared" si="32"/>
        <v>166789.17165241073</v>
      </c>
      <c r="S83" s="29">
        <f t="shared" si="24"/>
        <v>166789.17165241082</v>
      </c>
      <c r="T83" s="29">
        <f t="shared" si="33"/>
        <v>166789.17165241082</v>
      </c>
      <c r="U83">
        <f t="shared" si="34"/>
        <v>0</v>
      </c>
      <c r="V83" s="29">
        <f t="shared" si="35"/>
        <v>166789.17165241082</v>
      </c>
      <c r="W83" s="29">
        <f t="shared" si="25"/>
        <v>166789.17165241082</v>
      </c>
      <c r="X83" s="29">
        <f t="shared" si="36"/>
        <v>166789.17165241082</v>
      </c>
      <c r="Y83">
        <f t="shared" si="37"/>
        <v>0</v>
      </c>
    </row>
    <row r="84" spans="1:25" x14ac:dyDescent="0.25">
      <c r="A84" s="4" t="s">
        <v>818</v>
      </c>
      <c r="B84" s="7" t="s">
        <v>400</v>
      </c>
      <c r="C84" s="2" t="s">
        <v>819</v>
      </c>
      <c r="D84">
        <f>VLOOKUP(B84,'Model allocations'!$A$1:$L$317,5,FALSE)</f>
        <v>55362.458950249391</v>
      </c>
      <c r="E84" s="31">
        <f>VLOOKUP(B84,'Initial adjusted formula count'!$A$1:$P$317,12,FALSE)</f>
        <v>0.13369565217391299</v>
      </c>
      <c r="F84">
        <f>VLOOKUP(B84,'Model allocations'!$A$1:$L$317,10,FALSE)</f>
        <v>51578.69917703879</v>
      </c>
      <c r="G84" s="30">
        <f t="shared" si="26"/>
        <v>0.85</v>
      </c>
      <c r="H84">
        <f t="shared" si="27"/>
        <v>47058.090107711978</v>
      </c>
      <c r="I84">
        <f t="shared" si="19"/>
        <v>0</v>
      </c>
      <c r="J84">
        <f t="shared" si="20"/>
        <v>51578.69917703879</v>
      </c>
      <c r="K84">
        <f t="shared" si="21"/>
        <v>51549.126460079344</v>
      </c>
      <c r="L84">
        <f t="shared" si="28"/>
        <v>51549.126460079344</v>
      </c>
      <c r="M84">
        <f t="shared" si="22"/>
        <v>0</v>
      </c>
      <c r="N84" s="29">
        <f t="shared" si="29"/>
        <v>51549.126460079344</v>
      </c>
      <c r="O84" s="29">
        <f t="shared" si="23"/>
        <v>51545.397269463618</v>
      </c>
      <c r="P84" s="29">
        <f t="shared" si="30"/>
        <v>51545.397269463618</v>
      </c>
      <c r="Q84">
        <f t="shared" si="31"/>
        <v>0</v>
      </c>
      <c r="R84" s="29">
        <f t="shared" si="32"/>
        <v>51545.397269463618</v>
      </c>
      <c r="S84" s="29">
        <f t="shared" si="24"/>
        <v>51545.397269463647</v>
      </c>
      <c r="T84" s="29">
        <f t="shared" si="33"/>
        <v>51545.397269463647</v>
      </c>
      <c r="U84">
        <f t="shared" si="34"/>
        <v>0</v>
      </c>
      <c r="V84" s="29">
        <f t="shared" si="35"/>
        <v>51545.397269463647</v>
      </c>
      <c r="W84" s="29">
        <f t="shared" si="25"/>
        <v>51545.397269463654</v>
      </c>
      <c r="X84" s="29">
        <f t="shared" si="36"/>
        <v>51545.397269463654</v>
      </c>
      <c r="Y84">
        <f t="shared" si="37"/>
        <v>0</v>
      </c>
    </row>
    <row r="85" spans="1:25" x14ac:dyDescent="0.25">
      <c r="A85" s="4" t="s">
        <v>820</v>
      </c>
      <c r="B85" s="7" t="s">
        <v>402</v>
      </c>
      <c r="C85" s="2" t="s">
        <v>821</v>
      </c>
      <c r="D85">
        <f>VLOOKUP(B85,'Model allocations'!$A$1:$L$317,5,FALSE)</f>
        <v>634419.81102636911</v>
      </c>
      <c r="E85" s="31">
        <f>VLOOKUP(B85,'Initial adjusted formula count'!$A$1:$P$317,12,FALSE)</f>
        <v>0.15117773019271999</v>
      </c>
      <c r="F85">
        <f>VLOOKUP(B85,'Model allocations'!$A$1:$L$317,10,FALSE)</f>
        <v>743278.40887236793</v>
      </c>
      <c r="G85" s="30">
        <f t="shared" si="26"/>
        <v>0.9</v>
      </c>
      <c r="H85">
        <f t="shared" si="27"/>
        <v>570977.82992373221</v>
      </c>
      <c r="I85">
        <f t="shared" si="19"/>
        <v>0</v>
      </c>
      <c r="J85">
        <f t="shared" si="20"/>
        <v>743278.40887236793</v>
      </c>
      <c r="K85">
        <f t="shared" si="21"/>
        <v>742852.2491909808</v>
      </c>
      <c r="L85">
        <f t="shared" si="28"/>
        <v>742852.2491909808</v>
      </c>
      <c r="M85">
        <f t="shared" si="22"/>
        <v>0</v>
      </c>
      <c r="N85" s="29">
        <f t="shared" si="29"/>
        <v>742852.2491909808</v>
      </c>
      <c r="O85" s="29">
        <f t="shared" si="23"/>
        <v>742798.50943190465</v>
      </c>
      <c r="P85" s="29">
        <f t="shared" si="30"/>
        <v>742798.50943190465</v>
      </c>
      <c r="Q85">
        <f t="shared" si="31"/>
        <v>0</v>
      </c>
      <c r="R85" s="29">
        <f t="shared" si="32"/>
        <v>742798.50943190465</v>
      </c>
      <c r="S85" s="29">
        <f t="shared" si="24"/>
        <v>742798.50943190511</v>
      </c>
      <c r="T85" s="29">
        <f t="shared" si="33"/>
        <v>742798.50943190511</v>
      </c>
      <c r="U85">
        <f t="shared" si="34"/>
        <v>0</v>
      </c>
      <c r="V85" s="29">
        <f t="shared" si="35"/>
        <v>742798.50943190511</v>
      </c>
      <c r="W85" s="29">
        <f t="shared" si="25"/>
        <v>742798.50943190523</v>
      </c>
      <c r="X85" s="29">
        <f t="shared" si="36"/>
        <v>742798.50943190523</v>
      </c>
      <c r="Y85">
        <f t="shared" si="37"/>
        <v>0</v>
      </c>
    </row>
    <row r="86" spans="1:25" x14ac:dyDescent="0.25">
      <c r="A86" s="4" t="s">
        <v>822</v>
      </c>
      <c r="B86" s="7" t="s">
        <v>131</v>
      </c>
      <c r="C86" s="2" t="s">
        <v>823</v>
      </c>
      <c r="D86">
        <f>VLOOKUP(B86,'Model allocations'!$A$1:$L$317,5,FALSE)</f>
        <v>20578.002303806978</v>
      </c>
      <c r="E86" s="31">
        <f>VLOOKUP(B86,'Initial adjusted formula count'!$A$1:$P$317,12,FALSE)</f>
        <v>3.5964035964036002E-2</v>
      </c>
      <c r="F86">
        <f>VLOOKUP(B86,'Model allocations'!$A$1:$L$317,10,FALSE)</f>
        <v>0</v>
      </c>
      <c r="G86" s="30">
        <f t="shared" si="26"/>
        <v>0.85</v>
      </c>
      <c r="H86">
        <f t="shared" si="27"/>
        <v>0</v>
      </c>
      <c r="I86">
        <f t="shared" si="19"/>
        <v>0</v>
      </c>
      <c r="J86">
        <f t="shared" si="20"/>
        <v>0</v>
      </c>
      <c r="K86">
        <f t="shared" si="21"/>
        <v>0</v>
      </c>
      <c r="L86">
        <f t="shared" si="28"/>
        <v>0</v>
      </c>
      <c r="M86">
        <f t="shared" si="22"/>
        <v>0</v>
      </c>
      <c r="N86" s="29">
        <f t="shared" si="29"/>
        <v>0</v>
      </c>
      <c r="O86" s="29">
        <f t="shared" si="23"/>
        <v>0</v>
      </c>
      <c r="P86" s="29">
        <f t="shared" si="30"/>
        <v>0</v>
      </c>
      <c r="Q86">
        <f t="shared" si="31"/>
        <v>0</v>
      </c>
      <c r="R86" s="29">
        <f t="shared" si="32"/>
        <v>0</v>
      </c>
      <c r="S86" s="29">
        <f t="shared" si="24"/>
        <v>0</v>
      </c>
      <c r="T86" s="29">
        <f t="shared" si="33"/>
        <v>0</v>
      </c>
      <c r="U86">
        <f t="shared" si="34"/>
        <v>0</v>
      </c>
      <c r="V86" s="29">
        <f t="shared" si="35"/>
        <v>0</v>
      </c>
      <c r="W86" s="29">
        <f t="shared" si="25"/>
        <v>0</v>
      </c>
      <c r="X86" s="29">
        <f t="shared" si="36"/>
        <v>0</v>
      </c>
      <c r="Y86">
        <f t="shared" si="37"/>
        <v>0</v>
      </c>
    </row>
    <row r="87" spans="1:25" x14ac:dyDescent="0.25">
      <c r="A87" s="4" t="s">
        <v>824</v>
      </c>
      <c r="B87" s="7" t="s">
        <v>404</v>
      </c>
      <c r="C87" s="2" t="s">
        <v>825</v>
      </c>
      <c r="D87">
        <f>VLOOKUP(B87,'Model allocations'!$A$1:$L$317,5,FALSE)</f>
        <v>21236.61155654148</v>
      </c>
      <c r="E87" s="31">
        <f>VLOOKUP(B87,'Initial adjusted formula count'!$A$1:$P$317,12,FALSE)</f>
        <v>0.25</v>
      </c>
      <c r="F87">
        <f>VLOOKUP(B87,'Model allocations'!$A$1:$L$317,10,FALSE)</f>
        <v>19112.950400887334</v>
      </c>
      <c r="G87" s="30">
        <f t="shared" si="26"/>
        <v>0.9</v>
      </c>
      <c r="H87">
        <f t="shared" si="27"/>
        <v>19112.950400887334</v>
      </c>
      <c r="I87">
        <f t="shared" si="19"/>
        <v>0</v>
      </c>
      <c r="J87">
        <f t="shared" si="20"/>
        <v>19112.950400887334</v>
      </c>
      <c r="K87">
        <f t="shared" si="21"/>
        <v>19101.991964915047</v>
      </c>
      <c r="L87">
        <f t="shared" si="28"/>
        <v>19101.991964915047</v>
      </c>
      <c r="M87">
        <f t="shared" si="22"/>
        <v>19112.950400887334</v>
      </c>
      <c r="N87" s="29">
        <f t="shared" si="29"/>
        <v>0</v>
      </c>
      <c r="O87" s="29">
        <f t="shared" si="23"/>
        <v>0</v>
      </c>
      <c r="P87" s="29">
        <f t="shared" si="30"/>
        <v>19112.950400887334</v>
      </c>
      <c r="Q87">
        <f t="shared" si="31"/>
        <v>0</v>
      </c>
      <c r="R87" s="29">
        <f t="shared" si="32"/>
        <v>0</v>
      </c>
      <c r="S87" s="29">
        <f t="shared" si="24"/>
        <v>0</v>
      </c>
      <c r="T87" s="29">
        <f t="shared" si="33"/>
        <v>19112.950400887334</v>
      </c>
      <c r="U87">
        <f t="shared" si="34"/>
        <v>0</v>
      </c>
      <c r="V87" s="29">
        <f t="shared" si="35"/>
        <v>0</v>
      </c>
      <c r="W87" s="29">
        <f t="shared" si="25"/>
        <v>0</v>
      </c>
      <c r="X87" s="29">
        <f t="shared" si="36"/>
        <v>19112.950400887334</v>
      </c>
      <c r="Y87">
        <f t="shared" si="37"/>
        <v>0</v>
      </c>
    </row>
    <row r="88" spans="1:25" x14ac:dyDescent="0.25">
      <c r="A88" s="4" t="s">
        <v>826</v>
      </c>
      <c r="B88" s="7" t="s">
        <v>133</v>
      </c>
      <c r="C88" s="2" t="s">
        <v>827</v>
      </c>
      <c r="D88">
        <f>VLOOKUP(B88,'Model allocations'!$A$1:$L$317,5,FALSE)</f>
        <v>7943.5333803979074</v>
      </c>
      <c r="E88" s="31">
        <f>VLOOKUP(B88,'Initial adjusted formula count'!$A$1:$P$317,12,FALSE)</f>
        <v>0.16129032258064499</v>
      </c>
      <c r="F88">
        <f>VLOOKUP(B88,'Model allocations'!$A$1:$L$317,10,FALSE)</f>
        <v>7149.1800423581171</v>
      </c>
      <c r="G88" s="30">
        <f t="shared" si="26"/>
        <v>0.9</v>
      </c>
      <c r="H88">
        <f t="shared" si="27"/>
        <v>7149.1800423581171</v>
      </c>
      <c r="I88">
        <f t="shared" si="19"/>
        <v>0</v>
      </c>
      <c r="J88">
        <f t="shared" si="20"/>
        <v>7149.1800423581171</v>
      </c>
      <c r="K88">
        <f t="shared" si="21"/>
        <v>7145.0810503079474</v>
      </c>
      <c r="L88">
        <f t="shared" si="28"/>
        <v>7145.0810503079474</v>
      </c>
      <c r="M88">
        <f t="shared" si="22"/>
        <v>7149.1800423581171</v>
      </c>
      <c r="N88" s="29">
        <f t="shared" si="29"/>
        <v>0</v>
      </c>
      <c r="O88" s="29">
        <f t="shared" si="23"/>
        <v>0</v>
      </c>
      <c r="P88" s="29">
        <f t="shared" si="30"/>
        <v>7149.1800423581171</v>
      </c>
      <c r="Q88">
        <f t="shared" si="31"/>
        <v>0</v>
      </c>
      <c r="R88" s="29">
        <f t="shared" si="32"/>
        <v>0</v>
      </c>
      <c r="S88" s="29">
        <f t="shared" si="24"/>
        <v>0</v>
      </c>
      <c r="T88" s="29">
        <f t="shared" si="33"/>
        <v>7149.1800423581171</v>
      </c>
      <c r="U88">
        <f t="shared" si="34"/>
        <v>0</v>
      </c>
      <c r="V88" s="29">
        <f t="shared" si="35"/>
        <v>0</v>
      </c>
      <c r="W88" s="29">
        <f t="shared" si="25"/>
        <v>0</v>
      </c>
      <c r="X88" s="29">
        <f t="shared" si="36"/>
        <v>7149.1800423581171</v>
      </c>
      <c r="Y88">
        <f t="shared" si="37"/>
        <v>0</v>
      </c>
    </row>
    <row r="89" spans="1:25" x14ac:dyDescent="0.25">
      <c r="A89" s="4" t="s">
        <v>828</v>
      </c>
      <c r="B89" s="7" t="s">
        <v>406</v>
      </c>
      <c r="C89" s="2" t="s">
        <v>829</v>
      </c>
      <c r="D89">
        <f>VLOOKUP(B89,'Model allocations'!$A$1:$L$317,5,FALSE)</f>
        <v>113302.23013886208</v>
      </c>
      <c r="E89" s="31">
        <f>VLOOKUP(B89,'Initial adjusted formula count'!$A$1:$P$317,12,FALSE)</f>
        <v>0.151627906976744</v>
      </c>
      <c r="F89">
        <f>VLOOKUP(B89,'Model allocations'!$A$1:$L$317,10,FALSE)</f>
        <v>101972.00712497588</v>
      </c>
      <c r="G89" s="30">
        <f t="shared" si="26"/>
        <v>0.9</v>
      </c>
      <c r="H89">
        <f t="shared" si="27"/>
        <v>101972.00712497588</v>
      </c>
      <c r="I89">
        <f t="shared" si="19"/>
        <v>0</v>
      </c>
      <c r="J89">
        <f t="shared" si="20"/>
        <v>101972.00712497588</v>
      </c>
      <c r="K89">
        <f t="shared" si="21"/>
        <v>101913.54133672203</v>
      </c>
      <c r="L89">
        <f t="shared" si="28"/>
        <v>101913.54133672203</v>
      </c>
      <c r="M89">
        <f t="shared" si="22"/>
        <v>101972.00712497588</v>
      </c>
      <c r="N89" s="29">
        <f t="shared" si="29"/>
        <v>0</v>
      </c>
      <c r="O89" s="29">
        <f t="shared" si="23"/>
        <v>0</v>
      </c>
      <c r="P89" s="29">
        <f t="shared" si="30"/>
        <v>101972.00712497588</v>
      </c>
      <c r="Q89">
        <f t="shared" si="31"/>
        <v>0</v>
      </c>
      <c r="R89" s="29">
        <f t="shared" si="32"/>
        <v>0</v>
      </c>
      <c r="S89" s="29">
        <f t="shared" si="24"/>
        <v>0</v>
      </c>
      <c r="T89" s="29">
        <f t="shared" si="33"/>
        <v>101972.00712497588</v>
      </c>
      <c r="U89">
        <f t="shared" si="34"/>
        <v>0</v>
      </c>
      <c r="V89" s="29">
        <f t="shared" si="35"/>
        <v>0</v>
      </c>
      <c r="W89" s="29">
        <f t="shared" si="25"/>
        <v>0</v>
      </c>
      <c r="X89" s="29">
        <f t="shared" si="36"/>
        <v>101972.00712497588</v>
      </c>
      <c r="Y89">
        <f t="shared" si="37"/>
        <v>0</v>
      </c>
    </row>
    <row r="90" spans="1:25" x14ac:dyDescent="0.25">
      <c r="A90" s="4" t="s">
        <v>830</v>
      </c>
      <c r="B90" s="7" t="s">
        <v>408</v>
      </c>
      <c r="C90" s="2" t="s">
        <v>831</v>
      </c>
      <c r="D90">
        <f>VLOOKUP(B90,'Model allocations'!$A$1:$L$317,5,FALSE)</f>
        <v>48732.351761822662</v>
      </c>
      <c r="E90" s="31">
        <f>VLOOKUP(B90,'Initial adjusted formula count'!$A$1:$P$317,12,FALSE)</f>
        <v>0.16964285714285701</v>
      </c>
      <c r="F90">
        <f>VLOOKUP(B90,'Model allocations'!$A$1:$L$317,10,FALSE)</f>
        <v>50730.292476429167</v>
      </c>
      <c r="G90" s="30">
        <f t="shared" si="26"/>
        <v>0.9</v>
      </c>
      <c r="H90">
        <f t="shared" si="27"/>
        <v>43859.116585640397</v>
      </c>
      <c r="I90">
        <f t="shared" si="19"/>
        <v>0</v>
      </c>
      <c r="J90">
        <f t="shared" si="20"/>
        <v>50730.292476429167</v>
      </c>
      <c r="K90">
        <f t="shared" si="21"/>
        <v>50701.206194599414</v>
      </c>
      <c r="L90">
        <f t="shared" si="28"/>
        <v>50701.206194599414</v>
      </c>
      <c r="M90">
        <f t="shared" si="22"/>
        <v>0</v>
      </c>
      <c r="N90" s="29">
        <f t="shared" si="29"/>
        <v>50701.206194599414</v>
      </c>
      <c r="O90" s="29">
        <f t="shared" si="23"/>
        <v>50697.538344621527</v>
      </c>
      <c r="P90" s="29">
        <f t="shared" si="30"/>
        <v>50697.538344621527</v>
      </c>
      <c r="Q90">
        <f t="shared" si="31"/>
        <v>0</v>
      </c>
      <c r="R90" s="29">
        <f t="shared" si="32"/>
        <v>50697.538344621527</v>
      </c>
      <c r="S90" s="29">
        <f t="shared" si="24"/>
        <v>50697.538344621556</v>
      </c>
      <c r="T90" s="29">
        <f t="shared" si="33"/>
        <v>50697.538344621556</v>
      </c>
      <c r="U90">
        <f t="shared" si="34"/>
        <v>0</v>
      </c>
      <c r="V90" s="29">
        <f t="shared" si="35"/>
        <v>50697.538344621556</v>
      </c>
      <c r="W90" s="29">
        <f t="shared" si="25"/>
        <v>50697.538344621564</v>
      </c>
      <c r="X90" s="29">
        <f t="shared" si="36"/>
        <v>50697.538344621564</v>
      </c>
      <c r="Y90">
        <f t="shared" si="37"/>
        <v>0</v>
      </c>
    </row>
    <row r="91" spans="1:25" x14ac:dyDescent="0.25">
      <c r="A91" s="4" t="s">
        <v>832</v>
      </c>
      <c r="B91" s="7" t="s">
        <v>410</v>
      </c>
      <c r="C91" s="2" t="s">
        <v>833</v>
      </c>
      <c r="D91">
        <f>VLOOKUP(B91,'Model allocations'!$A$1:$L$317,5,FALSE)</f>
        <v>301638.86041793058</v>
      </c>
      <c r="E91" s="31">
        <f>VLOOKUP(B91,'Initial adjusted formula count'!$A$1:$P$317,12,FALSE)</f>
        <v>0.219871451526513</v>
      </c>
      <c r="F91">
        <f>VLOOKUP(B91,'Model allocations'!$A$1:$L$317,10,FALSE)</f>
        <v>419520.21408905042</v>
      </c>
      <c r="G91" s="30">
        <f t="shared" si="26"/>
        <v>0.9</v>
      </c>
      <c r="H91">
        <f t="shared" si="27"/>
        <v>271474.97437613754</v>
      </c>
      <c r="I91">
        <f t="shared" si="19"/>
        <v>0</v>
      </c>
      <c r="J91">
        <f t="shared" si="20"/>
        <v>419520.21408905042</v>
      </c>
      <c r="K91">
        <f t="shared" si="21"/>
        <v>419279.68160668906</v>
      </c>
      <c r="L91">
        <f t="shared" si="28"/>
        <v>419279.68160668906</v>
      </c>
      <c r="M91">
        <f t="shared" si="22"/>
        <v>0</v>
      </c>
      <c r="N91" s="29">
        <f t="shared" si="29"/>
        <v>419279.68160668906</v>
      </c>
      <c r="O91" s="29">
        <f t="shared" si="23"/>
        <v>419249.34988312004</v>
      </c>
      <c r="P91" s="29">
        <f t="shared" si="30"/>
        <v>419249.34988312004</v>
      </c>
      <c r="Q91">
        <f t="shared" si="31"/>
        <v>0</v>
      </c>
      <c r="R91" s="29">
        <f t="shared" si="32"/>
        <v>419249.34988312004</v>
      </c>
      <c r="S91" s="29">
        <f t="shared" si="24"/>
        <v>419249.34988312027</v>
      </c>
      <c r="T91" s="29">
        <f t="shared" si="33"/>
        <v>419249.34988312027</v>
      </c>
      <c r="U91">
        <f t="shared" si="34"/>
        <v>0</v>
      </c>
      <c r="V91" s="29">
        <f t="shared" si="35"/>
        <v>419249.34988312027</v>
      </c>
      <c r="W91" s="29">
        <f t="shared" si="25"/>
        <v>419249.34988312033</v>
      </c>
      <c r="X91" s="29">
        <f t="shared" si="36"/>
        <v>419249.34988312033</v>
      </c>
      <c r="Y91">
        <f t="shared" si="37"/>
        <v>0</v>
      </c>
    </row>
    <row r="92" spans="1:25" x14ac:dyDescent="0.25">
      <c r="A92" s="4" t="s">
        <v>834</v>
      </c>
      <c r="B92" s="7" t="s">
        <v>412</v>
      </c>
      <c r="C92" s="2" t="s">
        <v>835</v>
      </c>
      <c r="D92">
        <f>VLOOKUP(B92,'Model allocations'!$A$1:$L$317,5,FALSE)</f>
        <v>197093.95566462239</v>
      </c>
      <c r="E92" s="31">
        <f>VLOOKUP(B92,'Initial adjusted formula count'!$A$1:$P$317,12,FALSE)</f>
        <v>0.15942028985507201</v>
      </c>
      <c r="F92">
        <f>VLOOKUP(B92,'Model allocations'!$A$1:$L$317,10,FALSE)</f>
        <v>177384.56009816015</v>
      </c>
      <c r="G92" s="30">
        <f t="shared" si="26"/>
        <v>0.9</v>
      </c>
      <c r="H92">
        <f t="shared" si="27"/>
        <v>177384.56009816015</v>
      </c>
      <c r="I92">
        <f t="shared" si="19"/>
        <v>0</v>
      </c>
      <c r="J92">
        <f t="shared" si="20"/>
        <v>177384.56009816015</v>
      </c>
      <c r="K92">
        <f t="shared" si="21"/>
        <v>177282.85642062547</v>
      </c>
      <c r="L92">
        <f t="shared" si="28"/>
        <v>177282.85642062547</v>
      </c>
      <c r="M92">
        <f t="shared" si="22"/>
        <v>177384.56009816015</v>
      </c>
      <c r="N92" s="29">
        <f t="shared" si="29"/>
        <v>0</v>
      </c>
      <c r="O92" s="29">
        <f t="shared" si="23"/>
        <v>0</v>
      </c>
      <c r="P92" s="29">
        <f t="shared" si="30"/>
        <v>177384.56009816015</v>
      </c>
      <c r="Q92">
        <f t="shared" si="31"/>
        <v>0</v>
      </c>
      <c r="R92" s="29">
        <f t="shared" si="32"/>
        <v>0</v>
      </c>
      <c r="S92" s="29">
        <f t="shared" si="24"/>
        <v>0</v>
      </c>
      <c r="T92" s="29">
        <f t="shared" si="33"/>
        <v>177384.56009816015</v>
      </c>
      <c r="U92">
        <f t="shared" si="34"/>
        <v>0</v>
      </c>
      <c r="V92" s="29">
        <f t="shared" si="35"/>
        <v>0</v>
      </c>
      <c r="W92" s="29">
        <f t="shared" si="25"/>
        <v>0</v>
      </c>
      <c r="X92" s="29">
        <f t="shared" si="36"/>
        <v>177384.56009816015</v>
      </c>
      <c r="Y92">
        <f t="shared" si="37"/>
        <v>0</v>
      </c>
    </row>
    <row r="93" spans="1:25" x14ac:dyDescent="0.25">
      <c r="A93" s="4" t="s">
        <v>836</v>
      </c>
      <c r="B93" s="7" t="s">
        <v>135</v>
      </c>
      <c r="C93" s="2" t="s">
        <v>837</v>
      </c>
      <c r="D93">
        <f>VLOOKUP(B93,'Model allocations'!$A$1:$L$317,5,FALSE)</f>
        <v>89308.529998522266</v>
      </c>
      <c r="E93" s="31">
        <f>VLOOKUP(B93,'Initial adjusted formula count'!$A$1:$P$317,12,FALSE)</f>
        <v>6.4561901383469303E-2</v>
      </c>
      <c r="F93">
        <f>VLOOKUP(B93,'Model allocations'!$A$1:$L$317,10,FALSE)</f>
        <v>76319.701221309413</v>
      </c>
      <c r="G93" s="30">
        <f t="shared" si="26"/>
        <v>0.85</v>
      </c>
      <c r="H93">
        <f t="shared" si="27"/>
        <v>75912.250498743932</v>
      </c>
      <c r="I93">
        <f t="shared" si="19"/>
        <v>0</v>
      </c>
      <c r="J93">
        <f t="shared" si="20"/>
        <v>76319.701221309413</v>
      </c>
      <c r="K93">
        <f t="shared" si="21"/>
        <v>76275.943217353168</v>
      </c>
      <c r="L93">
        <f t="shared" si="28"/>
        <v>76275.943217353168</v>
      </c>
      <c r="M93">
        <f t="shared" si="22"/>
        <v>0</v>
      </c>
      <c r="N93" s="29">
        <f t="shared" si="29"/>
        <v>76275.943217353168</v>
      </c>
      <c r="O93" s="29">
        <f t="shared" si="23"/>
        <v>76270.425227986809</v>
      </c>
      <c r="P93" s="29">
        <f t="shared" si="30"/>
        <v>76270.425227986809</v>
      </c>
      <c r="Q93">
        <f t="shared" si="31"/>
        <v>0</v>
      </c>
      <c r="R93" s="29">
        <f t="shared" si="32"/>
        <v>76270.425227986809</v>
      </c>
      <c r="S93" s="29">
        <f t="shared" si="24"/>
        <v>76270.425227986852</v>
      </c>
      <c r="T93" s="29">
        <f t="shared" si="33"/>
        <v>76270.425227986852</v>
      </c>
      <c r="U93">
        <f t="shared" si="34"/>
        <v>0</v>
      </c>
      <c r="V93" s="29">
        <f t="shared" si="35"/>
        <v>76270.425227986852</v>
      </c>
      <c r="W93" s="29">
        <f t="shared" si="25"/>
        <v>76270.425227986867</v>
      </c>
      <c r="X93" s="29">
        <f t="shared" si="36"/>
        <v>76270.425227986867</v>
      </c>
      <c r="Y93">
        <f t="shared" si="37"/>
        <v>0</v>
      </c>
    </row>
    <row r="94" spans="1:25" x14ac:dyDescent="0.25">
      <c r="A94" s="4" t="s">
        <v>838</v>
      </c>
      <c r="B94" s="7" t="s">
        <v>414</v>
      </c>
      <c r="C94" s="2" t="s">
        <v>839</v>
      </c>
      <c r="D94">
        <f>VLOOKUP(B94,'Model allocations'!$A$1:$L$317,5,FALSE)</f>
        <v>16023.15756449248</v>
      </c>
      <c r="E94" s="31">
        <f>VLOOKUP(B94,'Initial adjusted formula count'!$A$1:$P$317,12,FALSE)</f>
        <v>0.10233918128654999</v>
      </c>
      <c r="F94">
        <f>VLOOKUP(B94,'Model allocations'!$A$1:$L$317,10,FALSE)</f>
        <v>14676.865619482582</v>
      </c>
      <c r="G94" s="30">
        <f t="shared" si="26"/>
        <v>0.85</v>
      </c>
      <c r="H94">
        <f t="shared" si="27"/>
        <v>13619.683929818608</v>
      </c>
      <c r="I94">
        <f t="shared" si="19"/>
        <v>0</v>
      </c>
      <c r="J94">
        <f t="shared" si="20"/>
        <v>14676.865619482582</v>
      </c>
      <c r="K94">
        <f t="shared" si="21"/>
        <v>14668.450618721763</v>
      </c>
      <c r="L94">
        <f t="shared" si="28"/>
        <v>14668.450618721763</v>
      </c>
      <c r="M94">
        <f t="shared" si="22"/>
        <v>0</v>
      </c>
      <c r="N94" s="29">
        <f t="shared" si="29"/>
        <v>14668.450618721763</v>
      </c>
      <c r="O94" s="29">
        <f t="shared" si="23"/>
        <v>14667.389466920542</v>
      </c>
      <c r="P94" s="29">
        <f t="shared" si="30"/>
        <v>14667.389466920542</v>
      </c>
      <c r="Q94">
        <f t="shared" si="31"/>
        <v>0</v>
      </c>
      <c r="R94" s="29">
        <f t="shared" si="32"/>
        <v>14667.389466920542</v>
      </c>
      <c r="S94" s="29">
        <f t="shared" si="24"/>
        <v>14667.389466920551</v>
      </c>
      <c r="T94" s="29">
        <f t="shared" si="33"/>
        <v>14667.389466920551</v>
      </c>
      <c r="U94">
        <f t="shared" si="34"/>
        <v>0</v>
      </c>
      <c r="V94" s="29">
        <f t="shared" si="35"/>
        <v>14667.389466920551</v>
      </c>
      <c r="W94" s="29">
        <f t="shared" si="25"/>
        <v>14667.389466920553</v>
      </c>
      <c r="X94" s="29">
        <f t="shared" si="36"/>
        <v>14667.389466920553</v>
      </c>
      <c r="Y94">
        <f t="shared" si="37"/>
        <v>0</v>
      </c>
    </row>
    <row r="95" spans="1:25" x14ac:dyDescent="0.25">
      <c r="A95" s="4" t="s">
        <v>840</v>
      </c>
      <c r="B95" s="7" t="s">
        <v>416</v>
      </c>
      <c r="C95" s="2" t="s">
        <v>841</v>
      </c>
      <c r="D95">
        <f>VLOOKUP(B95,'Model allocations'!$A$1:$L$317,5,FALSE)</f>
        <v>22487.548316589902</v>
      </c>
      <c r="E95" s="31">
        <f>VLOOKUP(B95,'Initial adjusted formula count'!$A$1:$P$317,12,FALSE)</f>
        <v>0.19148936170212799</v>
      </c>
      <c r="F95">
        <f>VLOOKUP(B95,'Model allocations'!$A$1:$L$317,10,FALSE)</f>
        <v>20238.793484930913</v>
      </c>
      <c r="G95" s="30">
        <f t="shared" si="26"/>
        <v>0.9</v>
      </c>
      <c r="H95">
        <f t="shared" si="27"/>
        <v>20238.793484930913</v>
      </c>
      <c r="I95">
        <f t="shared" si="19"/>
        <v>0</v>
      </c>
      <c r="J95">
        <f t="shared" si="20"/>
        <v>20238.793484930913</v>
      </c>
      <c r="K95">
        <f t="shared" si="21"/>
        <v>20227.189545303117</v>
      </c>
      <c r="L95">
        <f t="shared" si="28"/>
        <v>20227.189545303117</v>
      </c>
      <c r="M95">
        <f t="shared" si="22"/>
        <v>20238.793484930913</v>
      </c>
      <c r="N95" s="29">
        <f t="shared" si="29"/>
        <v>0</v>
      </c>
      <c r="O95" s="29">
        <f t="shared" si="23"/>
        <v>0</v>
      </c>
      <c r="P95" s="29">
        <f t="shared" si="30"/>
        <v>20238.793484930913</v>
      </c>
      <c r="Q95">
        <f t="shared" si="31"/>
        <v>0</v>
      </c>
      <c r="R95" s="29">
        <f t="shared" si="32"/>
        <v>0</v>
      </c>
      <c r="S95" s="29">
        <f t="shared" si="24"/>
        <v>0</v>
      </c>
      <c r="T95" s="29">
        <f t="shared" si="33"/>
        <v>20238.793484930913</v>
      </c>
      <c r="U95">
        <f t="shared" si="34"/>
        <v>0</v>
      </c>
      <c r="V95" s="29">
        <f t="shared" si="35"/>
        <v>0</v>
      </c>
      <c r="W95" s="29">
        <f t="shared" si="25"/>
        <v>0</v>
      </c>
      <c r="X95" s="29">
        <f t="shared" si="36"/>
        <v>20238.793484930913</v>
      </c>
      <c r="Y95">
        <f t="shared" si="37"/>
        <v>0</v>
      </c>
    </row>
    <row r="96" spans="1:25" x14ac:dyDescent="0.25">
      <c r="A96" s="4" t="s">
        <v>842</v>
      </c>
      <c r="B96" s="7" t="s">
        <v>137</v>
      </c>
      <c r="C96" s="2" t="s">
        <v>843</v>
      </c>
      <c r="D96">
        <f>VLOOKUP(B96,'Model allocations'!$A$1:$L$317,5,FALSE)</f>
        <v>6584.9607372182309</v>
      </c>
      <c r="E96" s="31">
        <f>VLOOKUP(B96,'Initial adjusted formula count'!$A$1:$P$317,12,FALSE)</f>
        <v>5.8252427184466E-2</v>
      </c>
      <c r="F96">
        <f>VLOOKUP(B96,'Model allocations'!$A$1:$L$317,10,FALSE)</f>
        <v>5597.2166266354961</v>
      </c>
      <c r="G96" s="30">
        <f t="shared" si="26"/>
        <v>0.85</v>
      </c>
      <c r="H96">
        <f t="shared" si="27"/>
        <v>5597.2166266354961</v>
      </c>
      <c r="I96">
        <f t="shared" si="19"/>
        <v>0</v>
      </c>
      <c r="J96">
        <f t="shared" si="20"/>
        <v>5597.2166266354961</v>
      </c>
      <c r="K96">
        <f t="shared" si="21"/>
        <v>5594.0074549095471</v>
      </c>
      <c r="L96">
        <f t="shared" si="28"/>
        <v>5594.0074549095471</v>
      </c>
      <c r="M96">
        <f t="shared" si="22"/>
        <v>5597.2166266354961</v>
      </c>
      <c r="N96" s="29">
        <f t="shared" si="29"/>
        <v>0</v>
      </c>
      <c r="O96" s="29">
        <f t="shared" si="23"/>
        <v>0</v>
      </c>
      <c r="P96" s="29">
        <f t="shared" si="30"/>
        <v>5597.2166266354961</v>
      </c>
      <c r="Q96">
        <f t="shared" si="31"/>
        <v>0</v>
      </c>
      <c r="R96" s="29">
        <f t="shared" si="32"/>
        <v>0</v>
      </c>
      <c r="S96" s="29">
        <f t="shared" si="24"/>
        <v>0</v>
      </c>
      <c r="T96" s="29">
        <f t="shared" si="33"/>
        <v>5597.2166266354961</v>
      </c>
      <c r="U96">
        <f t="shared" si="34"/>
        <v>0</v>
      </c>
      <c r="V96" s="29">
        <f t="shared" si="35"/>
        <v>0</v>
      </c>
      <c r="W96" s="29">
        <f t="shared" si="25"/>
        <v>0</v>
      </c>
      <c r="X96" s="29">
        <f t="shared" si="36"/>
        <v>5597.2166266354961</v>
      </c>
      <c r="Y96">
        <f t="shared" si="37"/>
        <v>0</v>
      </c>
    </row>
    <row r="97" spans="1:25" x14ac:dyDescent="0.25">
      <c r="A97" s="4" t="s">
        <v>844</v>
      </c>
      <c r="B97" s="7" t="s">
        <v>139</v>
      </c>
      <c r="C97" s="2" t="s">
        <v>845</v>
      </c>
      <c r="D97">
        <f>VLOOKUP(B97,'Model allocations'!$A$1:$L$317,5,FALSE)</f>
        <v>23700.920564145108</v>
      </c>
      <c r="E97" s="31">
        <f>VLOOKUP(B97,'Initial adjusted formula count'!$A$1:$P$317,12,FALSE)</f>
        <v>5.2338530066815103E-2</v>
      </c>
      <c r="F97">
        <f>VLOOKUP(B97,'Model allocations'!$A$1:$L$317,10,FALSE)</f>
        <v>20145.782479523343</v>
      </c>
      <c r="G97" s="30">
        <f t="shared" si="26"/>
        <v>0.85</v>
      </c>
      <c r="H97">
        <f t="shared" si="27"/>
        <v>20145.782479523343</v>
      </c>
      <c r="I97">
        <f t="shared" si="19"/>
        <v>0</v>
      </c>
      <c r="J97">
        <f t="shared" si="20"/>
        <v>20145.782479523343</v>
      </c>
      <c r="K97">
        <f t="shared" si="21"/>
        <v>20134.231867881343</v>
      </c>
      <c r="L97">
        <f t="shared" si="28"/>
        <v>20134.231867881343</v>
      </c>
      <c r="M97">
        <f t="shared" si="22"/>
        <v>20145.782479523343</v>
      </c>
      <c r="N97" s="29">
        <f t="shared" si="29"/>
        <v>0</v>
      </c>
      <c r="O97" s="29">
        <f t="shared" si="23"/>
        <v>0</v>
      </c>
      <c r="P97" s="29">
        <f t="shared" si="30"/>
        <v>20145.782479523343</v>
      </c>
      <c r="Q97">
        <f t="shared" si="31"/>
        <v>0</v>
      </c>
      <c r="R97" s="29">
        <f t="shared" si="32"/>
        <v>0</v>
      </c>
      <c r="S97" s="29">
        <f t="shared" si="24"/>
        <v>0</v>
      </c>
      <c r="T97" s="29">
        <f t="shared" si="33"/>
        <v>20145.782479523343</v>
      </c>
      <c r="U97">
        <f t="shared" si="34"/>
        <v>0</v>
      </c>
      <c r="V97" s="29">
        <f t="shared" si="35"/>
        <v>0</v>
      </c>
      <c r="W97" s="29">
        <f t="shared" si="25"/>
        <v>0</v>
      </c>
      <c r="X97" s="29">
        <f t="shared" si="36"/>
        <v>20145.782479523343</v>
      </c>
      <c r="Y97">
        <f t="shared" si="37"/>
        <v>0</v>
      </c>
    </row>
    <row r="98" spans="1:25" x14ac:dyDescent="0.25">
      <c r="A98" s="4" t="s">
        <v>846</v>
      </c>
      <c r="B98" s="7" t="s">
        <v>418</v>
      </c>
      <c r="C98" s="2" t="s">
        <v>847</v>
      </c>
      <c r="D98">
        <f>VLOOKUP(B98,'Model allocations'!$A$1:$L$317,5,FALSE)</f>
        <v>13000.348189112901</v>
      </c>
      <c r="E98" s="31">
        <f>VLOOKUP(B98,'Initial adjusted formula count'!$A$1:$P$317,12,FALSE)</f>
        <v>0.17241379310344801</v>
      </c>
      <c r="F98">
        <f>VLOOKUP(B98,'Model allocations'!$A$1:$L$317,10,FALSE)</f>
        <v>11700.313370201611</v>
      </c>
      <c r="G98" s="30">
        <f t="shared" si="26"/>
        <v>0.9</v>
      </c>
      <c r="H98">
        <f t="shared" si="27"/>
        <v>11700.313370201611</v>
      </c>
      <c r="I98">
        <f t="shared" si="19"/>
        <v>0</v>
      </c>
      <c r="J98">
        <f t="shared" si="20"/>
        <v>11700.313370201611</v>
      </c>
      <c r="K98">
        <f t="shared" si="21"/>
        <v>11693.604979700211</v>
      </c>
      <c r="L98">
        <f t="shared" si="28"/>
        <v>11693.604979700211</v>
      </c>
      <c r="M98">
        <f t="shared" si="22"/>
        <v>11700.313370201611</v>
      </c>
      <c r="N98" s="29">
        <f t="shared" si="29"/>
        <v>0</v>
      </c>
      <c r="O98" s="29">
        <f t="shared" si="23"/>
        <v>0</v>
      </c>
      <c r="P98" s="29">
        <f t="shared" si="30"/>
        <v>11700.313370201611</v>
      </c>
      <c r="Q98">
        <f t="shared" si="31"/>
        <v>0</v>
      </c>
      <c r="R98" s="29">
        <f t="shared" si="32"/>
        <v>0</v>
      </c>
      <c r="S98" s="29">
        <f t="shared" si="24"/>
        <v>0</v>
      </c>
      <c r="T98" s="29">
        <f t="shared" si="33"/>
        <v>11700.313370201611</v>
      </c>
      <c r="U98">
        <f t="shared" si="34"/>
        <v>0</v>
      </c>
      <c r="V98" s="29">
        <f t="shared" si="35"/>
        <v>0</v>
      </c>
      <c r="W98" s="29">
        <f t="shared" si="25"/>
        <v>0</v>
      </c>
      <c r="X98" s="29">
        <f t="shared" si="36"/>
        <v>11700.313370201611</v>
      </c>
      <c r="Y98">
        <f t="shared" si="37"/>
        <v>0</v>
      </c>
    </row>
    <row r="99" spans="1:25" x14ac:dyDescent="0.25">
      <c r="A99" s="4" t="s">
        <v>848</v>
      </c>
      <c r="B99" s="7" t="s">
        <v>420</v>
      </c>
      <c r="C99" s="2" t="s">
        <v>849</v>
      </c>
      <c r="D99">
        <f>VLOOKUP(B99,'Model allocations'!$A$1:$L$317,5,FALSE)</f>
        <v>108082.58230836826</v>
      </c>
      <c r="E99" s="31">
        <f>VLOOKUP(B99,'Initial adjusted formula count'!$A$1:$P$317,12,FALSE)</f>
        <v>0.11242138364779899</v>
      </c>
      <c r="F99">
        <f>VLOOKUP(B99,'Model allocations'!$A$1:$L$317,10,FALSE)</f>
        <v>91870.194962113019</v>
      </c>
      <c r="G99" s="30">
        <f t="shared" si="26"/>
        <v>0.85</v>
      </c>
      <c r="H99">
        <f t="shared" si="27"/>
        <v>91870.194962113019</v>
      </c>
      <c r="I99">
        <f t="shared" si="19"/>
        <v>0</v>
      </c>
      <c r="J99">
        <f t="shared" si="20"/>
        <v>91870.194962113019</v>
      </c>
      <c r="K99">
        <f t="shared" si="21"/>
        <v>91817.52106153057</v>
      </c>
      <c r="L99">
        <f t="shared" si="28"/>
        <v>91817.52106153057</v>
      </c>
      <c r="M99">
        <f t="shared" si="22"/>
        <v>91870.194962113019</v>
      </c>
      <c r="N99" s="29">
        <f t="shared" si="29"/>
        <v>0</v>
      </c>
      <c r="O99" s="29">
        <f t="shared" si="23"/>
        <v>0</v>
      </c>
      <c r="P99" s="29">
        <f t="shared" si="30"/>
        <v>91870.194962113019</v>
      </c>
      <c r="Q99">
        <f t="shared" si="31"/>
        <v>0</v>
      </c>
      <c r="R99" s="29">
        <f t="shared" si="32"/>
        <v>0</v>
      </c>
      <c r="S99" s="29">
        <f t="shared" si="24"/>
        <v>0</v>
      </c>
      <c r="T99" s="29">
        <f t="shared" si="33"/>
        <v>91870.194962113019</v>
      </c>
      <c r="U99">
        <f t="shared" si="34"/>
        <v>0</v>
      </c>
      <c r="V99" s="29">
        <f t="shared" si="35"/>
        <v>0</v>
      </c>
      <c r="W99" s="29">
        <f t="shared" si="25"/>
        <v>0</v>
      </c>
      <c r="X99" s="29">
        <f t="shared" si="36"/>
        <v>91870.194962113019</v>
      </c>
      <c r="Y99">
        <f t="shared" si="37"/>
        <v>0</v>
      </c>
    </row>
    <row r="100" spans="1:25" x14ac:dyDescent="0.25">
      <c r="A100" s="4" t="s">
        <v>18</v>
      </c>
      <c r="B100" s="7" t="s">
        <v>57</v>
      </c>
      <c r="C100" s="2" t="s">
        <v>850</v>
      </c>
      <c r="D100">
        <f>VLOOKUP(B100,'Model allocations'!$A$1:$L$317,5,FALSE)</f>
        <v>1895154.9630996815</v>
      </c>
      <c r="E100" s="31">
        <f>VLOOKUP(B100,'Initial adjusted formula count'!$A$1:$P$317,12,FALSE)</f>
        <v>0.16867413714330101</v>
      </c>
      <c r="F100">
        <f>VLOOKUP(B100,'Model allocations'!$A$1:$L$317,10,FALSE)</f>
        <v>2177791.4133343347</v>
      </c>
      <c r="G100" s="30">
        <f t="shared" si="26"/>
        <v>0.9</v>
      </c>
      <c r="H100">
        <f t="shared" si="27"/>
        <v>1705639.4667897134</v>
      </c>
      <c r="I100">
        <f t="shared" si="19"/>
        <v>0</v>
      </c>
      <c r="J100">
        <f t="shared" si="20"/>
        <v>2177791.4133343347</v>
      </c>
      <c r="K100">
        <f t="shared" si="21"/>
        <v>2176542.7736809347</v>
      </c>
      <c r="L100">
        <f t="shared" si="28"/>
        <v>2176542.7736809347</v>
      </c>
      <c r="M100">
        <f t="shared" si="22"/>
        <v>0</v>
      </c>
      <c r="N100" s="29">
        <f t="shared" si="29"/>
        <v>2176542.7736809347</v>
      </c>
      <c r="O100" s="29">
        <f t="shared" si="23"/>
        <v>2176385.3172225286</v>
      </c>
      <c r="P100" s="29">
        <f t="shared" si="30"/>
        <v>2176385.3172225286</v>
      </c>
      <c r="Q100">
        <f t="shared" si="31"/>
        <v>0</v>
      </c>
      <c r="R100" s="29">
        <f t="shared" si="32"/>
        <v>2176385.3172225286</v>
      </c>
      <c r="S100" s="29">
        <f t="shared" si="24"/>
        <v>2176385.31722253</v>
      </c>
      <c r="T100" s="29">
        <f t="shared" si="33"/>
        <v>2176385.31722253</v>
      </c>
      <c r="U100">
        <f t="shared" si="34"/>
        <v>0</v>
      </c>
      <c r="V100" s="29">
        <f t="shared" si="35"/>
        <v>2176385.31722253</v>
      </c>
      <c r="W100" s="29">
        <f t="shared" si="25"/>
        <v>2176385.31722253</v>
      </c>
      <c r="X100" s="29">
        <f t="shared" si="36"/>
        <v>2176385.31722253</v>
      </c>
      <c r="Y100">
        <f t="shared" si="37"/>
        <v>0</v>
      </c>
    </row>
    <row r="101" spans="1:25" x14ac:dyDescent="0.25">
      <c r="A101" s="4" t="s">
        <v>851</v>
      </c>
      <c r="B101" s="7" t="s">
        <v>141</v>
      </c>
      <c r="C101" s="2" t="s">
        <v>852</v>
      </c>
      <c r="D101">
        <f>VLOOKUP(B101,'Model allocations'!$A$1:$L$317,5,FALSE)</f>
        <v>0</v>
      </c>
      <c r="E101" s="31">
        <f>VLOOKUP(B101,'Initial adjusted formula count'!$A$1:$P$317,12,FALSE)</f>
        <v>4.8490393412625801E-2</v>
      </c>
      <c r="F101">
        <f>VLOOKUP(B101,'Model allocations'!$A$1:$L$317,10,FALSE)</f>
        <v>0</v>
      </c>
      <c r="G101" s="30">
        <f t="shared" si="26"/>
        <v>0.85</v>
      </c>
      <c r="H101">
        <f t="shared" si="27"/>
        <v>0</v>
      </c>
      <c r="I101">
        <f t="shared" si="19"/>
        <v>0</v>
      </c>
      <c r="J101">
        <f t="shared" si="20"/>
        <v>0</v>
      </c>
      <c r="K101">
        <f t="shared" si="21"/>
        <v>0</v>
      </c>
      <c r="L101">
        <f t="shared" si="28"/>
        <v>0</v>
      </c>
      <c r="M101">
        <f t="shared" si="22"/>
        <v>0</v>
      </c>
      <c r="N101" s="29">
        <f t="shared" si="29"/>
        <v>0</v>
      </c>
      <c r="O101" s="29">
        <f t="shared" si="23"/>
        <v>0</v>
      </c>
      <c r="P101" s="29">
        <f t="shared" si="30"/>
        <v>0</v>
      </c>
      <c r="Q101">
        <f t="shared" si="31"/>
        <v>0</v>
      </c>
      <c r="R101" s="29">
        <f t="shared" si="32"/>
        <v>0</v>
      </c>
      <c r="S101" s="29">
        <f t="shared" si="24"/>
        <v>0</v>
      </c>
      <c r="T101" s="29">
        <f t="shared" si="33"/>
        <v>0</v>
      </c>
      <c r="U101">
        <f t="shared" si="34"/>
        <v>0</v>
      </c>
      <c r="V101" s="29">
        <f t="shared" si="35"/>
        <v>0</v>
      </c>
      <c r="W101" s="29">
        <f t="shared" si="25"/>
        <v>0</v>
      </c>
      <c r="X101" s="29">
        <f t="shared" si="36"/>
        <v>0</v>
      </c>
      <c r="Y101">
        <f t="shared" si="37"/>
        <v>0</v>
      </c>
    </row>
    <row r="102" spans="1:25" x14ac:dyDescent="0.25">
      <c r="A102" s="4" t="s">
        <v>853</v>
      </c>
      <c r="B102" s="7" t="s">
        <v>422</v>
      </c>
      <c r="C102" s="2" t="s">
        <v>854</v>
      </c>
      <c r="D102">
        <f>VLOOKUP(B102,'Model allocations'!$A$1:$L$317,5,FALSE)</f>
        <v>57685.134492198405</v>
      </c>
      <c r="E102" s="31">
        <f>VLOOKUP(B102,'Initial adjusted formula count'!$A$1:$P$317,12,FALSE)</f>
        <v>0.20028409090909099</v>
      </c>
      <c r="F102">
        <f>VLOOKUP(B102,'Model allocations'!$A$1:$L$317,10,FALSE)</f>
        <v>68976.068607748675</v>
      </c>
      <c r="G102" s="30">
        <f t="shared" si="26"/>
        <v>0.9</v>
      </c>
      <c r="H102">
        <f t="shared" si="27"/>
        <v>51916.621042978564</v>
      </c>
      <c r="I102">
        <f t="shared" si="19"/>
        <v>0</v>
      </c>
      <c r="J102">
        <f t="shared" si="20"/>
        <v>68976.068607748675</v>
      </c>
      <c r="K102">
        <f t="shared" si="21"/>
        <v>68936.521085487388</v>
      </c>
      <c r="L102">
        <f t="shared" si="28"/>
        <v>68936.521085487388</v>
      </c>
      <c r="M102">
        <f t="shared" si="22"/>
        <v>0</v>
      </c>
      <c r="N102" s="29">
        <f t="shared" si="29"/>
        <v>68936.521085487388</v>
      </c>
      <c r="O102" s="29">
        <f t="shared" si="23"/>
        <v>68931.534047972571</v>
      </c>
      <c r="P102" s="29">
        <f t="shared" si="30"/>
        <v>68931.534047972571</v>
      </c>
      <c r="Q102">
        <f t="shared" si="31"/>
        <v>0</v>
      </c>
      <c r="R102" s="29">
        <f t="shared" si="32"/>
        <v>68931.534047972571</v>
      </c>
      <c r="S102" s="29">
        <f t="shared" si="24"/>
        <v>68931.5340479726</v>
      </c>
      <c r="T102" s="29">
        <f t="shared" si="33"/>
        <v>68931.5340479726</v>
      </c>
      <c r="U102">
        <f t="shared" si="34"/>
        <v>0</v>
      </c>
      <c r="V102" s="29">
        <f t="shared" si="35"/>
        <v>68931.5340479726</v>
      </c>
      <c r="W102" s="29">
        <f t="shared" si="25"/>
        <v>68931.5340479726</v>
      </c>
      <c r="X102" s="29">
        <f t="shared" si="36"/>
        <v>68931.5340479726</v>
      </c>
      <c r="Y102">
        <f t="shared" si="37"/>
        <v>0</v>
      </c>
    </row>
    <row r="103" spans="1:25" x14ac:dyDescent="0.25">
      <c r="A103" s="4" t="s">
        <v>855</v>
      </c>
      <c r="B103" s="7" t="s">
        <v>424</v>
      </c>
      <c r="C103" s="2" t="s">
        <v>856</v>
      </c>
      <c r="D103">
        <f>VLOOKUP(B103,'Model allocations'!$A$1:$L$317,5,FALSE)</f>
        <v>303180.72897455021</v>
      </c>
      <c r="E103" s="31">
        <f>VLOOKUP(B103,'Initial adjusted formula count'!$A$1:$P$317,12,FALSE)</f>
        <v>0.21856123009335501</v>
      </c>
      <c r="F103">
        <f>VLOOKUP(B103,'Model allocations'!$A$1:$L$317,10,FALSE)</f>
        <v>272862.65607709519</v>
      </c>
      <c r="G103" s="30">
        <f t="shared" si="26"/>
        <v>0.9</v>
      </c>
      <c r="H103">
        <f t="shared" si="27"/>
        <v>272862.65607709519</v>
      </c>
      <c r="I103">
        <f t="shared" si="19"/>
        <v>0</v>
      </c>
      <c r="J103">
        <f t="shared" si="20"/>
        <v>272862.65607709519</v>
      </c>
      <c r="K103">
        <f t="shared" si="21"/>
        <v>272706.20990404853</v>
      </c>
      <c r="L103">
        <f t="shared" si="28"/>
        <v>272706.20990404853</v>
      </c>
      <c r="M103">
        <f t="shared" si="22"/>
        <v>272862.65607709519</v>
      </c>
      <c r="N103" s="29">
        <f t="shared" si="29"/>
        <v>0</v>
      </c>
      <c r="O103" s="29">
        <f t="shared" si="23"/>
        <v>0</v>
      </c>
      <c r="P103" s="29">
        <f t="shared" si="30"/>
        <v>272862.65607709519</v>
      </c>
      <c r="Q103">
        <f t="shared" si="31"/>
        <v>0</v>
      </c>
      <c r="R103" s="29">
        <f t="shared" si="32"/>
        <v>0</v>
      </c>
      <c r="S103" s="29">
        <f t="shared" si="24"/>
        <v>0</v>
      </c>
      <c r="T103" s="29">
        <f t="shared" si="33"/>
        <v>272862.65607709519</v>
      </c>
      <c r="U103">
        <f t="shared" si="34"/>
        <v>0</v>
      </c>
      <c r="V103" s="29">
        <f t="shared" si="35"/>
        <v>0</v>
      </c>
      <c r="W103" s="29">
        <f t="shared" si="25"/>
        <v>0</v>
      </c>
      <c r="X103" s="29">
        <f t="shared" si="36"/>
        <v>272862.65607709519</v>
      </c>
      <c r="Y103">
        <f t="shared" si="37"/>
        <v>0</v>
      </c>
    </row>
    <row r="104" spans="1:25" x14ac:dyDescent="0.25">
      <c r="A104" s="4" t="s">
        <v>37</v>
      </c>
      <c r="B104" s="7" t="s">
        <v>79</v>
      </c>
      <c r="C104" s="2" t="s">
        <v>857</v>
      </c>
      <c r="D104">
        <f>VLOOKUP(B104,'Model allocations'!$A$1:$L$317,5,FALSE)</f>
        <v>31905.156636666343</v>
      </c>
      <c r="E104" s="31">
        <f>VLOOKUP(B104,'Initial adjusted formula count'!$A$1:$P$317,12,FALSE)</f>
        <v>0.14665504406806101</v>
      </c>
      <c r="F104">
        <f>VLOOKUP(B104,'Model allocations'!$A$1:$L$317,10,FALSE)</f>
        <v>31381.641280378411</v>
      </c>
      <c r="G104" s="30">
        <f t="shared" si="26"/>
        <v>0.85</v>
      </c>
      <c r="H104">
        <f t="shared" si="27"/>
        <v>27119.383141166392</v>
      </c>
      <c r="I104">
        <f t="shared" si="19"/>
        <v>0</v>
      </c>
      <c r="J104">
        <f t="shared" si="20"/>
        <v>31381.641280378411</v>
      </c>
      <c r="K104">
        <f t="shared" si="21"/>
        <v>31363.648573890754</v>
      </c>
      <c r="L104">
        <f t="shared" si="28"/>
        <v>31363.648573890754</v>
      </c>
      <c r="M104">
        <f t="shared" si="22"/>
        <v>0</v>
      </c>
      <c r="N104" s="29">
        <f t="shared" si="29"/>
        <v>31363.648573890754</v>
      </c>
      <c r="O104" s="29">
        <f t="shared" si="23"/>
        <v>31361.379650400322</v>
      </c>
      <c r="P104" s="29">
        <f t="shared" si="30"/>
        <v>31361.379650400322</v>
      </c>
      <c r="Q104">
        <f t="shared" si="31"/>
        <v>0</v>
      </c>
      <c r="R104" s="29">
        <f t="shared" si="32"/>
        <v>31361.379650400322</v>
      </c>
      <c r="S104" s="29">
        <f t="shared" si="24"/>
        <v>31361.37965040034</v>
      </c>
      <c r="T104" s="29">
        <f t="shared" si="33"/>
        <v>31361.37965040034</v>
      </c>
      <c r="U104">
        <f t="shared" si="34"/>
        <v>0</v>
      </c>
      <c r="V104" s="29">
        <f t="shared" si="35"/>
        <v>31361.37965040034</v>
      </c>
      <c r="W104" s="29">
        <f t="shared" si="25"/>
        <v>31361.379650400344</v>
      </c>
      <c r="X104" s="29">
        <f t="shared" si="36"/>
        <v>31361.379650400344</v>
      </c>
      <c r="Y104">
        <f t="shared" si="37"/>
        <v>0</v>
      </c>
    </row>
    <row r="105" spans="1:25" x14ac:dyDescent="0.25">
      <c r="A105" s="4" t="s">
        <v>40</v>
      </c>
      <c r="B105" s="7" t="s">
        <v>74</v>
      </c>
      <c r="C105" s="2" t="s">
        <v>858</v>
      </c>
      <c r="D105">
        <f>VLOOKUP(B105,'Model allocations'!$A$1:$L$317,5,FALSE)</f>
        <v>39718.924816680737</v>
      </c>
      <c r="E105" s="31">
        <f>VLOOKUP(B105,'Initial adjusted formula count'!$A$1:$P$317,12,FALSE)</f>
        <v>0.20059580587053799</v>
      </c>
      <c r="F105">
        <f>VLOOKUP(B105,'Model allocations'!$A$1:$L$317,10,FALSE)</f>
        <v>41576.182652716219</v>
      </c>
      <c r="G105" s="30">
        <f t="shared" si="26"/>
        <v>0.9</v>
      </c>
      <c r="H105">
        <f t="shared" si="27"/>
        <v>35747.032335012664</v>
      </c>
      <c r="I105">
        <f t="shared" si="19"/>
        <v>0</v>
      </c>
      <c r="J105">
        <f t="shared" si="20"/>
        <v>41576.182652716219</v>
      </c>
      <c r="K105">
        <f t="shared" si="21"/>
        <v>41552.344892139452</v>
      </c>
      <c r="L105">
        <f t="shared" si="28"/>
        <v>41552.344892139452</v>
      </c>
      <c r="M105">
        <f t="shared" si="22"/>
        <v>0</v>
      </c>
      <c r="N105" s="29">
        <f t="shared" si="29"/>
        <v>41552.344892139452</v>
      </c>
      <c r="O105" s="29">
        <f t="shared" si="23"/>
        <v>41549.338893293811</v>
      </c>
      <c r="P105" s="29">
        <f t="shared" si="30"/>
        <v>41549.338893293811</v>
      </c>
      <c r="Q105">
        <f t="shared" si="31"/>
        <v>0</v>
      </c>
      <c r="R105" s="29">
        <f t="shared" si="32"/>
        <v>41549.338893293811</v>
      </c>
      <c r="S105" s="29">
        <f t="shared" si="24"/>
        <v>41549.33889329384</v>
      </c>
      <c r="T105" s="29">
        <f t="shared" si="33"/>
        <v>41549.33889329384</v>
      </c>
      <c r="U105">
        <f t="shared" si="34"/>
        <v>0</v>
      </c>
      <c r="V105" s="29">
        <f t="shared" si="35"/>
        <v>41549.33889329384</v>
      </c>
      <c r="W105" s="29">
        <f t="shared" si="25"/>
        <v>41549.338893293847</v>
      </c>
      <c r="X105" s="29">
        <f t="shared" si="36"/>
        <v>41549.338893293847</v>
      </c>
      <c r="Y105">
        <f t="shared" si="37"/>
        <v>0</v>
      </c>
    </row>
    <row r="106" spans="1:25" x14ac:dyDescent="0.25">
      <c r="A106" s="4" t="s">
        <v>44</v>
      </c>
      <c r="B106" s="7" t="s">
        <v>75</v>
      </c>
      <c r="C106" s="2" t="s">
        <v>859</v>
      </c>
      <c r="D106">
        <f>VLOOKUP(B106,'Model allocations'!$A$1:$L$317,5,FALSE)</f>
        <v>29910.287895488211</v>
      </c>
      <c r="E106" s="31">
        <f>VLOOKUP(B106,'Initial adjusted formula count'!$A$1:$P$317,12,FALSE)</f>
        <v>0.18899764894447399</v>
      </c>
      <c r="F106">
        <f>VLOOKUP(B106,'Model allocations'!$A$1:$L$317,10,FALSE)</f>
        <v>30596.122545619022</v>
      </c>
      <c r="G106" s="30">
        <f t="shared" si="26"/>
        <v>0.9</v>
      </c>
      <c r="H106">
        <f t="shared" si="27"/>
        <v>26919.259105939389</v>
      </c>
      <c r="I106">
        <f t="shared" si="19"/>
        <v>0</v>
      </c>
      <c r="J106">
        <f t="shared" si="20"/>
        <v>30596.122545619022</v>
      </c>
      <c r="K106">
        <f t="shared" si="21"/>
        <v>30578.580217360752</v>
      </c>
      <c r="L106">
        <f t="shared" si="28"/>
        <v>30578.580217360752</v>
      </c>
      <c r="M106">
        <f t="shared" si="22"/>
        <v>0</v>
      </c>
      <c r="N106" s="29">
        <f t="shared" si="29"/>
        <v>30578.580217360752</v>
      </c>
      <c r="O106" s="29">
        <f t="shared" si="23"/>
        <v>30576.36808764645</v>
      </c>
      <c r="P106" s="29">
        <f t="shared" si="30"/>
        <v>30576.36808764645</v>
      </c>
      <c r="Q106">
        <f t="shared" si="31"/>
        <v>0</v>
      </c>
      <c r="R106" s="29">
        <f t="shared" si="32"/>
        <v>30576.36808764645</v>
      </c>
      <c r="S106" s="29">
        <f t="shared" si="24"/>
        <v>30576.368087646468</v>
      </c>
      <c r="T106" s="29">
        <f t="shared" si="33"/>
        <v>30576.368087646468</v>
      </c>
      <c r="U106">
        <f t="shared" si="34"/>
        <v>0</v>
      </c>
      <c r="V106" s="29">
        <f t="shared" si="35"/>
        <v>30576.368087646468</v>
      </c>
      <c r="W106" s="29">
        <f t="shared" si="25"/>
        <v>30576.368087646471</v>
      </c>
      <c r="X106" s="29">
        <f t="shared" si="36"/>
        <v>30576.368087646471</v>
      </c>
      <c r="Y106">
        <f t="shared" si="37"/>
        <v>0</v>
      </c>
    </row>
    <row r="107" spans="1:25" x14ac:dyDescent="0.25">
      <c r="A107" s="4" t="s">
        <v>860</v>
      </c>
      <c r="B107" s="7" t="s">
        <v>426</v>
      </c>
      <c r="C107" s="2" t="s">
        <v>861</v>
      </c>
      <c r="D107">
        <f>VLOOKUP(B107,'Model allocations'!$A$1:$L$317,5,FALSE)</f>
        <v>24312.673074921437</v>
      </c>
      <c r="E107" s="31">
        <f>VLOOKUP(B107,'Initial adjusted formula count'!$A$1:$P$317,12,FALSE)</f>
        <v>0.29797979797979801</v>
      </c>
      <c r="F107">
        <f>VLOOKUP(B107,'Model allocations'!$A$1:$L$317,10,FALSE)</f>
        <v>38382.247058691646</v>
      </c>
      <c r="G107" s="30">
        <f t="shared" si="26"/>
        <v>0.9</v>
      </c>
      <c r="H107">
        <f t="shared" si="27"/>
        <v>21881.405767429293</v>
      </c>
      <c r="I107">
        <f t="shared" si="19"/>
        <v>0</v>
      </c>
      <c r="J107">
        <f t="shared" si="20"/>
        <v>38382.247058691646</v>
      </c>
      <c r="K107">
        <f t="shared" si="21"/>
        <v>38360.240545409135</v>
      </c>
      <c r="L107">
        <f t="shared" si="28"/>
        <v>38360.240545409135</v>
      </c>
      <c r="M107">
        <f t="shared" si="22"/>
        <v>0</v>
      </c>
      <c r="N107" s="29">
        <f t="shared" si="29"/>
        <v>38360.240545409135</v>
      </c>
      <c r="O107" s="29">
        <f t="shared" si="23"/>
        <v>38357.465471244308</v>
      </c>
      <c r="P107" s="29">
        <f t="shared" si="30"/>
        <v>38357.465471244308</v>
      </c>
      <c r="Q107">
        <f t="shared" si="31"/>
        <v>0</v>
      </c>
      <c r="R107" s="29">
        <f t="shared" si="32"/>
        <v>38357.465471244308</v>
      </c>
      <c r="S107" s="29">
        <f t="shared" si="24"/>
        <v>38357.46547124433</v>
      </c>
      <c r="T107" s="29">
        <f t="shared" si="33"/>
        <v>38357.46547124433</v>
      </c>
      <c r="U107">
        <f t="shared" si="34"/>
        <v>0</v>
      </c>
      <c r="V107" s="29">
        <f t="shared" si="35"/>
        <v>38357.46547124433</v>
      </c>
      <c r="W107" s="29">
        <f t="shared" si="25"/>
        <v>38357.465471244337</v>
      </c>
      <c r="X107" s="29">
        <f t="shared" si="36"/>
        <v>38357.465471244337</v>
      </c>
      <c r="Y107">
        <f t="shared" si="37"/>
        <v>0</v>
      </c>
    </row>
    <row r="108" spans="1:25" x14ac:dyDescent="0.25">
      <c r="A108" s="4" t="s">
        <v>862</v>
      </c>
      <c r="B108" s="7" t="s">
        <v>428</v>
      </c>
      <c r="C108" s="2" t="s">
        <v>863</v>
      </c>
      <c r="D108">
        <f>VLOOKUP(B108,'Model allocations'!$A$1:$L$317,5,FALSE)</f>
        <v>0</v>
      </c>
      <c r="E108" s="31">
        <f>VLOOKUP(B108,'Initial adjusted formula count'!$A$1:$P$317,12,FALSE)</f>
        <v>9.2592592592592601E-2</v>
      </c>
      <c r="F108">
        <f>VLOOKUP(B108,'Model allocations'!$A$1:$L$317,10,FALSE)</f>
        <v>0</v>
      </c>
      <c r="G108" s="30">
        <f t="shared" si="26"/>
        <v>0.85</v>
      </c>
      <c r="H108">
        <f t="shared" si="27"/>
        <v>0</v>
      </c>
      <c r="I108">
        <f t="shared" si="19"/>
        <v>0</v>
      </c>
      <c r="J108">
        <f t="shared" si="20"/>
        <v>0</v>
      </c>
      <c r="K108">
        <f t="shared" si="21"/>
        <v>0</v>
      </c>
      <c r="L108">
        <f t="shared" si="28"/>
        <v>0</v>
      </c>
      <c r="M108">
        <f t="shared" si="22"/>
        <v>0</v>
      </c>
      <c r="N108" s="29">
        <f t="shared" si="29"/>
        <v>0</v>
      </c>
      <c r="O108" s="29">
        <f t="shared" si="23"/>
        <v>0</v>
      </c>
      <c r="P108" s="29">
        <f t="shared" si="30"/>
        <v>0</v>
      </c>
      <c r="Q108">
        <f t="shared" si="31"/>
        <v>0</v>
      </c>
      <c r="R108" s="29">
        <f t="shared" si="32"/>
        <v>0</v>
      </c>
      <c r="S108" s="29">
        <f t="shared" si="24"/>
        <v>0</v>
      </c>
      <c r="T108" s="29">
        <f t="shared" si="33"/>
        <v>0</v>
      </c>
      <c r="U108">
        <f t="shared" si="34"/>
        <v>0</v>
      </c>
      <c r="V108" s="29">
        <f t="shared" si="35"/>
        <v>0</v>
      </c>
      <c r="W108" s="29">
        <f t="shared" si="25"/>
        <v>0</v>
      </c>
      <c r="X108" s="29">
        <f t="shared" si="36"/>
        <v>0</v>
      </c>
      <c r="Y108">
        <f t="shared" si="37"/>
        <v>0</v>
      </c>
    </row>
    <row r="109" spans="1:25" x14ac:dyDescent="0.25">
      <c r="A109" s="4" t="s">
        <v>864</v>
      </c>
      <c r="B109" s="7" t="s">
        <v>143</v>
      </c>
      <c r="C109" s="2" t="s">
        <v>865</v>
      </c>
      <c r="D109">
        <f>VLOOKUP(B109,'Model allocations'!$A$1:$L$317,5,FALSE)</f>
        <v>0</v>
      </c>
      <c r="E109" s="31">
        <f>VLOOKUP(B109,'Initial adjusted formula count'!$A$1:$P$317,12,FALSE)</f>
        <v>4.0799333888426298E-2</v>
      </c>
      <c r="F109">
        <f>VLOOKUP(B109,'Model allocations'!$A$1:$L$317,10,FALSE)</f>
        <v>0</v>
      </c>
      <c r="G109" s="30">
        <f t="shared" si="26"/>
        <v>0.85</v>
      </c>
      <c r="H109">
        <f t="shared" si="27"/>
        <v>0</v>
      </c>
      <c r="I109">
        <f t="shared" si="19"/>
        <v>0</v>
      </c>
      <c r="J109">
        <f t="shared" si="20"/>
        <v>0</v>
      </c>
      <c r="K109">
        <f t="shared" si="21"/>
        <v>0</v>
      </c>
      <c r="L109">
        <f t="shared" si="28"/>
        <v>0</v>
      </c>
      <c r="M109">
        <f t="shared" si="22"/>
        <v>0</v>
      </c>
      <c r="N109" s="29">
        <f t="shared" si="29"/>
        <v>0</v>
      </c>
      <c r="O109" s="29">
        <f t="shared" si="23"/>
        <v>0</v>
      </c>
      <c r="P109" s="29">
        <f t="shared" si="30"/>
        <v>0</v>
      </c>
      <c r="Q109">
        <f t="shared" si="31"/>
        <v>0</v>
      </c>
      <c r="R109" s="29">
        <f t="shared" si="32"/>
        <v>0</v>
      </c>
      <c r="S109" s="29">
        <f t="shared" si="24"/>
        <v>0</v>
      </c>
      <c r="T109" s="29">
        <f t="shared" si="33"/>
        <v>0</v>
      </c>
      <c r="U109">
        <f t="shared" si="34"/>
        <v>0</v>
      </c>
      <c r="V109" s="29">
        <f t="shared" si="35"/>
        <v>0</v>
      </c>
      <c r="W109" s="29">
        <f t="shared" si="25"/>
        <v>0</v>
      </c>
      <c r="X109" s="29">
        <f t="shared" si="36"/>
        <v>0</v>
      </c>
      <c r="Y109">
        <f t="shared" si="37"/>
        <v>0</v>
      </c>
    </row>
    <row r="110" spans="1:25" x14ac:dyDescent="0.25">
      <c r="A110" s="4" t="s">
        <v>866</v>
      </c>
      <c r="B110" s="7" t="s">
        <v>145</v>
      </c>
      <c r="C110" s="2" t="s">
        <v>867</v>
      </c>
      <c r="D110">
        <f>VLOOKUP(B110,'Model allocations'!$A$1:$L$317,5,FALSE)</f>
        <v>16860.586187624245</v>
      </c>
      <c r="E110" s="31">
        <f>VLOOKUP(B110,'Initial adjusted formula count'!$A$1:$P$317,12,FALSE)</f>
        <v>0.116666666666667</v>
      </c>
      <c r="F110">
        <f>VLOOKUP(B110,'Model allocations'!$A$1:$L$317,10,FALSE)</f>
        <v>0</v>
      </c>
      <c r="G110" s="30">
        <f t="shared" si="26"/>
        <v>0.85</v>
      </c>
      <c r="H110">
        <f t="shared" si="27"/>
        <v>0</v>
      </c>
      <c r="I110">
        <f t="shared" si="19"/>
        <v>0</v>
      </c>
      <c r="J110">
        <f t="shared" si="20"/>
        <v>0</v>
      </c>
      <c r="K110">
        <f t="shared" si="21"/>
        <v>0</v>
      </c>
      <c r="L110">
        <f t="shared" si="28"/>
        <v>0</v>
      </c>
      <c r="M110">
        <f t="shared" si="22"/>
        <v>0</v>
      </c>
      <c r="N110" s="29">
        <f t="shared" si="29"/>
        <v>0</v>
      </c>
      <c r="O110" s="29">
        <f t="shared" si="23"/>
        <v>0</v>
      </c>
      <c r="P110" s="29">
        <f t="shared" si="30"/>
        <v>0</v>
      </c>
      <c r="Q110">
        <f t="shared" si="31"/>
        <v>0</v>
      </c>
      <c r="R110" s="29">
        <f t="shared" si="32"/>
        <v>0</v>
      </c>
      <c r="S110" s="29">
        <f t="shared" si="24"/>
        <v>0</v>
      </c>
      <c r="T110" s="29">
        <f t="shared" si="33"/>
        <v>0</v>
      </c>
      <c r="U110">
        <f t="shared" si="34"/>
        <v>0</v>
      </c>
      <c r="V110" s="29">
        <f t="shared" si="35"/>
        <v>0</v>
      </c>
      <c r="W110" s="29">
        <f t="shared" si="25"/>
        <v>0</v>
      </c>
      <c r="X110" s="29">
        <f t="shared" si="36"/>
        <v>0</v>
      </c>
      <c r="Y110">
        <f t="shared" si="37"/>
        <v>0</v>
      </c>
    </row>
    <row r="111" spans="1:25" x14ac:dyDescent="0.25">
      <c r="A111" s="4" t="s">
        <v>868</v>
      </c>
      <c r="B111" s="7" t="s">
        <v>147</v>
      </c>
      <c r="C111" s="2" t="s">
        <v>869</v>
      </c>
      <c r="D111">
        <f>VLOOKUP(B111,'Model allocations'!$A$1:$L$317,5,FALSE)</f>
        <v>46917.845252679894</v>
      </c>
      <c r="E111" s="31">
        <f>VLOOKUP(B111,'Initial adjusted formula count'!$A$1:$P$317,12,FALSE)</f>
        <v>7.7147016011644795E-2</v>
      </c>
      <c r="F111">
        <f>VLOOKUP(B111,'Model allocations'!$A$1:$L$317,10,FALSE)</f>
        <v>44449.935876147254</v>
      </c>
      <c r="G111" s="30">
        <f t="shared" si="26"/>
        <v>0.85</v>
      </c>
      <c r="H111">
        <f t="shared" si="27"/>
        <v>39880.168464777911</v>
      </c>
      <c r="I111">
        <f t="shared" si="19"/>
        <v>0</v>
      </c>
      <c r="J111">
        <f t="shared" si="20"/>
        <v>44449.935876147254</v>
      </c>
      <c r="K111">
        <f t="shared" si="21"/>
        <v>44424.450445271628</v>
      </c>
      <c r="L111">
        <f t="shared" si="28"/>
        <v>44424.450445271628</v>
      </c>
      <c r="M111">
        <f t="shared" si="22"/>
        <v>0</v>
      </c>
      <c r="N111" s="29">
        <f t="shared" si="29"/>
        <v>44424.450445271628</v>
      </c>
      <c r="O111" s="29">
        <f t="shared" si="23"/>
        <v>44421.236671245075</v>
      </c>
      <c r="P111" s="29">
        <f t="shared" si="30"/>
        <v>44421.236671245075</v>
      </c>
      <c r="Q111">
        <f t="shared" si="31"/>
        <v>0</v>
      </c>
      <c r="R111" s="29">
        <f t="shared" si="32"/>
        <v>44421.236671245075</v>
      </c>
      <c r="S111" s="29">
        <f t="shared" si="24"/>
        <v>44421.236671245104</v>
      </c>
      <c r="T111" s="29">
        <f t="shared" si="33"/>
        <v>44421.236671245104</v>
      </c>
      <c r="U111">
        <f t="shared" si="34"/>
        <v>0</v>
      </c>
      <c r="V111" s="29">
        <f t="shared" si="35"/>
        <v>44421.236671245104</v>
      </c>
      <c r="W111" s="29">
        <f t="shared" si="25"/>
        <v>44421.236671245111</v>
      </c>
      <c r="X111" s="29">
        <f t="shared" si="36"/>
        <v>44421.236671245111</v>
      </c>
      <c r="Y111">
        <f t="shared" si="37"/>
        <v>0</v>
      </c>
    </row>
    <row r="112" spans="1:25" x14ac:dyDescent="0.25">
      <c r="A112" s="4" t="s">
        <v>870</v>
      </c>
      <c r="B112" s="7" t="s">
        <v>430</v>
      </c>
      <c r="C112" s="2" t="s">
        <v>871</v>
      </c>
      <c r="D112">
        <f>VLOOKUP(B112,'Model allocations'!$A$1:$L$317,5,FALSE)</f>
        <v>19913.116760369812</v>
      </c>
      <c r="E112" s="31">
        <f>VLOOKUP(B112,'Initial adjusted formula count'!$A$1:$P$317,12,FALSE)</f>
        <v>0.23148148148148101</v>
      </c>
      <c r="F112">
        <f>VLOOKUP(B112,'Model allocations'!$A$1:$L$317,10,FALSE)</f>
        <v>17921.805084332831</v>
      </c>
      <c r="G112" s="30">
        <f t="shared" si="26"/>
        <v>0.9</v>
      </c>
      <c r="H112">
        <f t="shared" si="27"/>
        <v>17921.805084332831</v>
      </c>
      <c r="I112">
        <f t="shared" si="19"/>
        <v>0</v>
      </c>
      <c r="J112">
        <f t="shared" si="20"/>
        <v>17921.805084332831</v>
      </c>
      <c r="K112">
        <f t="shared" si="21"/>
        <v>17911.529593139418</v>
      </c>
      <c r="L112">
        <f t="shared" si="28"/>
        <v>17911.529593139418</v>
      </c>
      <c r="M112">
        <f t="shared" si="22"/>
        <v>17921.805084332831</v>
      </c>
      <c r="N112" s="29">
        <f t="shared" si="29"/>
        <v>0</v>
      </c>
      <c r="O112" s="29">
        <f t="shared" si="23"/>
        <v>0</v>
      </c>
      <c r="P112" s="29">
        <f t="shared" si="30"/>
        <v>17921.805084332831</v>
      </c>
      <c r="Q112">
        <f t="shared" si="31"/>
        <v>0</v>
      </c>
      <c r="R112" s="29">
        <f t="shared" si="32"/>
        <v>0</v>
      </c>
      <c r="S112" s="29">
        <f t="shared" si="24"/>
        <v>0</v>
      </c>
      <c r="T112" s="29">
        <f t="shared" si="33"/>
        <v>17921.805084332831</v>
      </c>
      <c r="U112">
        <f t="shared" si="34"/>
        <v>0</v>
      </c>
      <c r="V112" s="29">
        <f t="shared" si="35"/>
        <v>0</v>
      </c>
      <c r="W112" s="29">
        <f t="shared" si="25"/>
        <v>0</v>
      </c>
      <c r="X112" s="29">
        <f t="shared" si="36"/>
        <v>17921.805084332831</v>
      </c>
      <c r="Y112">
        <f t="shared" si="37"/>
        <v>0</v>
      </c>
    </row>
    <row r="113" spans="1:25" x14ac:dyDescent="0.25">
      <c r="A113" s="8" t="s">
        <v>872</v>
      </c>
      <c r="B113" s="7" t="s">
        <v>432</v>
      </c>
      <c r="C113" s="2" t="s">
        <v>873</v>
      </c>
      <c r="D113">
        <f>VLOOKUP(B113,'Model allocations'!$A$1:$L$317,5,FALSE)</f>
        <v>430697.58821867983</v>
      </c>
      <c r="E113" s="31">
        <f>VLOOKUP(B113,'Initial adjusted formula count'!$A$1:$P$317,12,FALSE)</f>
        <v>0.163636363636364</v>
      </c>
      <c r="F113">
        <f>VLOOKUP(B113,'Model allocations'!$A$1:$L$317,10,FALSE)</f>
        <v>426887.12001809344</v>
      </c>
      <c r="G113" s="30">
        <f t="shared" si="26"/>
        <v>0.9</v>
      </c>
      <c r="H113">
        <f t="shared" si="27"/>
        <v>387627.82939681184</v>
      </c>
      <c r="I113">
        <f t="shared" si="19"/>
        <v>0</v>
      </c>
      <c r="J113">
        <f t="shared" si="20"/>
        <v>426887.12001809344</v>
      </c>
      <c r="K113">
        <f t="shared" si="21"/>
        <v>426642.36371025018</v>
      </c>
      <c r="L113">
        <f t="shared" si="28"/>
        <v>426642.36371025018</v>
      </c>
      <c r="M113">
        <f t="shared" si="22"/>
        <v>0</v>
      </c>
      <c r="N113" s="29">
        <f t="shared" si="29"/>
        <v>426642.36371025018</v>
      </c>
      <c r="O113" s="29">
        <f t="shared" si="23"/>
        <v>426611.49935214606</v>
      </c>
      <c r="P113" s="29">
        <f t="shared" si="30"/>
        <v>426611.49935214606</v>
      </c>
      <c r="Q113">
        <f t="shared" si="31"/>
        <v>0</v>
      </c>
      <c r="R113" s="29">
        <f t="shared" si="32"/>
        <v>426611.49935214606</v>
      </c>
      <c r="S113" s="29">
        <f t="shared" si="24"/>
        <v>426611.49935214629</v>
      </c>
      <c r="T113" s="29">
        <f t="shared" si="33"/>
        <v>426611.49935214629</v>
      </c>
      <c r="U113">
        <f t="shared" si="34"/>
        <v>0</v>
      </c>
      <c r="V113" s="29">
        <f t="shared" si="35"/>
        <v>426611.49935214629</v>
      </c>
      <c r="W113" s="29">
        <f t="shared" si="25"/>
        <v>426611.49935214635</v>
      </c>
      <c r="X113" s="29">
        <f t="shared" si="36"/>
        <v>426611.49935214635</v>
      </c>
      <c r="Y113">
        <f t="shared" si="37"/>
        <v>0</v>
      </c>
    </row>
    <row r="114" spans="1:25" x14ac:dyDescent="0.25">
      <c r="A114" s="4" t="s">
        <v>874</v>
      </c>
      <c r="B114" s="7" t="s">
        <v>434</v>
      </c>
      <c r="C114" s="2" t="s">
        <v>875</v>
      </c>
      <c r="D114">
        <f>VLOOKUP(B114,'Model allocations'!$A$1:$L$317,5,FALSE)</f>
        <v>1728346.4134967471</v>
      </c>
      <c r="E114" s="31">
        <f>VLOOKUP(B114,'Initial adjusted formula count'!$A$1:$P$317,12,FALSE)</f>
        <v>0.145737855178735</v>
      </c>
      <c r="F114">
        <f>VLOOKUP(B114,'Model allocations'!$A$1:$L$317,10,FALSE)</f>
        <v>1914492.2853070782</v>
      </c>
      <c r="G114" s="30">
        <f t="shared" si="26"/>
        <v>0.85</v>
      </c>
      <c r="H114">
        <f t="shared" si="27"/>
        <v>1469094.4514722351</v>
      </c>
      <c r="I114">
        <f t="shared" si="19"/>
        <v>0</v>
      </c>
      <c r="J114">
        <f t="shared" si="20"/>
        <v>1914492.2853070782</v>
      </c>
      <c r="K114">
        <f t="shared" si="21"/>
        <v>1913394.6085649778</v>
      </c>
      <c r="L114">
        <f t="shared" si="28"/>
        <v>1913394.6085649778</v>
      </c>
      <c r="M114">
        <f t="shared" si="22"/>
        <v>0</v>
      </c>
      <c r="N114" s="29">
        <f t="shared" si="29"/>
        <v>1913394.6085649778</v>
      </c>
      <c r="O114" s="29">
        <f t="shared" si="23"/>
        <v>1913256.188892164</v>
      </c>
      <c r="P114" s="29">
        <f t="shared" si="30"/>
        <v>1913256.188892164</v>
      </c>
      <c r="Q114">
        <f t="shared" si="31"/>
        <v>0</v>
      </c>
      <c r="R114" s="29">
        <f t="shared" si="32"/>
        <v>1913256.188892164</v>
      </c>
      <c r="S114" s="29">
        <f t="shared" si="24"/>
        <v>1913256.1888921652</v>
      </c>
      <c r="T114" s="29">
        <f t="shared" si="33"/>
        <v>1913256.1888921652</v>
      </c>
      <c r="U114">
        <f t="shared" si="34"/>
        <v>0</v>
      </c>
      <c r="V114" s="29">
        <f t="shared" si="35"/>
        <v>1913256.1888921652</v>
      </c>
      <c r="W114" s="29">
        <f t="shared" si="25"/>
        <v>1913256.1888921654</v>
      </c>
      <c r="X114" s="29">
        <f t="shared" si="36"/>
        <v>1913256.1888921654</v>
      </c>
      <c r="Y114">
        <f t="shared" si="37"/>
        <v>0</v>
      </c>
    </row>
    <row r="115" spans="1:25" x14ac:dyDescent="0.25">
      <c r="A115" s="4" t="s">
        <v>876</v>
      </c>
      <c r="B115" s="7" t="s">
        <v>436</v>
      </c>
      <c r="C115" s="2" t="s">
        <v>877</v>
      </c>
      <c r="D115">
        <f>VLOOKUP(B115,'Model allocations'!$A$1:$L$317,5,FALSE)</f>
        <v>2927632.3877626183</v>
      </c>
      <c r="E115" s="31">
        <f>VLOOKUP(B115,'Initial adjusted formula count'!$A$1:$P$317,12,FALSE)</f>
        <v>0.14776951672862501</v>
      </c>
      <c r="F115">
        <f>VLOOKUP(B115,'Model allocations'!$A$1:$L$317,10,FALSE)</f>
        <v>3114640.5539630535</v>
      </c>
      <c r="G115" s="30">
        <f t="shared" si="26"/>
        <v>0.85</v>
      </c>
      <c r="H115">
        <f t="shared" si="27"/>
        <v>2488487.5295982254</v>
      </c>
      <c r="I115">
        <f t="shared" si="19"/>
        <v>0</v>
      </c>
      <c r="J115">
        <f t="shared" si="20"/>
        <v>3114640.5539630535</v>
      </c>
      <c r="K115">
        <f t="shared" si="21"/>
        <v>3112854.7705873111</v>
      </c>
      <c r="L115">
        <f t="shared" si="28"/>
        <v>3112854.7705873111</v>
      </c>
      <c r="M115">
        <f t="shared" si="22"/>
        <v>0</v>
      </c>
      <c r="N115" s="29">
        <f t="shared" si="29"/>
        <v>3112854.7705873111</v>
      </c>
      <c r="O115" s="29">
        <f t="shared" si="23"/>
        <v>3112629.5790157802</v>
      </c>
      <c r="P115" s="29">
        <f t="shared" si="30"/>
        <v>3112629.5790157802</v>
      </c>
      <c r="Q115">
        <f t="shared" si="31"/>
        <v>0</v>
      </c>
      <c r="R115" s="29">
        <f t="shared" si="32"/>
        <v>3112629.5790157802</v>
      </c>
      <c r="S115" s="29">
        <f t="shared" si="24"/>
        <v>3112629.5790157816</v>
      </c>
      <c r="T115" s="29">
        <f t="shared" si="33"/>
        <v>3112629.5790157816</v>
      </c>
      <c r="U115">
        <f t="shared" si="34"/>
        <v>0</v>
      </c>
      <c r="V115" s="29">
        <f t="shared" si="35"/>
        <v>3112629.5790157816</v>
      </c>
      <c r="W115" s="29">
        <f t="shared" si="25"/>
        <v>3112629.5790157816</v>
      </c>
      <c r="X115" s="29">
        <f t="shared" si="36"/>
        <v>3112629.5790157816</v>
      </c>
      <c r="Y115">
        <f t="shared" si="37"/>
        <v>0</v>
      </c>
    </row>
    <row r="116" spans="1:25" x14ac:dyDescent="0.25">
      <c r="A116" s="4" t="s">
        <v>878</v>
      </c>
      <c r="B116" s="7" t="s">
        <v>438</v>
      </c>
      <c r="C116" s="2" t="s">
        <v>879</v>
      </c>
      <c r="D116">
        <f>VLOOKUP(B116,'Model allocations'!$A$1:$L$317,5,FALSE)</f>
        <v>65710.615719978538</v>
      </c>
      <c r="E116" s="31">
        <f>VLOOKUP(B116,'Initial adjusted formula count'!$A$1:$P$317,12,FALSE)</f>
        <v>0.156282998944034</v>
      </c>
      <c r="F116">
        <f>VLOOKUP(B116,'Model allocations'!$A$1:$L$317,10,FALSE)</f>
        <v>62206.028869548194</v>
      </c>
      <c r="G116" s="30">
        <f t="shared" si="26"/>
        <v>0.9</v>
      </c>
      <c r="H116">
        <f t="shared" si="27"/>
        <v>59139.554147980685</v>
      </c>
      <c r="I116">
        <f t="shared" si="19"/>
        <v>0</v>
      </c>
      <c r="J116">
        <f t="shared" si="20"/>
        <v>62206.028869548194</v>
      </c>
      <c r="K116">
        <f t="shared" si="21"/>
        <v>62170.362958730708</v>
      </c>
      <c r="L116">
        <f t="shared" si="28"/>
        <v>62170.362958730708</v>
      </c>
      <c r="M116">
        <f t="shared" si="22"/>
        <v>0</v>
      </c>
      <c r="N116" s="29">
        <f t="shared" si="29"/>
        <v>62170.362958730708</v>
      </c>
      <c r="O116" s="29">
        <f t="shared" si="23"/>
        <v>62165.865401739095</v>
      </c>
      <c r="P116" s="29">
        <f t="shared" si="30"/>
        <v>62165.865401739095</v>
      </c>
      <c r="Q116">
        <f t="shared" si="31"/>
        <v>0</v>
      </c>
      <c r="R116" s="29">
        <f t="shared" si="32"/>
        <v>62165.865401739095</v>
      </c>
      <c r="S116" s="29">
        <f t="shared" si="24"/>
        <v>62165.865401739124</v>
      </c>
      <c r="T116" s="29">
        <f t="shared" si="33"/>
        <v>62165.865401739124</v>
      </c>
      <c r="U116">
        <f t="shared" si="34"/>
        <v>0</v>
      </c>
      <c r="V116" s="29">
        <f t="shared" si="35"/>
        <v>62165.865401739124</v>
      </c>
      <c r="W116" s="29">
        <f t="shared" si="25"/>
        <v>62165.865401739131</v>
      </c>
      <c r="X116" s="29">
        <f t="shared" si="36"/>
        <v>62165.865401739131</v>
      </c>
      <c r="Y116">
        <f t="shared" si="37"/>
        <v>0</v>
      </c>
    </row>
    <row r="117" spans="1:25" x14ac:dyDescent="0.25">
      <c r="A117" s="8" t="s">
        <v>880</v>
      </c>
      <c r="B117" s="7" t="s">
        <v>440</v>
      </c>
      <c r="C117" s="2" t="s">
        <v>881</v>
      </c>
      <c r="D117">
        <f>VLOOKUP(B117,'Model allocations'!$A$1:$L$317,5,FALSE)</f>
        <v>102890.01151903483</v>
      </c>
      <c r="E117" s="31">
        <f>VLOOKUP(B117,'Initial adjusted formula count'!$A$1:$P$317,12,FALSE)</f>
        <v>0.109152927799886</v>
      </c>
      <c r="F117">
        <f>VLOOKUP(B117,'Model allocations'!$A$1:$L$317,10,FALSE)</f>
        <v>87456.509791179604</v>
      </c>
      <c r="G117" s="30">
        <f t="shared" si="26"/>
        <v>0.85</v>
      </c>
      <c r="H117">
        <f t="shared" si="27"/>
        <v>87456.509791179604</v>
      </c>
      <c r="I117">
        <f t="shared" si="19"/>
        <v>0</v>
      </c>
      <c r="J117">
        <f t="shared" si="20"/>
        <v>87456.509791179604</v>
      </c>
      <c r="K117">
        <f t="shared" si="21"/>
        <v>87406.366482961632</v>
      </c>
      <c r="L117">
        <f t="shared" si="28"/>
        <v>87406.366482961632</v>
      </c>
      <c r="M117">
        <f t="shared" si="22"/>
        <v>87456.509791179604</v>
      </c>
      <c r="N117" s="29">
        <f t="shared" si="29"/>
        <v>0</v>
      </c>
      <c r="O117" s="29">
        <f t="shared" si="23"/>
        <v>0</v>
      </c>
      <c r="P117" s="29">
        <f t="shared" si="30"/>
        <v>87456.509791179604</v>
      </c>
      <c r="Q117">
        <f t="shared" si="31"/>
        <v>0</v>
      </c>
      <c r="R117" s="29">
        <f t="shared" si="32"/>
        <v>0</v>
      </c>
      <c r="S117" s="29">
        <f t="shared" si="24"/>
        <v>0</v>
      </c>
      <c r="T117" s="29">
        <f t="shared" si="33"/>
        <v>87456.509791179604</v>
      </c>
      <c r="U117">
        <f t="shared" si="34"/>
        <v>0</v>
      </c>
      <c r="V117" s="29">
        <f t="shared" si="35"/>
        <v>0</v>
      </c>
      <c r="W117" s="29">
        <f t="shared" si="25"/>
        <v>0</v>
      </c>
      <c r="X117" s="29">
        <f t="shared" si="36"/>
        <v>87456.509791179604</v>
      </c>
      <c r="Y117">
        <f t="shared" si="37"/>
        <v>0</v>
      </c>
    </row>
    <row r="118" spans="1:25" x14ac:dyDescent="0.25">
      <c r="A118" s="4" t="s">
        <v>882</v>
      </c>
      <c r="B118" s="7" t="s">
        <v>278</v>
      </c>
      <c r="C118" s="2" t="s">
        <v>883</v>
      </c>
      <c r="D118">
        <f>VLOOKUP(B118,'Model allocations'!$A$1:$L$317,5,FALSE)</f>
        <v>23870.482672416088</v>
      </c>
      <c r="E118" s="31">
        <f>VLOOKUP(B118,'Initial adjusted formula count'!$A$1:$P$317,12,FALSE)</f>
        <v>9.5046854082998594E-2</v>
      </c>
      <c r="F118">
        <f>VLOOKUP(B118,'Model allocations'!$A$1:$L$317,10,FALSE)</f>
        <v>29773.070256664665</v>
      </c>
      <c r="G118" s="30">
        <f t="shared" si="26"/>
        <v>0.85</v>
      </c>
      <c r="H118">
        <f t="shared" si="27"/>
        <v>20289.910271553676</v>
      </c>
      <c r="I118">
        <f t="shared" si="19"/>
        <v>0</v>
      </c>
      <c r="J118">
        <f t="shared" si="20"/>
        <v>29773.070256664665</v>
      </c>
      <c r="K118">
        <f t="shared" si="21"/>
        <v>29755.999826549862</v>
      </c>
      <c r="L118">
        <f t="shared" si="28"/>
        <v>29755.999826549862</v>
      </c>
      <c r="M118">
        <f t="shared" si="22"/>
        <v>0</v>
      </c>
      <c r="N118" s="29">
        <f t="shared" si="29"/>
        <v>29755.999826549862</v>
      </c>
      <c r="O118" s="29">
        <f t="shared" si="23"/>
        <v>29753.847204324527</v>
      </c>
      <c r="P118" s="29">
        <f t="shared" si="30"/>
        <v>29753.847204324527</v>
      </c>
      <c r="Q118">
        <f t="shared" si="31"/>
        <v>0</v>
      </c>
      <c r="R118" s="29">
        <f t="shared" si="32"/>
        <v>29753.847204324527</v>
      </c>
      <c r="S118" s="29">
        <f t="shared" si="24"/>
        <v>29753.847204324546</v>
      </c>
      <c r="T118" s="29">
        <f t="shared" si="33"/>
        <v>29753.847204324546</v>
      </c>
      <c r="U118">
        <f t="shared" si="34"/>
        <v>0</v>
      </c>
      <c r="V118" s="29">
        <f t="shared" si="35"/>
        <v>29753.847204324546</v>
      </c>
      <c r="W118" s="29">
        <f t="shared" si="25"/>
        <v>29753.847204324549</v>
      </c>
      <c r="X118" s="29">
        <f t="shared" si="36"/>
        <v>29753.847204324549</v>
      </c>
      <c r="Y118">
        <f t="shared" si="37"/>
        <v>0</v>
      </c>
    </row>
    <row r="119" spans="1:25" x14ac:dyDescent="0.25">
      <c r="A119" s="4" t="s">
        <v>884</v>
      </c>
      <c r="B119" s="7" t="s">
        <v>441</v>
      </c>
      <c r="C119" s="2" t="s">
        <v>885</v>
      </c>
      <c r="D119">
        <f>VLOOKUP(B119,'Model allocations'!$A$1:$L$317,5,FALSE)</f>
        <v>6509.9850655167284</v>
      </c>
      <c r="E119" s="31">
        <f>VLOOKUP(B119,'Initial adjusted formula count'!$A$1:$P$317,12,FALSE)</f>
        <v>6.0975609756097601E-2</v>
      </c>
      <c r="F119">
        <f>VLOOKUP(B119,'Model allocations'!$A$1:$L$317,10,FALSE)</f>
        <v>0</v>
      </c>
      <c r="G119" s="30">
        <f t="shared" si="26"/>
        <v>0.85</v>
      </c>
      <c r="H119">
        <f t="shared" si="27"/>
        <v>0</v>
      </c>
      <c r="I119">
        <f t="shared" si="19"/>
        <v>0</v>
      </c>
      <c r="J119">
        <f t="shared" si="20"/>
        <v>0</v>
      </c>
      <c r="K119">
        <f t="shared" si="21"/>
        <v>0</v>
      </c>
      <c r="L119">
        <f t="shared" si="28"/>
        <v>0</v>
      </c>
      <c r="M119">
        <f t="shared" si="22"/>
        <v>0</v>
      </c>
      <c r="N119" s="29">
        <f t="shared" si="29"/>
        <v>0</v>
      </c>
      <c r="O119" s="29">
        <f t="shared" si="23"/>
        <v>0</v>
      </c>
      <c r="P119" s="29">
        <f t="shared" si="30"/>
        <v>0</v>
      </c>
      <c r="Q119">
        <f t="shared" si="31"/>
        <v>0</v>
      </c>
      <c r="R119" s="29">
        <f t="shared" si="32"/>
        <v>0</v>
      </c>
      <c r="S119" s="29">
        <f t="shared" si="24"/>
        <v>0</v>
      </c>
      <c r="T119" s="29">
        <f t="shared" si="33"/>
        <v>0</v>
      </c>
      <c r="U119">
        <f t="shared" si="34"/>
        <v>0</v>
      </c>
      <c r="V119" s="29">
        <f t="shared" si="35"/>
        <v>0</v>
      </c>
      <c r="W119" s="29">
        <f t="shared" si="25"/>
        <v>0</v>
      </c>
      <c r="X119" s="29">
        <f t="shared" si="36"/>
        <v>0</v>
      </c>
      <c r="Y119">
        <f t="shared" si="37"/>
        <v>0</v>
      </c>
    </row>
    <row r="120" spans="1:25" x14ac:dyDescent="0.25">
      <c r="A120" s="4" t="s">
        <v>886</v>
      </c>
      <c r="B120" s="7" t="s">
        <v>149</v>
      </c>
      <c r="C120" s="2" t="s">
        <v>887</v>
      </c>
      <c r="D120">
        <f>VLOOKUP(B120,'Model allocations'!$A$1:$L$317,5,FALSE)</f>
        <v>52075.262084600537</v>
      </c>
      <c r="E120" s="31">
        <f>VLOOKUP(B120,'Initial adjusted formula count'!$A$1:$P$317,12,FALSE)</f>
        <v>4.3791859866048402E-2</v>
      </c>
      <c r="F120">
        <f>VLOOKUP(B120,'Model allocations'!$A$1:$L$317,10,FALSE)</f>
        <v>0</v>
      </c>
      <c r="G120" s="30">
        <f t="shared" si="26"/>
        <v>0.85</v>
      </c>
      <c r="H120">
        <f t="shared" si="27"/>
        <v>0</v>
      </c>
      <c r="I120">
        <f t="shared" si="19"/>
        <v>0</v>
      </c>
      <c r="J120">
        <f t="shared" si="20"/>
        <v>0</v>
      </c>
      <c r="K120">
        <f t="shared" si="21"/>
        <v>0</v>
      </c>
      <c r="L120">
        <f t="shared" si="28"/>
        <v>0</v>
      </c>
      <c r="M120">
        <f t="shared" si="22"/>
        <v>0</v>
      </c>
      <c r="N120" s="29">
        <f t="shared" si="29"/>
        <v>0</v>
      </c>
      <c r="O120" s="29">
        <f t="shared" si="23"/>
        <v>0</v>
      </c>
      <c r="P120" s="29">
        <f t="shared" si="30"/>
        <v>0</v>
      </c>
      <c r="Q120">
        <f t="shared" si="31"/>
        <v>0</v>
      </c>
      <c r="R120" s="29">
        <f t="shared" si="32"/>
        <v>0</v>
      </c>
      <c r="S120" s="29">
        <f t="shared" si="24"/>
        <v>0</v>
      </c>
      <c r="T120" s="29">
        <f t="shared" si="33"/>
        <v>0</v>
      </c>
      <c r="U120">
        <f t="shared" si="34"/>
        <v>0</v>
      </c>
      <c r="V120" s="29">
        <f t="shared" si="35"/>
        <v>0</v>
      </c>
      <c r="W120" s="29">
        <f t="shared" si="25"/>
        <v>0</v>
      </c>
      <c r="X120" s="29">
        <f t="shared" si="36"/>
        <v>0</v>
      </c>
      <c r="Y120">
        <f t="shared" si="37"/>
        <v>0</v>
      </c>
    </row>
    <row r="121" spans="1:25" x14ac:dyDescent="0.25">
      <c r="A121" s="4" t="s">
        <v>888</v>
      </c>
      <c r="B121" s="7" t="s">
        <v>280</v>
      </c>
      <c r="C121" s="2" t="s">
        <v>889</v>
      </c>
      <c r="D121">
        <f>VLOOKUP(B121,'Model allocations'!$A$1:$L$317,5,FALSE)</f>
        <v>60910.260330525867</v>
      </c>
      <c r="E121" s="31">
        <f>VLOOKUP(B121,'Initial adjusted formula count'!$A$1:$P$317,12,FALSE)</f>
        <v>0.107508532423208</v>
      </c>
      <c r="F121">
        <f>VLOOKUP(B121,'Model allocations'!$A$1:$L$317,10,FALSE)</f>
        <v>51773.721280946986</v>
      </c>
      <c r="G121" s="30">
        <f t="shared" si="26"/>
        <v>0.85</v>
      </c>
      <c r="H121">
        <f t="shared" si="27"/>
        <v>51773.721280946986</v>
      </c>
      <c r="I121">
        <f t="shared" si="19"/>
        <v>0</v>
      </c>
      <c r="J121">
        <f t="shared" si="20"/>
        <v>51773.721280946986</v>
      </c>
      <c r="K121">
        <f t="shared" si="21"/>
        <v>51744.03674780039</v>
      </c>
      <c r="L121">
        <f t="shared" si="28"/>
        <v>51744.03674780039</v>
      </c>
      <c r="M121">
        <f t="shared" si="22"/>
        <v>51773.721280946986</v>
      </c>
      <c r="N121" s="29">
        <f t="shared" si="29"/>
        <v>0</v>
      </c>
      <c r="O121" s="29">
        <f t="shared" si="23"/>
        <v>0</v>
      </c>
      <c r="P121" s="29">
        <f t="shared" si="30"/>
        <v>51773.721280946986</v>
      </c>
      <c r="Q121">
        <f t="shared" si="31"/>
        <v>0</v>
      </c>
      <c r="R121" s="29">
        <f t="shared" si="32"/>
        <v>0</v>
      </c>
      <c r="S121" s="29">
        <f t="shared" si="24"/>
        <v>0</v>
      </c>
      <c r="T121" s="29">
        <f t="shared" si="33"/>
        <v>51773.721280946986</v>
      </c>
      <c r="U121">
        <f t="shared" si="34"/>
        <v>0</v>
      </c>
      <c r="V121" s="29">
        <f t="shared" si="35"/>
        <v>0</v>
      </c>
      <c r="W121" s="29">
        <f t="shared" si="25"/>
        <v>0</v>
      </c>
      <c r="X121" s="29">
        <f t="shared" si="36"/>
        <v>51773.721280946986</v>
      </c>
      <c r="Y121">
        <f t="shared" si="37"/>
        <v>0</v>
      </c>
    </row>
    <row r="122" spans="1:25" x14ac:dyDescent="0.25">
      <c r="A122" s="4" t="s">
        <v>890</v>
      </c>
      <c r="B122" s="7" t="s">
        <v>443</v>
      </c>
      <c r="C122" s="2" t="s">
        <v>891</v>
      </c>
      <c r="D122">
        <f>VLOOKUP(B122,'Model allocations'!$A$1:$L$317,5,FALSE)</f>
        <v>8780.2426009906594</v>
      </c>
      <c r="E122" s="31">
        <f>VLOOKUP(B122,'Initial adjusted formula count'!$A$1:$P$317,12,FALSE)</f>
        <v>0.18888888888888899</v>
      </c>
      <c r="F122">
        <f>VLOOKUP(B122,'Model allocations'!$A$1:$L$317,10,FALSE)</f>
        <v>8065.3569969233795</v>
      </c>
      <c r="G122" s="30">
        <f t="shared" si="26"/>
        <v>0.9</v>
      </c>
      <c r="H122">
        <f t="shared" si="27"/>
        <v>7902.2183408915935</v>
      </c>
      <c r="I122">
        <f t="shared" si="19"/>
        <v>0</v>
      </c>
      <c r="J122">
        <f t="shared" si="20"/>
        <v>8065.3569969233795</v>
      </c>
      <c r="K122">
        <f t="shared" si="21"/>
        <v>8060.7327135767164</v>
      </c>
      <c r="L122">
        <f t="shared" si="28"/>
        <v>8060.7327135767164</v>
      </c>
      <c r="M122">
        <f t="shared" si="22"/>
        <v>0</v>
      </c>
      <c r="N122" s="29">
        <f t="shared" si="29"/>
        <v>8060.7327135767164</v>
      </c>
      <c r="O122" s="29">
        <f t="shared" si="23"/>
        <v>8060.1495803433227</v>
      </c>
      <c r="P122" s="29">
        <f t="shared" si="30"/>
        <v>8060.1495803433227</v>
      </c>
      <c r="Q122">
        <f t="shared" si="31"/>
        <v>0</v>
      </c>
      <c r="R122" s="29">
        <f t="shared" si="32"/>
        <v>8060.1495803433227</v>
      </c>
      <c r="S122" s="29">
        <f t="shared" si="24"/>
        <v>8060.1495803433263</v>
      </c>
      <c r="T122" s="29">
        <f t="shared" si="33"/>
        <v>8060.1495803433263</v>
      </c>
      <c r="U122">
        <f t="shared" si="34"/>
        <v>0</v>
      </c>
      <c r="V122" s="29">
        <f t="shared" si="35"/>
        <v>8060.1495803433263</v>
      </c>
      <c r="W122" s="29">
        <f t="shared" si="25"/>
        <v>8060.1495803433263</v>
      </c>
      <c r="X122" s="29">
        <f t="shared" si="36"/>
        <v>8060.1495803433263</v>
      </c>
      <c r="Y122">
        <f t="shared" si="37"/>
        <v>0</v>
      </c>
    </row>
    <row r="123" spans="1:25" x14ac:dyDescent="0.25">
      <c r="A123" s="8" t="s">
        <v>892</v>
      </c>
      <c r="B123" s="7" t="s">
        <v>282</v>
      </c>
      <c r="C123" s="2" t="s">
        <v>893</v>
      </c>
      <c r="D123">
        <f>VLOOKUP(B123,'Model allocations'!$A$1:$L$317,5,FALSE)</f>
        <v>67084.287510410722</v>
      </c>
      <c r="E123" s="31">
        <f>VLOOKUP(B123,'Initial adjusted formula count'!$A$1:$P$317,12,FALSE)</f>
        <v>0.134136546184739</v>
      </c>
      <c r="F123">
        <f>VLOOKUP(B123,'Model allocations'!$A$1:$L$317,10,FALSE)</f>
        <v>70029.615955816902</v>
      </c>
      <c r="G123" s="30">
        <f t="shared" si="26"/>
        <v>0.85</v>
      </c>
      <c r="H123">
        <f t="shared" si="27"/>
        <v>57021.64438384911</v>
      </c>
      <c r="I123">
        <f t="shared" si="19"/>
        <v>0</v>
      </c>
      <c r="J123">
        <f t="shared" si="20"/>
        <v>70029.615955816902</v>
      </c>
      <c r="K123">
        <f t="shared" si="21"/>
        <v>69989.464380758145</v>
      </c>
      <c r="L123">
        <f t="shared" si="28"/>
        <v>69989.464380758145</v>
      </c>
      <c r="M123">
        <f t="shared" si="22"/>
        <v>0</v>
      </c>
      <c r="N123" s="29">
        <f t="shared" si="29"/>
        <v>69989.464380758145</v>
      </c>
      <c r="O123" s="29">
        <f t="shared" si="23"/>
        <v>69984.401170735175</v>
      </c>
      <c r="P123" s="29">
        <f t="shared" si="30"/>
        <v>69984.401170735175</v>
      </c>
      <c r="Q123">
        <f t="shared" si="31"/>
        <v>0</v>
      </c>
      <c r="R123" s="29">
        <f t="shared" si="32"/>
        <v>69984.401170735175</v>
      </c>
      <c r="S123" s="29">
        <f t="shared" si="24"/>
        <v>69984.401170735218</v>
      </c>
      <c r="T123" s="29">
        <f t="shared" si="33"/>
        <v>69984.401170735218</v>
      </c>
      <c r="U123">
        <f t="shared" si="34"/>
        <v>0</v>
      </c>
      <c r="V123" s="29">
        <f t="shared" si="35"/>
        <v>69984.401170735218</v>
      </c>
      <c r="W123" s="29">
        <f t="shared" si="25"/>
        <v>69984.401170735233</v>
      </c>
      <c r="X123" s="29">
        <f t="shared" si="36"/>
        <v>69984.401170735233</v>
      </c>
      <c r="Y123">
        <f t="shared" si="37"/>
        <v>0</v>
      </c>
    </row>
    <row r="124" spans="1:25" x14ac:dyDescent="0.25">
      <c r="A124" s="4" t="s">
        <v>894</v>
      </c>
      <c r="B124" s="7" t="s">
        <v>151</v>
      </c>
      <c r="C124" s="2" t="s">
        <v>895</v>
      </c>
      <c r="D124">
        <f>VLOOKUP(B124,'Model allocations'!$A$1:$L$317,5,FALSE)</f>
        <v>239527.94681631314</v>
      </c>
      <c r="E124" s="31">
        <f>VLOOKUP(B124,'Initial adjusted formula count'!$A$1:$P$317,12,FALSE)</f>
        <v>6.5718157181571799E-2</v>
      </c>
      <c r="F124">
        <f>VLOOKUP(B124,'Model allocations'!$A$1:$L$317,10,FALSE)</f>
        <v>284731.1930179621</v>
      </c>
      <c r="G124" s="30">
        <f t="shared" si="26"/>
        <v>0.85</v>
      </c>
      <c r="H124">
        <f t="shared" si="27"/>
        <v>203598.75479386616</v>
      </c>
      <c r="I124">
        <f t="shared" si="19"/>
        <v>0</v>
      </c>
      <c r="J124">
        <f t="shared" si="20"/>
        <v>284731.1930179621</v>
      </c>
      <c r="K124">
        <f t="shared" si="21"/>
        <v>284567.94200320222</v>
      </c>
      <c r="L124">
        <f t="shared" si="28"/>
        <v>284567.94200320222</v>
      </c>
      <c r="M124">
        <f t="shared" si="22"/>
        <v>0</v>
      </c>
      <c r="N124" s="29">
        <f t="shared" si="29"/>
        <v>284567.94200320222</v>
      </c>
      <c r="O124" s="29">
        <f t="shared" si="23"/>
        <v>284547.35565825854</v>
      </c>
      <c r="P124" s="29">
        <f t="shared" si="30"/>
        <v>284547.35565825854</v>
      </c>
      <c r="Q124">
        <f t="shared" si="31"/>
        <v>0</v>
      </c>
      <c r="R124" s="29">
        <f t="shared" si="32"/>
        <v>284547.35565825854</v>
      </c>
      <c r="S124" s="29">
        <f t="shared" si="24"/>
        <v>284547.35565825872</v>
      </c>
      <c r="T124" s="29">
        <f t="shared" si="33"/>
        <v>284547.35565825872</v>
      </c>
      <c r="U124">
        <f t="shared" si="34"/>
        <v>0</v>
      </c>
      <c r="V124" s="29">
        <f t="shared" si="35"/>
        <v>284547.35565825872</v>
      </c>
      <c r="W124" s="29">
        <f t="shared" si="25"/>
        <v>284547.35565825878</v>
      </c>
      <c r="X124" s="29">
        <f t="shared" si="36"/>
        <v>284547.35565825878</v>
      </c>
      <c r="Y124">
        <f t="shared" si="37"/>
        <v>0</v>
      </c>
    </row>
    <row r="125" spans="1:25" x14ac:dyDescent="0.25">
      <c r="A125" s="4" t="s">
        <v>896</v>
      </c>
      <c r="B125" s="7" t="s">
        <v>153</v>
      </c>
      <c r="C125" s="2" t="s">
        <v>897</v>
      </c>
      <c r="D125">
        <f>VLOOKUP(B125,'Model allocations'!$A$1:$L$317,5,FALSE)</f>
        <v>0</v>
      </c>
      <c r="E125" s="31">
        <f>VLOOKUP(B125,'Initial adjusted formula count'!$A$1:$P$317,12,FALSE)</f>
        <v>4.0675407452964697E-2</v>
      </c>
      <c r="F125">
        <f>VLOOKUP(B125,'Model allocations'!$A$1:$L$317,10,FALSE)</f>
        <v>0</v>
      </c>
      <c r="G125" s="30">
        <f t="shared" si="26"/>
        <v>0.85</v>
      </c>
      <c r="H125">
        <f t="shared" si="27"/>
        <v>0</v>
      </c>
      <c r="I125">
        <f t="shared" si="19"/>
        <v>0</v>
      </c>
      <c r="J125">
        <f t="shared" si="20"/>
        <v>0</v>
      </c>
      <c r="K125">
        <f t="shared" si="21"/>
        <v>0</v>
      </c>
      <c r="L125">
        <f t="shared" si="28"/>
        <v>0</v>
      </c>
      <c r="M125">
        <f t="shared" si="22"/>
        <v>0</v>
      </c>
      <c r="N125" s="29">
        <f t="shared" si="29"/>
        <v>0</v>
      </c>
      <c r="O125" s="29">
        <f t="shared" si="23"/>
        <v>0</v>
      </c>
      <c r="P125" s="29">
        <f t="shared" si="30"/>
        <v>0</v>
      </c>
      <c r="Q125">
        <f t="shared" si="31"/>
        <v>0</v>
      </c>
      <c r="R125" s="29">
        <f t="shared" si="32"/>
        <v>0</v>
      </c>
      <c r="S125" s="29">
        <f t="shared" si="24"/>
        <v>0</v>
      </c>
      <c r="T125" s="29">
        <f t="shared" si="33"/>
        <v>0</v>
      </c>
      <c r="U125">
        <f t="shared" si="34"/>
        <v>0</v>
      </c>
      <c r="V125" s="29">
        <f t="shared" si="35"/>
        <v>0</v>
      </c>
      <c r="W125" s="29">
        <f t="shared" si="25"/>
        <v>0</v>
      </c>
      <c r="X125" s="29">
        <f t="shared" si="36"/>
        <v>0</v>
      </c>
      <c r="Y125">
        <f t="shared" si="37"/>
        <v>0</v>
      </c>
    </row>
    <row r="126" spans="1:25" x14ac:dyDescent="0.25">
      <c r="A126" s="4" t="s">
        <v>898</v>
      </c>
      <c r="B126" s="7" t="s">
        <v>155</v>
      </c>
      <c r="C126" s="2" t="s">
        <v>899</v>
      </c>
      <c r="D126">
        <f>VLOOKUP(B126,'Model allocations'!$A$1:$L$317,5,FALSE)</f>
        <v>146926.93644918178</v>
      </c>
      <c r="E126" s="31">
        <f>VLOOKUP(B126,'Initial adjusted formula count'!$A$1:$P$317,12,FALSE)</f>
        <v>0.126596543951916</v>
      </c>
      <c r="F126">
        <f>VLOOKUP(B126,'Model allocations'!$A$1:$L$317,10,FALSE)</f>
        <v>141317.24896473228</v>
      </c>
      <c r="G126" s="30">
        <f t="shared" si="26"/>
        <v>0.85</v>
      </c>
      <c r="H126">
        <f t="shared" si="27"/>
        <v>124887.89598180451</v>
      </c>
      <c r="I126">
        <f t="shared" si="19"/>
        <v>0</v>
      </c>
      <c r="J126">
        <f t="shared" si="20"/>
        <v>141317.24896473228</v>
      </c>
      <c r="K126">
        <f t="shared" si="21"/>
        <v>141236.22452883524</v>
      </c>
      <c r="L126">
        <f t="shared" si="28"/>
        <v>141236.22452883524</v>
      </c>
      <c r="M126">
        <f t="shared" si="22"/>
        <v>0</v>
      </c>
      <c r="N126" s="29">
        <f t="shared" si="29"/>
        <v>141236.22452883524</v>
      </c>
      <c r="O126" s="29">
        <f t="shared" si="23"/>
        <v>141226.00715292062</v>
      </c>
      <c r="P126" s="29">
        <f t="shared" si="30"/>
        <v>141226.00715292062</v>
      </c>
      <c r="Q126">
        <f t="shared" si="31"/>
        <v>0</v>
      </c>
      <c r="R126" s="29">
        <f t="shared" si="32"/>
        <v>141226.00715292062</v>
      </c>
      <c r="S126" s="29">
        <f t="shared" si="24"/>
        <v>141226.00715292071</v>
      </c>
      <c r="T126" s="29">
        <f t="shared" si="33"/>
        <v>141226.00715292071</v>
      </c>
      <c r="U126">
        <f t="shared" si="34"/>
        <v>0</v>
      </c>
      <c r="V126" s="29">
        <f t="shared" si="35"/>
        <v>141226.00715292071</v>
      </c>
      <c r="W126" s="29">
        <f t="shared" si="25"/>
        <v>141226.00715292073</v>
      </c>
      <c r="X126" s="29">
        <f t="shared" si="36"/>
        <v>141226.00715292073</v>
      </c>
      <c r="Y126">
        <f t="shared" si="37"/>
        <v>0</v>
      </c>
    </row>
    <row r="127" spans="1:25" x14ac:dyDescent="0.25">
      <c r="A127" s="4" t="s">
        <v>900</v>
      </c>
      <c r="B127" s="7" t="s">
        <v>157</v>
      </c>
      <c r="C127" s="2" t="s">
        <v>901</v>
      </c>
      <c r="D127">
        <f>VLOOKUP(B127,'Model allocations'!$A$1:$L$317,5,FALSE)</f>
        <v>0</v>
      </c>
      <c r="E127" s="31">
        <f>VLOOKUP(B127,'Initial adjusted formula count'!$A$1:$P$317,12,FALSE)</f>
        <v>0.35714285714285698</v>
      </c>
      <c r="F127">
        <f>VLOOKUP(B127,'Model allocations'!$A$1:$L$317,10,FALSE)</f>
        <v>7653.5660815424662</v>
      </c>
      <c r="G127" s="30">
        <f t="shared" si="26"/>
        <v>0.95</v>
      </c>
      <c r="H127">
        <f t="shared" si="27"/>
        <v>0</v>
      </c>
      <c r="I127">
        <f t="shared" si="19"/>
        <v>0</v>
      </c>
      <c r="J127">
        <f t="shared" si="20"/>
        <v>7653.5660815424662</v>
      </c>
      <c r="K127">
        <f t="shared" si="21"/>
        <v>7649.1778990742923</v>
      </c>
      <c r="L127">
        <f t="shared" si="28"/>
        <v>7649.1778990742923</v>
      </c>
      <c r="M127">
        <f t="shared" si="22"/>
        <v>0</v>
      </c>
      <c r="N127" s="29">
        <f t="shared" si="29"/>
        <v>7649.1778990742923</v>
      </c>
      <c r="O127" s="29">
        <f t="shared" si="23"/>
        <v>7648.624538728578</v>
      </c>
      <c r="P127" s="29">
        <f t="shared" si="30"/>
        <v>7648.624538728578</v>
      </c>
      <c r="Q127">
        <f t="shared" si="31"/>
        <v>0</v>
      </c>
      <c r="R127" s="29">
        <f t="shared" si="32"/>
        <v>7648.624538728578</v>
      </c>
      <c r="S127" s="29">
        <f t="shared" si="24"/>
        <v>7648.6245387285826</v>
      </c>
      <c r="T127" s="29">
        <f t="shared" si="33"/>
        <v>7648.6245387285826</v>
      </c>
      <c r="U127">
        <f t="shared" si="34"/>
        <v>0</v>
      </c>
      <c r="V127" s="29">
        <f t="shared" si="35"/>
        <v>7648.6245387285826</v>
      </c>
      <c r="W127" s="29">
        <f t="shared" si="25"/>
        <v>7648.6245387285826</v>
      </c>
      <c r="X127" s="29">
        <f t="shared" si="36"/>
        <v>7648.6245387285826</v>
      </c>
      <c r="Y127">
        <f t="shared" si="37"/>
        <v>0</v>
      </c>
    </row>
    <row r="128" spans="1:25" x14ac:dyDescent="0.25">
      <c r="A128" s="4" t="s">
        <v>902</v>
      </c>
      <c r="B128" s="7" t="s">
        <v>159</v>
      </c>
      <c r="C128" s="2" t="s">
        <v>903</v>
      </c>
      <c r="D128">
        <f>VLOOKUP(B128,'Model allocations'!$A$1:$L$317,5,FALSE)</f>
        <v>31690.123547862735</v>
      </c>
      <c r="E128" s="31">
        <f>VLOOKUP(B128,'Initial adjusted formula count'!$A$1:$P$317,12,FALSE)</f>
        <v>4.4417767106842698E-2</v>
      </c>
      <c r="F128">
        <f>VLOOKUP(B128,'Model allocations'!$A$1:$L$317,10,FALSE)</f>
        <v>0</v>
      </c>
      <c r="G128" s="30">
        <f t="shared" si="26"/>
        <v>0.85</v>
      </c>
      <c r="H128">
        <f t="shared" si="27"/>
        <v>0</v>
      </c>
      <c r="I128">
        <f t="shared" si="19"/>
        <v>0</v>
      </c>
      <c r="J128">
        <f t="shared" si="20"/>
        <v>0</v>
      </c>
      <c r="K128">
        <f t="shared" si="21"/>
        <v>0</v>
      </c>
      <c r="L128">
        <f t="shared" si="28"/>
        <v>0</v>
      </c>
      <c r="M128">
        <f t="shared" si="22"/>
        <v>0</v>
      </c>
      <c r="N128" s="29">
        <f t="shared" si="29"/>
        <v>0</v>
      </c>
      <c r="O128" s="29">
        <f t="shared" si="23"/>
        <v>0</v>
      </c>
      <c r="P128" s="29">
        <f t="shared" si="30"/>
        <v>0</v>
      </c>
      <c r="Q128">
        <f t="shared" si="31"/>
        <v>0</v>
      </c>
      <c r="R128" s="29">
        <f t="shared" si="32"/>
        <v>0</v>
      </c>
      <c r="S128" s="29">
        <f t="shared" si="24"/>
        <v>0</v>
      </c>
      <c r="T128" s="29">
        <f t="shared" si="33"/>
        <v>0</v>
      </c>
      <c r="U128">
        <f t="shared" si="34"/>
        <v>0</v>
      </c>
      <c r="V128" s="29">
        <f t="shared" si="35"/>
        <v>0</v>
      </c>
      <c r="W128" s="29">
        <f t="shared" si="25"/>
        <v>0</v>
      </c>
      <c r="X128" s="29">
        <f t="shared" si="36"/>
        <v>0</v>
      </c>
      <c r="Y128">
        <f t="shared" si="37"/>
        <v>0</v>
      </c>
    </row>
    <row r="129" spans="1:25" x14ac:dyDescent="0.25">
      <c r="A129" s="4" t="s">
        <v>904</v>
      </c>
      <c r="B129" s="7" t="s">
        <v>447</v>
      </c>
      <c r="C129" s="2" t="s">
        <v>905</v>
      </c>
      <c r="D129">
        <f>VLOOKUP(B129,'Model allocations'!$A$1:$L$317,5,FALSE)</f>
        <v>47625.224370874421</v>
      </c>
      <c r="E129" s="31">
        <f>VLOOKUP(B129,'Initial adjusted formula count'!$A$1:$P$317,12,FALSE)</f>
        <v>0.16943521594684399</v>
      </c>
      <c r="F129">
        <f>VLOOKUP(B129,'Model allocations'!$A$1:$L$317,10,FALSE)</f>
        <v>42862.701933786979</v>
      </c>
      <c r="G129" s="30">
        <f t="shared" si="26"/>
        <v>0.9</v>
      </c>
      <c r="H129">
        <f t="shared" si="27"/>
        <v>42862.701933786979</v>
      </c>
      <c r="I129">
        <f t="shared" si="19"/>
        <v>0</v>
      </c>
      <c r="J129">
        <f t="shared" si="20"/>
        <v>42862.701933786979</v>
      </c>
      <c r="K129">
        <f t="shared" si="21"/>
        <v>42838.126545639745</v>
      </c>
      <c r="L129">
        <f t="shared" si="28"/>
        <v>42838.126545639745</v>
      </c>
      <c r="M129">
        <f t="shared" si="22"/>
        <v>42862.701933786979</v>
      </c>
      <c r="N129" s="29">
        <f t="shared" si="29"/>
        <v>0</v>
      </c>
      <c r="O129" s="29">
        <f t="shared" si="23"/>
        <v>0</v>
      </c>
      <c r="P129" s="29">
        <f t="shared" si="30"/>
        <v>42862.701933786979</v>
      </c>
      <c r="Q129">
        <f t="shared" si="31"/>
        <v>0</v>
      </c>
      <c r="R129" s="29">
        <f t="shared" si="32"/>
        <v>0</v>
      </c>
      <c r="S129" s="29">
        <f t="shared" si="24"/>
        <v>0</v>
      </c>
      <c r="T129" s="29">
        <f t="shared" si="33"/>
        <v>42862.701933786979</v>
      </c>
      <c r="U129">
        <f t="shared" si="34"/>
        <v>0</v>
      </c>
      <c r="V129" s="29">
        <f t="shared" si="35"/>
        <v>0</v>
      </c>
      <c r="W129" s="29">
        <f t="shared" si="25"/>
        <v>0</v>
      </c>
      <c r="X129" s="29">
        <f t="shared" si="36"/>
        <v>42862.701933786979</v>
      </c>
      <c r="Y129">
        <f t="shared" si="37"/>
        <v>0</v>
      </c>
    </row>
    <row r="130" spans="1:25" x14ac:dyDescent="0.25">
      <c r="A130" s="4" t="s">
        <v>906</v>
      </c>
      <c r="B130" s="7" t="s">
        <v>449</v>
      </c>
      <c r="C130" s="2" t="s">
        <v>907</v>
      </c>
      <c r="D130">
        <f>VLOOKUP(B130,'Model allocations'!$A$1:$L$317,5,FALSE)</f>
        <v>693067.11759221891</v>
      </c>
      <c r="E130" s="31">
        <f>VLOOKUP(B130,'Initial adjusted formula count'!$A$1:$P$317,12,FALSE)</f>
        <v>0.18549378500204899</v>
      </c>
      <c r="F130">
        <f>VLOOKUP(B130,'Model allocations'!$A$1:$L$317,10,FALSE)</f>
        <v>709311.9484387082</v>
      </c>
      <c r="G130" s="30">
        <f t="shared" si="26"/>
        <v>0.9</v>
      </c>
      <c r="H130">
        <f t="shared" si="27"/>
        <v>623760.40583299706</v>
      </c>
      <c r="I130">
        <f t="shared" si="19"/>
        <v>0</v>
      </c>
      <c r="J130">
        <f t="shared" si="20"/>
        <v>709311.9484387082</v>
      </c>
      <c r="K130">
        <f t="shared" si="21"/>
        <v>708905.26347336755</v>
      </c>
      <c r="L130">
        <f t="shared" si="28"/>
        <v>708905.26347336755</v>
      </c>
      <c r="M130">
        <f t="shared" si="22"/>
        <v>0</v>
      </c>
      <c r="N130" s="29">
        <f t="shared" si="29"/>
        <v>708905.26347336755</v>
      </c>
      <c r="O130" s="29">
        <f t="shared" si="23"/>
        <v>708853.97952274571</v>
      </c>
      <c r="P130" s="29">
        <f t="shared" si="30"/>
        <v>708853.97952274571</v>
      </c>
      <c r="Q130">
        <f t="shared" si="31"/>
        <v>0</v>
      </c>
      <c r="R130" s="29">
        <f t="shared" si="32"/>
        <v>708853.97952274571</v>
      </c>
      <c r="S130" s="29">
        <f t="shared" si="24"/>
        <v>708853.97952274617</v>
      </c>
      <c r="T130" s="29">
        <f t="shared" si="33"/>
        <v>708853.97952274617</v>
      </c>
      <c r="U130">
        <f t="shared" si="34"/>
        <v>0</v>
      </c>
      <c r="V130" s="29">
        <f t="shared" si="35"/>
        <v>708853.97952274617</v>
      </c>
      <c r="W130" s="29">
        <f t="shared" si="25"/>
        <v>708853.97952274617</v>
      </c>
      <c r="X130" s="29">
        <f t="shared" si="36"/>
        <v>708853.97952274617</v>
      </c>
      <c r="Y130">
        <f t="shared" si="37"/>
        <v>0</v>
      </c>
    </row>
    <row r="131" spans="1:25" x14ac:dyDescent="0.25">
      <c r="A131" s="4" t="s">
        <v>908</v>
      </c>
      <c r="B131" s="7" t="s">
        <v>451</v>
      </c>
      <c r="C131" s="2" t="s">
        <v>909</v>
      </c>
      <c r="D131">
        <f>VLOOKUP(B131,'Model allocations'!$A$1:$L$317,5,FALSE)</f>
        <v>28981.183879583838</v>
      </c>
      <c r="E131" s="31">
        <f>VLOOKUP(B131,'Initial adjusted formula count'!$A$1:$P$317,12,FALSE)</f>
        <v>0.249027237354086</v>
      </c>
      <c r="F131">
        <f>VLOOKUP(B131,'Model allocations'!$A$1:$L$317,10,FALSE)</f>
        <v>36630.322027071219</v>
      </c>
      <c r="G131" s="30">
        <f t="shared" si="26"/>
        <v>0.9</v>
      </c>
      <c r="H131">
        <f t="shared" si="27"/>
        <v>26083.065491625453</v>
      </c>
      <c r="I131">
        <f t="shared" si="19"/>
        <v>0</v>
      </c>
      <c r="J131">
        <f t="shared" si="20"/>
        <v>36630.322027071219</v>
      </c>
      <c r="K131">
        <f t="shared" si="21"/>
        <v>36609.31998237595</v>
      </c>
      <c r="L131">
        <f t="shared" si="28"/>
        <v>36609.31998237595</v>
      </c>
      <c r="M131">
        <f t="shared" si="22"/>
        <v>0</v>
      </c>
      <c r="N131" s="29">
        <f t="shared" si="29"/>
        <v>36609.31998237595</v>
      </c>
      <c r="O131" s="29">
        <f t="shared" si="23"/>
        <v>36606.67157411181</v>
      </c>
      <c r="P131" s="29">
        <f t="shared" si="30"/>
        <v>36606.67157411181</v>
      </c>
      <c r="Q131">
        <f t="shared" si="31"/>
        <v>0</v>
      </c>
      <c r="R131" s="29">
        <f t="shared" si="32"/>
        <v>36606.67157411181</v>
      </c>
      <c r="S131" s="29">
        <f t="shared" si="24"/>
        <v>36606.671574111831</v>
      </c>
      <c r="T131" s="29">
        <f t="shared" si="33"/>
        <v>36606.671574111831</v>
      </c>
      <c r="U131">
        <f t="shared" si="34"/>
        <v>0</v>
      </c>
      <c r="V131" s="29">
        <f t="shared" si="35"/>
        <v>36606.671574111831</v>
      </c>
      <c r="W131" s="29">
        <f t="shared" si="25"/>
        <v>36606.671574111839</v>
      </c>
      <c r="X131" s="29">
        <f t="shared" si="36"/>
        <v>36606.671574111839</v>
      </c>
      <c r="Y131">
        <f t="shared" si="37"/>
        <v>0</v>
      </c>
    </row>
    <row r="132" spans="1:25" x14ac:dyDescent="0.25">
      <c r="A132" s="4" t="s">
        <v>910</v>
      </c>
      <c r="B132" s="7" t="s">
        <v>453</v>
      </c>
      <c r="C132" s="2" t="s">
        <v>911</v>
      </c>
      <c r="D132">
        <f>VLOOKUP(B132,'Model allocations'!$A$1:$L$317,5,FALSE)</f>
        <v>23320.887004640317</v>
      </c>
      <c r="E132" s="31">
        <f>VLOOKUP(B132,'Initial adjusted formula count'!$A$1:$P$317,12,FALSE)</f>
        <v>0.17499999999999999</v>
      </c>
      <c r="F132">
        <f>VLOOKUP(B132,'Model allocations'!$A$1:$L$317,10,FALSE)</f>
        <v>22238.386786640007</v>
      </c>
      <c r="G132" s="30">
        <f t="shared" si="26"/>
        <v>0.9</v>
      </c>
      <c r="H132">
        <f t="shared" si="27"/>
        <v>20988.798304176285</v>
      </c>
      <c r="I132">
        <f t="shared" ref="I132:I195" si="38">IF(F132&lt;H132,H132,0)</f>
        <v>0</v>
      </c>
      <c r="J132">
        <f t="shared" ref="J132:J195" si="39">IF(I132=0,F132,0)</f>
        <v>22238.386786640007</v>
      </c>
      <c r="K132">
        <f t="shared" ref="K132:K195" si="40">(J132/$J$3)*($F$3-$I$3)</f>
        <v>22225.636377487215</v>
      </c>
      <c r="L132">
        <f t="shared" si="28"/>
        <v>22225.636377487215</v>
      </c>
      <c r="M132">
        <f t="shared" ref="M132:M195" si="41">IF(L132&lt;H132,H132,0)</f>
        <v>0</v>
      </c>
      <c r="N132" s="29">
        <f t="shared" si="29"/>
        <v>22225.636377487215</v>
      </c>
      <c r="O132" s="29">
        <f t="shared" ref="O132:O195" si="42">((N132/$N$3)*($F$3-$I$3-$M$3))</f>
        <v>22224.028520278007</v>
      </c>
      <c r="P132" s="29">
        <f t="shared" si="30"/>
        <v>22224.028520278007</v>
      </c>
      <c r="Q132">
        <f t="shared" si="31"/>
        <v>0</v>
      </c>
      <c r="R132" s="29">
        <f t="shared" si="32"/>
        <v>22224.028520278007</v>
      </c>
      <c r="S132" s="29">
        <f t="shared" ref="S132:S195" si="43">((R132/$R$3)*($F$3-$I$3-$M$3-$Q$3))</f>
        <v>22224.028520278021</v>
      </c>
      <c r="T132" s="29">
        <f t="shared" si="33"/>
        <v>22224.028520278021</v>
      </c>
      <c r="U132">
        <f t="shared" si="34"/>
        <v>0</v>
      </c>
      <c r="V132" s="29">
        <f t="shared" si="35"/>
        <v>22224.028520278021</v>
      </c>
      <c r="W132" s="29">
        <f t="shared" ref="W132:W195" si="44">((V132/$V$3)*($F$3-$I$3-$M$3-$Q$3-$U$3))</f>
        <v>22224.028520278021</v>
      </c>
      <c r="X132" s="29">
        <f t="shared" si="36"/>
        <v>22224.028520278021</v>
      </c>
      <c r="Y132">
        <f t="shared" si="37"/>
        <v>0</v>
      </c>
    </row>
    <row r="133" spans="1:25" x14ac:dyDescent="0.25">
      <c r="A133" s="4" t="s">
        <v>29</v>
      </c>
      <c r="B133" s="7" t="s">
        <v>76</v>
      </c>
      <c r="C133" s="2" t="s">
        <v>912</v>
      </c>
      <c r="D133">
        <f>VLOOKUP(B133,'Model allocations'!$A$1:$L$317,5,FALSE)</f>
        <v>0</v>
      </c>
      <c r="E133" s="31">
        <f>VLOOKUP(B133,'Initial adjusted formula count'!$A$1:$P$317,12,FALSE)</f>
        <v>0.203123422714581</v>
      </c>
      <c r="F133">
        <f>VLOOKUP(B133,'Model allocations'!$A$1:$L$317,10,FALSE)</f>
        <v>0</v>
      </c>
      <c r="G133" s="30">
        <f t="shared" ref="G133:G196" si="45">IF(E133&lt;0.15,0.85,IF(AND(E133&gt;=0.15,E133&lt;0.3),0.9,0.95))</f>
        <v>0.9</v>
      </c>
      <c r="H133">
        <f t="shared" ref="H133:H196" si="46">IF(F133 = 0, 0, D133*G133)</f>
        <v>0</v>
      </c>
      <c r="I133">
        <f t="shared" si="38"/>
        <v>0</v>
      </c>
      <c r="J133">
        <f t="shared" si="39"/>
        <v>0</v>
      </c>
      <c r="K133">
        <f t="shared" si="40"/>
        <v>0</v>
      </c>
      <c r="L133">
        <f t="shared" ref="L133:L196" si="47">I133+K133</f>
        <v>0</v>
      </c>
      <c r="M133">
        <f t="shared" si="41"/>
        <v>0</v>
      </c>
      <c r="N133" s="29">
        <f t="shared" ref="N133:N196" si="48">IF($I133+$M133=0,L133,0)</f>
        <v>0</v>
      </c>
      <c r="O133" s="29">
        <f t="shared" si="42"/>
        <v>0</v>
      </c>
      <c r="P133" s="29">
        <f t="shared" ref="P133:P196" si="49">$I133+$M133+O133</f>
        <v>0</v>
      </c>
      <c r="Q133">
        <f t="shared" ref="Q133:Q196" si="50">IF(P133&lt;H133,H133,0)</f>
        <v>0</v>
      </c>
      <c r="R133" s="29">
        <f t="shared" ref="R133:R196" si="51">IF($I133+$M133+$Q133=0,P133,0)</f>
        <v>0</v>
      </c>
      <c r="S133" s="29">
        <f t="shared" si="43"/>
        <v>0</v>
      </c>
      <c r="T133" s="29">
        <f t="shared" ref="T133:T196" si="52">$I133+$M133+$Q133+S133</f>
        <v>0</v>
      </c>
      <c r="U133">
        <f t="shared" ref="U133:U196" si="53">IF(T133&lt;H133,H133,0)</f>
        <v>0</v>
      </c>
      <c r="V133" s="29">
        <f t="shared" ref="V133:V196" si="54">IF($I133+$M133+$Q133+U133=0,T133,0)</f>
        <v>0</v>
      </c>
      <c r="W133" s="29">
        <f t="shared" si="44"/>
        <v>0</v>
      </c>
      <c r="X133" s="29">
        <f t="shared" ref="X133:X196" si="55">$I133+$M133+$Q133+$U133+W133</f>
        <v>0</v>
      </c>
      <c r="Y133">
        <f t="shared" ref="Y133:Y196" si="56">IF(X133&lt;H133,H133,0)</f>
        <v>0</v>
      </c>
    </row>
    <row r="134" spans="1:25" x14ac:dyDescent="0.25">
      <c r="A134" s="4" t="s">
        <v>913</v>
      </c>
      <c r="B134" s="7" t="s">
        <v>455</v>
      </c>
      <c r="C134" s="2" t="s">
        <v>914</v>
      </c>
      <c r="D134">
        <f>VLOOKUP(B134,'Model allocations'!$A$1:$L$317,5,FALSE)</f>
        <v>43381.81107452741</v>
      </c>
      <c r="E134" s="31">
        <f>VLOOKUP(B134,'Initial adjusted formula count'!$A$1:$P$317,12,FALSE)</f>
        <v>0.21531100478468901</v>
      </c>
      <c r="F134">
        <f>VLOOKUP(B134,'Model allocations'!$A$1:$L$317,10,FALSE)</f>
        <v>45563.993844469514</v>
      </c>
      <c r="G134" s="30">
        <f t="shared" si="45"/>
        <v>0.9</v>
      </c>
      <c r="H134">
        <f t="shared" si="46"/>
        <v>39043.629967074667</v>
      </c>
      <c r="I134">
        <f t="shared" si="38"/>
        <v>0</v>
      </c>
      <c r="J134">
        <f t="shared" si="39"/>
        <v>45563.993844469514</v>
      </c>
      <c r="K134">
        <f t="shared" si="40"/>
        <v>45537.869666950428</v>
      </c>
      <c r="L134">
        <f t="shared" si="47"/>
        <v>45537.869666950428</v>
      </c>
      <c r="M134">
        <f t="shared" si="41"/>
        <v>0</v>
      </c>
      <c r="N134" s="29">
        <f t="shared" si="48"/>
        <v>45537.869666950428</v>
      </c>
      <c r="O134" s="29">
        <f t="shared" si="42"/>
        <v>45534.575345438439</v>
      </c>
      <c r="P134" s="29">
        <f t="shared" si="49"/>
        <v>45534.575345438439</v>
      </c>
      <c r="Q134">
        <f t="shared" si="50"/>
        <v>0</v>
      </c>
      <c r="R134" s="29">
        <f t="shared" si="51"/>
        <v>45534.575345438439</v>
      </c>
      <c r="S134" s="29">
        <f t="shared" si="43"/>
        <v>45534.575345438469</v>
      </c>
      <c r="T134" s="29">
        <f t="shared" si="52"/>
        <v>45534.575345438469</v>
      </c>
      <c r="U134">
        <f t="shared" si="53"/>
        <v>0</v>
      </c>
      <c r="V134" s="29">
        <f t="shared" si="54"/>
        <v>45534.575345438469</v>
      </c>
      <c r="W134" s="29">
        <f t="shared" si="44"/>
        <v>45534.575345438476</v>
      </c>
      <c r="X134" s="29">
        <f t="shared" si="55"/>
        <v>45534.575345438476</v>
      </c>
      <c r="Y134">
        <f t="shared" si="56"/>
        <v>0</v>
      </c>
    </row>
    <row r="135" spans="1:25" x14ac:dyDescent="0.25">
      <c r="A135" s="4" t="s">
        <v>915</v>
      </c>
      <c r="B135" s="7" t="s">
        <v>161</v>
      </c>
      <c r="C135" s="2" t="s">
        <v>916</v>
      </c>
      <c r="D135">
        <f>VLOOKUP(B135,'Model allocations'!$A$1:$L$317,5,FALSE)</f>
        <v>140202.62868930915</v>
      </c>
      <c r="E135" s="31">
        <f>VLOOKUP(B135,'Initial adjusted formula count'!$A$1:$P$317,12,FALSE)</f>
        <v>7.9761631904652797E-2</v>
      </c>
      <c r="F135">
        <f>VLOOKUP(B135,'Model allocations'!$A$1:$L$317,10,FALSE)</f>
        <v>145929.97815942677</v>
      </c>
      <c r="G135" s="30">
        <f t="shared" si="45"/>
        <v>0.85</v>
      </c>
      <c r="H135">
        <f t="shared" si="46"/>
        <v>119172.23438591277</v>
      </c>
      <c r="I135">
        <f t="shared" si="38"/>
        <v>0</v>
      </c>
      <c r="J135">
        <f t="shared" si="39"/>
        <v>145929.97815942677</v>
      </c>
      <c r="K135">
        <f t="shared" si="40"/>
        <v>145846.30900900491</v>
      </c>
      <c r="L135">
        <f t="shared" si="47"/>
        <v>145846.30900900491</v>
      </c>
      <c r="M135">
        <f t="shared" si="41"/>
        <v>0</v>
      </c>
      <c r="N135" s="29">
        <f t="shared" si="48"/>
        <v>145846.30900900491</v>
      </c>
      <c r="O135" s="29">
        <f t="shared" si="42"/>
        <v>145835.75812823849</v>
      </c>
      <c r="P135" s="29">
        <f t="shared" si="49"/>
        <v>145835.75812823849</v>
      </c>
      <c r="Q135">
        <f t="shared" si="50"/>
        <v>0</v>
      </c>
      <c r="R135" s="29">
        <f t="shared" si="51"/>
        <v>145835.75812823849</v>
      </c>
      <c r="S135" s="29">
        <f t="shared" si="43"/>
        <v>145835.75812823855</v>
      </c>
      <c r="T135" s="29">
        <f t="shared" si="52"/>
        <v>145835.75812823855</v>
      </c>
      <c r="U135">
        <f t="shared" si="53"/>
        <v>0</v>
      </c>
      <c r="V135" s="29">
        <f t="shared" si="54"/>
        <v>145835.75812823855</v>
      </c>
      <c r="W135" s="29">
        <f t="shared" si="44"/>
        <v>145835.75812823855</v>
      </c>
      <c r="X135" s="29">
        <f t="shared" si="55"/>
        <v>145835.75812823855</v>
      </c>
      <c r="Y135">
        <f t="shared" si="56"/>
        <v>0</v>
      </c>
    </row>
    <row r="136" spans="1:25" x14ac:dyDescent="0.25">
      <c r="A136" s="4" t="s">
        <v>917</v>
      </c>
      <c r="B136" s="7" t="s">
        <v>457</v>
      </c>
      <c r="C136" s="2" t="s">
        <v>918</v>
      </c>
      <c r="D136">
        <f>VLOOKUP(B136,'Model allocations'!$A$1:$L$317,5,FALSE)</f>
        <v>106939.86526243553</v>
      </c>
      <c r="E136" s="31">
        <f>VLOOKUP(B136,'Initial adjusted formula count'!$A$1:$P$317,12,FALSE)</f>
        <v>0.15584415584415601</v>
      </c>
      <c r="F136">
        <f>VLOOKUP(B136,'Model allocations'!$A$1:$L$317,10,FALSE)</f>
        <v>96245.878736191982</v>
      </c>
      <c r="G136" s="30">
        <f t="shared" si="45"/>
        <v>0.9</v>
      </c>
      <c r="H136">
        <f t="shared" si="46"/>
        <v>96245.878736191982</v>
      </c>
      <c r="I136">
        <f t="shared" si="38"/>
        <v>0</v>
      </c>
      <c r="J136">
        <f t="shared" si="39"/>
        <v>96245.878736191982</v>
      </c>
      <c r="K136">
        <f t="shared" si="40"/>
        <v>96190.696031397325</v>
      </c>
      <c r="L136">
        <f t="shared" si="47"/>
        <v>96190.696031397325</v>
      </c>
      <c r="M136">
        <f t="shared" si="41"/>
        <v>96245.878736191982</v>
      </c>
      <c r="N136" s="29">
        <f t="shared" si="48"/>
        <v>0</v>
      </c>
      <c r="O136" s="29">
        <f t="shared" si="42"/>
        <v>0</v>
      </c>
      <c r="P136" s="29">
        <f t="shared" si="49"/>
        <v>96245.878736191982</v>
      </c>
      <c r="Q136">
        <f t="shared" si="50"/>
        <v>0</v>
      </c>
      <c r="R136" s="29">
        <f t="shared" si="51"/>
        <v>0</v>
      </c>
      <c r="S136" s="29">
        <f t="shared" si="43"/>
        <v>0</v>
      </c>
      <c r="T136" s="29">
        <f t="shared" si="52"/>
        <v>96245.878736191982</v>
      </c>
      <c r="U136">
        <f t="shared" si="53"/>
        <v>0</v>
      </c>
      <c r="V136" s="29">
        <f t="shared" si="54"/>
        <v>0</v>
      </c>
      <c r="W136" s="29">
        <f t="shared" si="44"/>
        <v>0</v>
      </c>
      <c r="X136" s="29">
        <f t="shared" si="55"/>
        <v>96245.878736191982</v>
      </c>
      <c r="Y136">
        <f t="shared" si="56"/>
        <v>0</v>
      </c>
    </row>
    <row r="137" spans="1:25" x14ac:dyDescent="0.25">
      <c r="A137" s="4" t="s">
        <v>919</v>
      </c>
      <c r="B137" s="7" t="s">
        <v>459</v>
      </c>
      <c r="C137" s="2" t="s">
        <v>920</v>
      </c>
      <c r="D137">
        <f>VLOOKUP(B137,'Model allocations'!$A$1:$L$317,5,FALSE)</f>
        <v>15187.479207103177</v>
      </c>
      <c r="E137" s="31">
        <f>VLOOKUP(B137,'Initial adjusted formula count'!$A$1:$P$317,12,FALSE)</f>
        <v>0.127906976744186</v>
      </c>
      <c r="F137">
        <f>VLOOKUP(B137,'Model allocations'!$A$1:$L$317,10,FALSE)</f>
        <v>12909.3573260377</v>
      </c>
      <c r="G137" s="30">
        <f t="shared" si="45"/>
        <v>0.85</v>
      </c>
      <c r="H137">
        <f t="shared" si="46"/>
        <v>12909.3573260377</v>
      </c>
      <c r="I137">
        <f t="shared" si="38"/>
        <v>0</v>
      </c>
      <c r="J137">
        <f t="shared" si="39"/>
        <v>12909.3573260377</v>
      </c>
      <c r="K137">
        <f t="shared" si="40"/>
        <v>12901.955728548377</v>
      </c>
      <c r="L137">
        <f t="shared" si="47"/>
        <v>12901.955728548377</v>
      </c>
      <c r="M137">
        <f t="shared" si="41"/>
        <v>12909.3573260377</v>
      </c>
      <c r="N137" s="29">
        <f t="shared" si="48"/>
        <v>0</v>
      </c>
      <c r="O137" s="29">
        <f t="shared" si="42"/>
        <v>0</v>
      </c>
      <c r="P137" s="29">
        <f t="shared" si="49"/>
        <v>12909.3573260377</v>
      </c>
      <c r="Q137">
        <f t="shared" si="50"/>
        <v>0</v>
      </c>
      <c r="R137" s="29">
        <f t="shared" si="51"/>
        <v>0</v>
      </c>
      <c r="S137" s="29">
        <f t="shared" si="43"/>
        <v>0</v>
      </c>
      <c r="T137" s="29">
        <f t="shared" si="52"/>
        <v>12909.3573260377</v>
      </c>
      <c r="U137">
        <f t="shared" si="53"/>
        <v>0</v>
      </c>
      <c r="V137" s="29">
        <f t="shared" si="54"/>
        <v>0</v>
      </c>
      <c r="W137" s="29">
        <f t="shared" si="44"/>
        <v>0</v>
      </c>
      <c r="X137" s="29">
        <f t="shared" si="55"/>
        <v>12909.3573260377</v>
      </c>
      <c r="Y137">
        <f t="shared" si="56"/>
        <v>0</v>
      </c>
    </row>
    <row r="138" spans="1:25" x14ac:dyDescent="0.25">
      <c r="A138" s="4" t="s">
        <v>921</v>
      </c>
      <c r="B138" s="7" t="s">
        <v>284</v>
      </c>
      <c r="C138" s="2" t="s">
        <v>922</v>
      </c>
      <c r="D138">
        <f>VLOOKUP(B138,'Model allocations'!$A$1:$L$317,5,FALSE)</f>
        <v>57140.317723135166</v>
      </c>
      <c r="E138" s="31">
        <f>VLOOKUP(B138,'Initial adjusted formula count'!$A$1:$P$317,12,FALSE)</f>
        <v>0.169381107491857</v>
      </c>
      <c r="F138">
        <f>VLOOKUP(B138,'Model allocations'!$A$1:$L$317,10,FALSE)</f>
        <v>51426.28595082165</v>
      </c>
      <c r="G138" s="30">
        <f t="shared" si="45"/>
        <v>0.9</v>
      </c>
      <c r="H138">
        <f t="shared" si="46"/>
        <v>51426.28595082165</v>
      </c>
      <c r="I138">
        <f t="shared" si="38"/>
        <v>0</v>
      </c>
      <c r="J138">
        <f t="shared" si="39"/>
        <v>51426.28595082165</v>
      </c>
      <c r="K138">
        <f t="shared" si="40"/>
        <v>51396.800620191672</v>
      </c>
      <c r="L138">
        <f t="shared" si="47"/>
        <v>51396.800620191672</v>
      </c>
      <c r="M138">
        <f t="shared" si="41"/>
        <v>51426.28595082165</v>
      </c>
      <c r="N138" s="29">
        <f t="shared" si="48"/>
        <v>0</v>
      </c>
      <c r="O138" s="29">
        <f t="shared" si="42"/>
        <v>0</v>
      </c>
      <c r="P138" s="29">
        <f t="shared" si="49"/>
        <v>51426.28595082165</v>
      </c>
      <c r="Q138">
        <f t="shared" si="50"/>
        <v>0</v>
      </c>
      <c r="R138" s="29">
        <f t="shared" si="51"/>
        <v>0</v>
      </c>
      <c r="S138" s="29">
        <f t="shared" si="43"/>
        <v>0</v>
      </c>
      <c r="T138" s="29">
        <f t="shared" si="52"/>
        <v>51426.28595082165</v>
      </c>
      <c r="U138">
        <f t="shared" si="53"/>
        <v>0</v>
      </c>
      <c r="V138" s="29">
        <f t="shared" si="54"/>
        <v>0</v>
      </c>
      <c r="W138" s="29">
        <f t="shared" si="44"/>
        <v>0</v>
      </c>
      <c r="X138" s="29">
        <f t="shared" si="55"/>
        <v>51426.28595082165</v>
      </c>
      <c r="Y138">
        <f t="shared" si="56"/>
        <v>0</v>
      </c>
    </row>
    <row r="139" spans="1:25" x14ac:dyDescent="0.25">
      <c r="A139" s="4" t="s">
        <v>923</v>
      </c>
      <c r="B139" s="7" t="s">
        <v>461</v>
      </c>
      <c r="C139" s="2" t="s">
        <v>924</v>
      </c>
      <c r="D139">
        <f>VLOOKUP(B139,'Model allocations'!$A$1:$L$317,5,FALSE)</f>
        <v>22525.324704684172</v>
      </c>
      <c r="E139" s="31">
        <f>VLOOKUP(B139,'Initial adjusted formula count'!$A$1:$P$317,12,FALSE)</f>
        <v>0.120192307692308</v>
      </c>
      <c r="F139">
        <f>VLOOKUP(B139,'Model allocations'!$A$1:$L$317,10,FALSE)</f>
        <v>19146.525998981546</v>
      </c>
      <c r="G139" s="30">
        <f t="shared" si="45"/>
        <v>0.85</v>
      </c>
      <c r="H139">
        <f t="shared" si="46"/>
        <v>19146.525998981546</v>
      </c>
      <c r="I139">
        <f t="shared" si="38"/>
        <v>0</v>
      </c>
      <c r="J139">
        <f t="shared" si="39"/>
        <v>19146.525998981546</v>
      </c>
      <c r="K139">
        <f t="shared" si="40"/>
        <v>19135.548312394661</v>
      </c>
      <c r="L139">
        <f t="shared" si="47"/>
        <v>19135.548312394661</v>
      </c>
      <c r="M139">
        <f t="shared" si="41"/>
        <v>19146.525998981546</v>
      </c>
      <c r="N139" s="29">
        <f t="shared" si="48"/>
        <v>0</v>
      </c>
      <c r="O139" s="29">
        <f t="shared" si="42"/>
        <v>0</v>
      </c>
      <c r="P139" s="29">
        <f t="shared" si="49"/>
        <v>19146.525998981546</v>
      </c>
      <c r="Q139">
        <f t="shared" si="50"/>
        <v>0</v>
      </c>
      <c r="R139" s="29">
        <f t="shared" si="51"/>
        <v>0</v>
      </c>
      <c r="S139" s="29">
        <f t="shared" si="43"/>
        <v>0</v>
      </c>
      <c r="T139" s="29">
        <f t="shared" si="52"/>
        <v>19146.525998981546</v>
      </c>
      <c r="U139">
        <f t="shared" si="53"/>
        <v>0</v>
      </c>
      <c r="V139" s="29">
        <f t="shared" si="54"/>
        <v>0</v>
      </c>
      <c r="W139" s="29">
        <f t="shared" si="44"/>
        <v>0</v>
      </c>
      <c r="X139" s="29">
        <f t="shared" si="55"/>
        <v>19146.525998981546</v>
      </c>
      <c r="Y139">
        <f t="shared" si="56"/>
        <v>0</v>
      </c>
    </row>
    <row r="140" spans="1:25" x14ac:dyDescent="0.25">
      <c r="A140" s="4" t="s">
        <v>925</v>
      </c>
      <c r="B140" s="7" t="s">
        <v>463</v>
      </c>
      <c r="C140" s="2" t="s">
        <v>926</v>
      </c>
      <c r="D140">
        <f>VLOOKUP(B140,'Model allocations'!$A$1:$L$317,5,FALSE)</f>
        <v>75763.265762064344</v>
      </c>
      <c r="E140" s="31">
        <f>VLOOKUP(B140,'Initial adjusted formula count'!$A$1:$P$317,12,FALSE)</f>
        <v>0.19565217391304399</v>
      </c>
      <c r="F140">
        <f>VLOOKUP(B140,'Model allocations'!$A$1:$L$317,10,FALSE)</f>
        <v>68186.939185857918</v>
      </c>
      <c r="G140" s="30">
        <f t="shared" si="45"/>
        <v>0.9</v>
      </c>
      <c r="H140">
        <f t="shared" si="46"/>
        <v>68186.939185857918</v>
      </c>
      <c r="I140">
        <f t="shared" si="38"/>
        <v>0</v>
      </c>
      <c r="J140">
        <f t="shared" si="39"/>
        <v>68186.939185857918</v>
      </c>
      <c r="K140">
        <f t="shared" si="40"/>
        <v>68147.844112018371</v>
      </c>
      <c r="L140">
        <f t="shared" si="47"/>
        <v>68147.844112018371</v>
      </c>
      <c r="M140">
        <f t="shared" si="41"/>
        <v>68186.939185857918</v>
      </c>
      <c r="N140" s="29">
        <f t="shared" si="48"/>
        <v>0</v>
      </c>
      <c r="O140" s="29">
        <f t="shared" si="42"/>
        <v>0</v>
      </c>
      <c r="P140" s="29">
        <f t="shared" si="49"/>
        <v>68186.939185857918</v>
      </c>
      <c r="Q140">
        <f t="shared" si="50"/>
        <v>0</v>
      </c>
      <c r="R140" s="29">
        <f t="shared" si="51"/>
        <v>0</v>
      </c>
      <c r="S140" s="29">
        <f t="shared" si="43"/>
        <v>0</v>
      </c>
      <c r="T140" s="29">
        <f t="shared" si="52"/>
        <v>68186.939185857918</v>
      </c>
      <c r="U140">
        <f t="shared" si="53"/>
        <v>0</v>
      </c>
      <c r="V140" s="29">
        <f t="shared" si="54"/>
        <v>0</v>
      </c>
      <c r="W140" s="29">
        <f t="shared" si="44"/>
        <v>0</v>
      </c>
      <c r="X140" s="29">
        <f t="shared" si="55"/>
        <v>68186.939185857918</v>
      </c>
      <c r="Y140">
        <f t="shared" si="56"/>
        <v>0</v>
      </c>
    </row>
    <row r="141" spans="1:25" x14ac:dyDescent="0.25">
      <c r="A141" s="4" t="s">
        <v>927</v>
      </c>
      <c r="B141" s="7" t="s">
        <v>163</v>
      </c>
      <c r="C141" s="2" t="s">
        <v>928</v>
      </c>
      <c r="D141">
        <f>VLOOKUP(B141,'Model allocations'!$A$1:$L$317,5,FALSE)</f>
        <v>786902.80809757882</v>
      </c>
      <c r="E141" s="31">
        <f>VLOOKUP(B141,'Initial adjusted formula count'!$A$1:$P$317,12,FALSE)</f>
        <v>0.11435580880025301</v>
      </c>
      <c r="F141">
        <f>VLOOKUP(B141,'Model allocations'!$A$1:$L$317,10,FALSE)</f>
        <v>764035.69024849357</v>
      </c>
      <c r="G141" s="30">
        <f t="shared" si="45"/>
        <v>0.85</v>
      </c>
      <c r="H141">
        <f t="shared" si="46"/>
        <v>668867.38688294194</v>
      </c>
      <c r="I141">
        <f t="shared" si="38"/>
        <v>0</v>
      </c>
      <c r="J141">
        <f t="shared" si="39"/>
        <v>764035.69024849357</v>
      </c>
      <c r="K141">
        <f t="shared" si="40"/>
        <v>763597.62935174466</v>
      </c>
      <c r="L141">
        <f t="shared" si="47"/>
        <v>763597.62935174466</v>
      </c>
      <c r="M141">
        <f t="shared" si="41"/>
        <v>0</v>
      </c>
      <c r="N141" s="29">
        <f t="shared" si="48"/>
        <v>763597.62935174466</v>
      </c>
      <c r="O141" s="29">
        <f t="shared" si="42"/>
        <v>763542.38882083539</v>
      </c>
      <c r="P141" s="29">
        <f t="shared" si="49"/>
        <v>763542.38882083539</v>
      </c>
      <c r="Q141">
        <f t="shared" si="50"/>
        <v>0</v>
      </c>
      <c r="R141" s="29">
        <f t="shared" si="51"/>
        <v>763542.38882083539</v>
      </c>
      <c r="S141" s="29">
        <f t="shared" si="43"/>
        <v>763542.38882083585</v>
      </c>
      <c r="T141" s="29">
        <f t="shared" si="52"/>
        <v>763542.38882083585</v>
      </c>
      <c r="U141">
        <f t="shared" si="53"/>
        <v>0</v>
      </c>
      <c r="V141" s="29">
        <f t="shared" si="54"/>
        <v>763542.38882083585</v>
      </c>
      <c r="W141" s="29">
        <f t="shared" si="44"/>
        <v>763542.38882083597</v>
      </c>
      <c r="X141" s="29">
        <f t="shared" si="55"/>
        <v>763542.38882083597</v>
      </c>
      <c r="Y141">
        <f t="shared" si="56"/>
        <v>0</v>
      </c>
    </row>
    <row r="142" spans="1:25" x14ac:dyDescent="0.25">
      <c r="A142" s="4" t="s">
        <v>929</v>
      </c>
      <c r="B142" s="7" t="s">
        <v>465</v>
      </c>
      <c r="C142" s="2" t="s">
        <v>930</v>
      </c>
      <c r="D142">
        <f>VLOOKUP(B142,'Model allocations'!$A$1:$L$317,5,FALSE)</f>
        <v>30867.003455710452</v>
      </c>
      <c r="E142" s="31">
        <f>VLOOKUP(B142,'Initial adjusted formula count'!$A$1:$P$317,12,FALSE)</f>
        <v>8.2024432809773104E-2</v>
      </c>
      <c r="F142">
        <f>VLOOKUP(B142,'Model allocations'!$A$1:$L$317,10,FALSE)</f>
        <v>26236.952937353883</v>
      </c>
      <c r="G142" s="30">
        <f t="shared" si="45"/>
        <v>0.85</v>
      </c>
      <c r="H142">
        <f t="shared" si="46"/>
        <v>26236.952937353883</v>
      </c>
      <c r="I142">
        <f t="shared" si="38"/>
        <v>0</v>
      </c>
      <c r="J142">
        <f t="shared" si="39"/>
        <v>26236.952937353883</v>
      </c>
      <c r="K142">
        <f t="shared" si="40"/>
        <v>26221.909944888495</v>
      </c>
      <c r="L142">
        <f t="shared" si="47"/>
        <v>26221.909944888495</v>
      </c>
      <c r="M142">
        <f t="shared" si="41"/>
        <v>26236.952937353883</v>
      </c>
      <c r="N142" s="29">
        <f t="shared" si="48"/>
        <v>0</v>
      </c>
      <c r="O142" s="29">
        <f t="shared" si="42"/>
        <v>0</v>
      </c>
      <c r="P142" s="29">
        <f t="shared" si="49"/>
        <v>26236.952937353883</v>
      </c>
      <c r="Q142">
        <f t="shared" si="50"/>
        <v>0</v>
      </c>
      <c r="R142" s="29">
        <f t="shared" si="51"/>
        <v>0</v>
      </c>
      <c r="S142" s="29">
        <f t="shared" si="43"/>
        <v>0</v>
      </c>
      <c r="T142" s="29">
        <f t="shared" si="52"/>
        <v>26236.952937353883</v>
      </c>
      <c r="U142">
        <f t="shared" si="53"/>
        <v>0</v>
      </c>
      <c r="V142" s="29">
        <f t="shared" si="54"/>
        <v>0</v>
      </c>
      <c r="W142" s="29">
        <f t="shared" si="44"/>
        <v>0</v>
      </c>
      <c r="X142" s="29">
        <f t="shared" si="55"/>
        <v>26236.952937353883</v>
      </c>
      <c r="Y142">
        <f t="shared" si="56"/>
        <v>0</v>
      </c>
    </row>
    <row r="143" spans="1:25" x14ac:dyDescent="0.25">
      <c r="A143" s="4" t="s">
        <v>931</v>
      </c>
      <c r="B143" s="7" t="s">
        <v>165</v>
      </c>
      <c r="C143" s="2" t="s">
        <v>932</v>
      </c>
      <c r="D143">
        <f>VLOOKUP(B143,'Model allocations'!$A$1:$L$317,5,FALSE)</f>
        <v>494900.95540655777</v>
      </c>
      <c r="E143" s="31">
        <f>VLOOKUP(B143,'Initial adjusted formula count'!$A$1:$P$317,12,FALSE)</f>
        <v>7.3859881031064098E-2</v>
      </c>
      <c r="F143">
        <f>VLOOKUP(B143,'Model allocations'!$A$1:$L$317,10,FALSE)</f>
        <v>420665.8120955741</v>
      </c>
      <c r="G143" s="30">
        <f t="shared" si="45"/>
        <v>0.85</v>
      </c>
      <c r="H143">
        <f t="shared" si="46"/>
        <v>420665.8120955741</v>
      </c>
      <c r="I143">
        <f t="shared" si="38"/>
        <v>0</v>
      </c>
      <c r="J143">
        <f t="shared" si="39"/>
        <v>420665.8120955741</v>
      </c>
      <c r="K143">
        <f t="shared" si="40"/>
        <v>420424.62278304575</v>
      </c>
      <c r="L143">
        <f t="shared" si="47"/>
        <v>420424.62278304575</v>
      </c>
      <c r="M143">
        <f t="shared" si="41"/>
        <v>420665.8120955741</v>
      </c>
      <c r="N143" s="29">
        <f t="shared" si="48"/>
        <v>0</v>
      </c>
      <c r="O143" s="29">
        <f t="shared" si="42"/>
        <v>0</v>
      </c>
      <c r="P143" s="29">
        <f t="shared" si="49"/>
        <v>420665.8120955741</v>
      </c>
      <c r="Q143">
        <f t="shared" si="50"/>
        <v>0</v>
      </c>
      <c r="R143" s="29">
        <f t="shared" si="51"/>
        <v>0</v>
      </c>
      <c r="S143" s="29">
        <f t="shared" si="43"/>
        <v>0</v>
      </c>
      <c r="T143" s="29">
        <f t="shared" si="52"/>
        <v>420665.8120955741</v>
      </c>
      <c r="U143">
        <f t="shared" si="53"/>
        <v>0</v>
      </c>
      <c r="V143" s="29">
        <f t="shared" si="54"/>
        <v>0</v>
      </c>
      <c r="W143" s="29">
        <f t="shared" si="44"/>
        <v>0</v>
      </c>
      <c r="X143" s="29">
        <f t="shared" si="55"/>
        <v>420665.8120955741</v>
      </c>
      <c r="Y143">
        <f t="shared" si="56"/>
        <v>0</v>
      </c>
    </row>
    <row r="144" spans="1:25" x14ac:dyDescent="0.25">
      <c r="A144" s="4" t="s">
        <v>933</v>
      </c>
      <c r="B144" s="7" t="s">
        <v>167</v>
      </c>
      <c r="C144" s="2" t="s">
        <v>934</v>
      </c>
      <c r="D144">
        <f>VLOOKUP(B144,'Model allocations'!$A$1:$L$317,5,FALSE)</f>
        <v>86427.609675989283</v>
      </c>
      <c r="E144" s="31">
        <f>VLOOKUP(B144,'Initial adjusted formula count'!$A$1:$P$317,12,FALSE)</f>
        <v>9.5369349503858905E-2</v>
      </c>
      <c r="F144">
        <f>VLOOKUP(B144,'Model allocations'!$A$1:$L$317,10,FALSE)</f>
        <v>73463.468224590892</v>
      </c>
      <c r="G144" s="30">
        <f t="shared" si="45"/>
        <v>0.85</v>
      </c>
      <c r="H144">
        <f t="shared" si="46"/>
        <v>73463.468224590892</v>
      </c>
      <c r="I144">
        <f t="shared" si="38"/>
        <v>0</v>
      </c>
      <c r="J144">
        <f t="shared" si="39"/>
        <v>73463.468224590892</v>
      </c>
      <c r="K144">
        <f t="shared" si="40"/>
        <v>73421.347845687807</v>
      </c>
      <c r="L144">
        <f t="shared" si="47"/>
        <v>73421.347845687807</v>
      </c>
      <c r="M144">
        <f t="shared" si="41"/>
        <v>73463.468224590892</v>
      </c>
      <c r="N144" s="29">
        <f t="shared" si="48"/>
        <v>0</v>
      </c>
      <c r="O144" s="29">
        <f t="shared" si="42"/>
        <v>0</v>
      </c>
      <c r="P144" s="29">
        <f t="shared" si="49"/>
        <v>73463.468224590892</v>
      </c>
      <c r="Q144">
        <f t="shared" si="50"/>
        <v>0</v>
      </c>
      <c r="R144" s="29">
        <f t="shared" si="51"/>
        <v>0</v>
      </c>
      <c r="S144" s="29">
        <f t="shared" si="43"/>
        <v>0</v>
      </c>
      <c r="T144" s="29">
        <f t="shared" si="52"/>
        <v>73463.468224590892</v>
      </c>
      <c r="U144">
        <f t="shared" si="53"/>
        <v>0</v>
      </c>
      <c r="V144" s="29">
        <f t="shared" si="54"/>
        <v>0</v>
      </c>
      <c r="W144" s="29">
        <f t="shared" si="44"/>
        <v>0</v>
      </c>
      <c r="X144" s="29">
        <f t="shared" si="55"/>
        <v>73463.468224590892</v>
      </c>
      <c r="Y144">
        <f t="shared" si="56"/>
        <v>0</v>
      </c>
    </row>
    <row r="145" spans="1:25" x14ac:dyDescent="0.25">
      <c r="A145" s="4" t="s">
        <v>935</v>
      </c>
      <c r="B145" s="7" t="s">
        <v>169</v>
      </c>
      <c r="C145" s="2" t="s">
        <v>936</v>
      </c>
      <c r="D145">
        <f>VLOOKUP(B145,'Model allocations'!$A$1:$L$317,5,FALSE)</f>
        <v>0</v>
      </c>
      <c r="E145" s="31">
        <f>VLOOKUP(B145,'Initial adjusted formula count'!$A$1:$P$317,12,FALSE)</f>
        <v>3.10204081632653E-2</v>
      </c>
      <c r="F145">
        <f>VLOOKUP(B145,'Model allocations'!$A$1:$L$317,10,FALSE)</f>
        <v>0</v>
      </c>
      <c r="G145" s="30">
        <f t="shared" si="45"/>
        <v>0.85</v>
      </c>
      <c r="H145">
        <f t="shared" si="46"/>
        <v>0</v>
      </c>
      <c r="I145">
        <f t="shared" si="38"/>
        <v>0</v>
      </c>
      <c r="J145">
        <f t="shared" si="39"/>
        <v>0</v>
      </c>
      <c r="K145">
        <f t="shared" si="40"/>
        <v>0</v>
      </c>
      <c r="L145">
        <f t="shared" si="47"/>
        <v>0</v>
      </c>
      <c r="M145">
        <f t="shared" si="41"/>
        <v>0</v>
      </c>
      <c r="N145" s="29">
        <f t="shared" si="48"/>
        <v>0</v>
      </c>
      <c r="O145" s="29">
        <f t="shared" si="42"/>
        <v>0</v>
      </c>
      <c r="P145" s="29">
        <f t="shared" si="49"/>
        <v>0</v>
      </c>
      <c r="Q145">
        <f t="shared" si="50"/>
        <v>0</v>
      </c>
      <c r="R145" s="29">
        <f t="shared" si="51"/>
        <v>0</v>
      </c>
      <c r="S145" s="29">
        <f t="shared" si="43"/>
        <v>0</v>
      </c>
      <c r="T145" s="29">
        <f t="shared" si="52"/>
        <v>0</v>
      </c>
      <c r="U145">
        <f t="shared" si="53"/>
        <v>0</v>
      </c>
      <c r="V145" s="29">
        <f t="shared" si="54"/>
        <v>0</v>
      </c>
      <c r="W145" s="29">
        <f t="shared" si="44"/>
        <v>0</v>
      </c>
      <c r="X145" s="29">
        <f t="shared" si="55"/>
        <v>0</v>
      </c>
      <c r="Y145">
        <f t="shared" si="56"/>
        <v>0</v>
      </c>
    </row>
    <row r="146" spans="1:25" x14ac:dyDescent="0.25">
      <c r="A146" s="4" t="s">
        <v>937</v>
      </c>
      <c r="B146" s="7" t="s">
        <v>171</v>
      </c>
      <c r="C146" s="2" t="s">
        <v>938</v>
      </c>
      <c r="D146">
        <f>VLOOKUP(B146,'Model allocations'!$A$1:$L$317,5,FALSE)</f>
        <v>85604.489583837028</v>
      </c>
      <c r="E146" s="31">
        <f>VLOOKUP(B146,'Initial adjusted formula count'!$A$1:$P$317,12,FALSE)</f>
        <v>0.12638970157987101</v>
      </c>
      <c r="F146">
        <f>VLOOKUP(B146,'Model allocations'!$A$1:$L$317,10,FALSE)</f>
        <v>90577.227823092529</v>
      </c>
      <c r="G146" s="30">
        <f t="shared" si="45"/>
        <v>0.85</v>
      </c>
      <c r="H146">
        <f t="shared" si="46"/>
        <v>72763.816146261466</v>
      </c>
      <c r="I146">
        <f t="shared" si="38"/>
        <v>0</v>
      </c>
      <c r="J146">
        <f t="shared" si="39"/>
        <v>90577.227823092529</v>
      </c>
      <c r="K146">
        <f t="shared" si="40"/>
        <v>90525.295246968613</v>
      </c>
      <c r="L146">
        <f t="shared" si="47"/>
        <v>90525.295246968613</v>
      </c>
      <c r="M146">
        <f t="shared" si="41"/>
        <v>0</v>
      </c>
      <c r="N146" s="29">
        <f t="shared" si="48"/>
        <v>90525.295246968613</v>
      </c>
      <c r="O146" s="29">
        <f t="shared" si="42"/>
        <v>90518.746424423938</v>
      </c>
      <c r="P146" s="29">
        <f t="shared" si="49"/>
        <v>90518.746424423938</v>
      </c>
      <c r="Q146">
        <f t="shared" si="50"/>
        <v>0</v>
      </c>
      <c r="R146" s="29">
        <f t="shared" si="51"/>
        <v>90518.746424423938</v>
      </c>
      <c r="S146" s="29">
        <f t="shared" si="43"/>
        <v>90518.746424423996</v>
      </c>
      <c r="T146" s="29">
        <f t="shared" si="52"/>
        <v>90518.746424423996</v>
      </c>
      <c r="U146">
        <f t="shared" si="53"/>
        <v>0</v>
      </c>
      <c r="V146" s="29">
        <f t="shared" si="54"/>
        <v>90518.746424423996</v>
      </c>
      <c r="W146" s="29">
        <f t="shared" si="44"/>
        <v>90518.746424424011</v>
      </c>
      <c r="X146" s="29">
        <f t="shared" si="55"/>
        <v>90518.746424424011</v>
      </c>
      <c r="Y146">
        <f t="shared" si="56"/>
        <v>0</v>
      </c>
    </row>
    <row r="147" spans="1:25" x14ac:dyDescent="0.25">
      <c r="A147" s="4" t="s">
        <v>939</v>
      </c>
      <c r="B147" s="7" t="s">
        <v>467</v>
      </c>
      <c r="C147" s="2" t="s">
        <v>940</v>
      </c>
      <c r="D147">
        <f>VLOOKUP(B147,'Model allocations'!$A$1:$L$317,5,FALSE)</f>
        <v>34128.880920257703</v>
      </c>
      <c r="E147" s="31">
        <f>VLOOKUP(B147,'Initial adjusted formula count'!$A$1:$P$317,12,FALSE)</f>
        <v>0.154121863799283</v>
      </c>
      <c r="F147">
        <f>VLOOKUP(B147,'Model allocations'!$A$1:$L$317,10,FALSE)</f>
        <v>54094.733283235808</v>
      </c>
      <c r="G147" s="30">
        <f t="shared" si="45"/>
        <v>0.9</v>
      </c>
      <c r="H147">
        <f t="shared" si="46"/>
        <v>30715.992828231934</v>
      </c>
      <c r="I147">
        <f t="shared" si="38"/>
        <v>0</v>
      </c>
      <c r="J147">
        <f t="shared" si="39"/>
        <v>54094.733283235808</v>
      </c>
      <c r="K147">
        <f t="shared" si="40"/>
        <v>54063.717994717364</v>
      </c>
      <c r="L147">
        <f t="shared" si="47"/>
        <v>54063.717994717364</v>
      </c>
      <c r="M147">
        <f t="shared" si="41"/>
        <v>0</v>
      </c>
      <c r="N147" s="29">
        <f t="shared" si="48"/>
        <v>54063.717994717364</v>
      </c>
      <c r="O147" s="29">
        <f t="shared" si="42"/>
        <v>54059.806892364293</v>
      </c>
      <c r="P147" s="29">
        <f t="shared" si="49"/>
        <v>54059.806892364293</v>
      </c>
      <c r="Q147">
        <f t="shared" si="50"/>
        <v>0</v>
      </c>
      <c r="R147" s="29">
        <f t="shared" si="51"/>
        <v>54059.806892364293</v>
      </c>
      <c r="S147" s="29">
        <f t="shared" si="43"/>
        <v>54059.80689236433</v>
      </c>
      <c r="T147" s="29">
        <f t="shared" si="52"/>
        <v>54059.80689236433</v>
      </c>
      <c r="U147">
        <f t="shared" si="53"/>
        <v>0</v>
      </c>
      <c r="V147" s="29">
        <f t="shared" si="54"/>
        <v>54059.80689236433</v>
      </c>
      <c r="W147" s="29">
        <f t="shared" si="44"/>
        <v>54059.806892364337</v>
      </c>
      <c r="X147" s="29">
        <f t="shared" si="55"/>
        <v>54059.806892364337</v>
      </c>
      <c r="Y147">
        <f t="shared" si="56"/>
        <v>0</v>
      </c>
    </row>
    <row r="148" spans="1:25" x14ac:dyDescent="0.25">
      <c r="A148" s="4" t="s">
        <v>941</v>
      </c>
      <c r="B148" s="7" t="s">
        <v>469</v>
      </c>
      <c r="C148" s="2" t="s">
        <v>942</v>
      </c>
      <c r="D148">
        <f>VLOOKUP(B148,'Model allocations'!$A$1:$L$317,5,FALSE)</f>
        <v>9911.2096076078942</v>
      </c>
      <c r="E148" s="31">
        <f>VLOOKUP(B148,'Initial adjusted formula count'!$A$1:$P$317,12,FALSE)</f>
        <v>0.17808219178082199</v>
      </c>
      <c r="F148">
        <f>VLOOKUP(B148,'Model allocations'!$A$1:$L$317,10,FALSE)</f>
        <v>8920.0886468471053</v>
      </c>
      <c r="G148" s="30">
        <f t="shared" si="45"/>
        <v>0.9</v>
      </c>
      <c r="H148">
        <f t="shared" si="46"/>
        <v>8920.0886468471053</v>
      </c>
      <c r="I148">
        <f t="shared" si="38"/>
        <v>0</v>
      </c>
      <c r="J148">
        <f t="shared" si="39"/>
        <v>8920.0886468471053</v>
      </c>
      <c r="K148">
        <f t="shared" si="40"/>
        <v>8914.9743019525013</v>
      </c>
      <c r="L148">
        <f t="shared" si="47"/>
        <v>8914.9743019525013</v>
      </c>
      <c r="M148">
        <f t="shared" si="41"/>
        <v>8920.0886468471053</v>
      </c>
      <c r="N148" s="29">
        <f t="shared" si="48"/>
        <v>0</v>
      </c>
      <c r="O148" s="29">
        <f t="shared" si="42"/>
        <v>0</v>
      </c>
      <c r="P148" s="29">
        <f t="shared" si="49"/>
        <v>8920.0886468471053</v>
      </c>
      <c r="Q148">
        <f t="shared" si="50"/>
        <v>0</v>
      </c>
      <c r="R148" s="29">
        <f t="shared" si="51"/>
        <v>0</v>
      </c>
      <c r="S148" s="29">
        <f t="shared" si="43"/>
        <v>0</v>
      </c>
      <c r="T148" s="29">
        <f t="shared" si="52"/>
        <v>8920.0886468471053</v>
      </c>
      <c r="U148">
        <f t="shared" si="53"/>
        <v>0</v>
      </c>
      <c r="V148" s="29">
        <f t="shared" si="54"/>
        <v>0</v>
      </c>
      <c r="W148" s="29">
        <f t="shared" si="44"/>
        <v>0</v>
      </c>
      <c r="X148" s="29">
        <f t="shared" si="55"/>
        <v>8920.0886468471053</v>
      </c>
      <c r="Y148">
        <f t="shared" si="56"/>
        <v>0</v>
      </c>
    </row>
    <row r="149" spans="1:25" x14ac:dyDescent="0.25">
      <c r="A149" s="4" t="s">
        <v>943</v>
      </c>
      <c r="B149" s="7" t="s">
        <v>173</v>
      </c>
      <c r="C149" s="2" t="s">
        <v>944</v>
      </c>
      <c r="D149">
        <f>VLOOKUP(B149,'Model allocations'!$A$1:$L$317,5,FALSE)</f>
        <v>179028.6200431207</v>
      </c>
      <c r="E149" s="31">
        <f>VLOOKUP(B149,'Initial adjusted formula count'!$A$1:$P$317,12,FALSE)</f>
        <v>6.9145758661887699E-2</v>
      </c>
      <c r="F149">
        <f>VLOOKUP(B149,'Model allocations'!$A$1:$L$317,10,FALSE)</f>
        <v>194153.96519486964</v>
      </c>
      <c r="G149" s="30">
        <f t="shared" si="45"/>
        <v>0.85</v>
      </c>
      <c r="H149">
        <f t="shared" si="46"/>
        <v>152174.3270366526</v>
      </c>
      <c r="I149">
        <f t="shared" si="38"/>
        <v>0</v>
      </c>
      <c r="J149">
        <f t="shared" si="39"/>
        <v>194153.96519486964</v>
      </c>
      <c r="K149">
        <f t="shared" si="40"/>
        <v>194042.64675623368</v>
      </c>
      <c r="L149">
        <f t="shared" si="47"/>
        <v>194042.64675623368</v>
      </c>
      <c r="M149">
        <f t="shared" si="41"/>
        <v>0</v>
      </c>
      <c r="N149" s="29">
        <f t="shared" si="48"/>
        <v>194042.64675623368</v>
      </c>
      <c r="O149" s="29">
        <f t="shared" si="42"/>
        <v>194028.60923383466</v>
      </c>
      <c r="P149" s="29">
        <f t="shared" si="49"/>
        <v>194028.60923383466</v>
      </c>
      <c r="Q149">
        <f t="shared" si="50"/>
        <v>0</v>
      </c>
      <c r="R149" s="29">
        <f t="shared" si="51"/>
        <v>194028.60923383466</v>
      </c>
      <c r="S149" s="29">
        <f t="shared" si="43"/>
        <v>194028.60923383478</v>
      </c>
      <c r="T149" s="29">
        <f t="shared" si="52"/>
        <v>194028.60923383478</v>
      </c>
      <c r="U149">
        <f t="shared" si="53"/>
        <v>0</v>
      </c>
      <c r="V149" s="29">
        <f t="shared" si="54"/>
        <v>194028.60923383478</v>
      </c>
      <c r="W149" s="29">
        <f t="shared" si="44"/>
        <v>194028.60923383481</v>
      </c>
      <c r="X149" s="29">
        <f t="shared" si="55"/>
        <v>194028.60923383481</v>
      </c>
      <c r="Y149">
        <f t="shared" si="56"/>
        <v>0</v>
      </c>
    </row>
    <row r="150" spans="1:25" x14ac:dyDescent="0.25">
      <c r="A150" s="4" t="s">
        <v>945</v>
      </c>
      <c r="B150" s="7" t="s">
        <v>471</v>
      </c>
      <c r="C150" s="2" t="s">
        <v>946</v>
      </c>
      <c r="D150">
        <f>VLOOKUP(B150,'Model allocations'!$A$1:$L$317,5,FALSE)</f>
        <v>89255.891468629154</v>
      </c>
      <c r="E150" s="31">
        <f>VLOOKUP(B150,'Initial adjusted formula count'!$A$1:$P$317,12,FALSE)</f>
        <v>9.1997008227374694E-2</v>
      </c>
      <c r="F150">
        <f>VLOOKUP(B150,'Model allocations'!$A$1:$L$317,10,FALSE)</f>
        <v>75867.507748334785</v>
      </c>
      <c r="G150" s="30">
        <f t="shared" si="45"/>
        <v>0.85</v>
      </c>
      <c r="H150">
        <f t="shared" si="46"/>
        <v>75867.507748334785</v>
      </c>
      <c r="I150">
        <f t="shared" si="38"/>
        <v>0</v>
      </c>
      <c r="J150">
        <f t="shared" si="39"/>
        <v>75867.507748334785</v>
      </c>
      <c r="K150">
        <f t="shared" si="40"/>
        <v>75824.009010118083</v>
      </c>
      <c r="L150">
        <f t="shared" si="47"/>
        <v>75824.009010118083</v>
      </c>
      <c r="M150">
        <f t="shared" si="41"/>
        <v>75867.507748334785</v>
      </c>
      <c r="N150" s="29">
        <f t="shared" si="48"/>
        <v>0</v>
      </c>
      <c r="O150" s="29">
        <f t="shared" si="42"/>
        <v>0</v>
      </c>
      <c r="P150" s="29">
        <f t="shared" si="49"/>
        <v>75867.507748334785</v>
      </c>
      <c r="Q150">
        <f t="shared" si="50"/>
        <v>0</v>
      </c>
      <c r="R150" s="29">
        <f t="shared" si="51"/>
        <v>0</v>
      </c>
      <c r="S150" s="29">
        <f t="shared" si="43"/>
        <v>0</v>
      </c>
      <c r="T150" s="29">
        <f t="shared" si="52"/>
        <v>75867.507748334785</v>
      </c>
      <c r="U150">
        <f t="shared" si="53"/>
        <v>0</v>
      </c>
      <c r="V150" s="29">
        <f t="shared" si="54"/>
        <v>0</v>
      </c>
      <c r="W150" s="29">
        <f t="shared" si="44"/>
        <v>0</v>
      </c>
      <c r="X150" s="29">
        <f t="shared" si="55"/>
        <v>75867.507748334785</v>
      </c>
      <c r="Y150">
        <f t="shared" si="56"/>
        <v>0</v>
      </c>
    </row>
    <row r="151" spans="1:25" x14ac:dyDescent="0.25">
      <c r="A151" s="4" t="s">
        <v>947</v>
      </c>
      <c r="B151" s="7" t="s">
        <v>473</v>
      </c>
      <c r="C151" s="2" t="s">
        <v>948</v>
      </c>
      <c r="D151">
        <f>VLOOKUP(B151,'Model allocations'!$A$1:$L$317,5,FALSE)</f>
        <v>25605.606656467629</v>
      </c>
      <c r="E151" s="31">
        <f>VLOOKUP(B151,'Initial adjusted formula count'!$A$1:$P$317,12,FALSE)</f>
        <v>0.12759643916913899</v>
      </c>
      <c r="F151">
        <f>VLOOKUP(B151,'Model allocations'!$A$1:$L$317,10,FALSE)</f>
        <v>21764.765657997483</v>
      </c>
      <c r="G151" s="30">
        <f t="shared" si="45"/>
        <v>0.85</v>
      </c>
      <c r="H151">
        <f t="shared" si="46"/>
        <v>21764.765657997483</v>
      </c>
      <c r="I151">
        <f t="shared" si="38"/>
        <v>0</v>
      </c>
      <c r="J151">
        <f t="shared" si="39"/>
        <v>21764.765657997483</v>
      </c>
      <c r="K151">
        <f t="shared" si="40"/>
        <v>21752.286800159611</v>
      </c>
      <c r="L151">
        <f t="shared" si="47"/>
        <v>21752.286800159611</v>
      </c>
      <c r="M151">
        <f t="shared" si="41"/>
        <v>21764.765657997483</v>
      </c>
      <c r="N151" s="29">
        <f t="shared" si="48"/>
        <v>0</v>
      </c>
      <c r="O151" s="29">
        <f t="shared" si="42"/>
        <v>0</v>
      </c>
      <c r="P151" s="29">
        <f t="shared" si="49"/>
        <v>21764.765657997483</v>
      </c>
      <c r="Q151">
        <f t="shared" si="50"/>
        <v>0</v>
      </c>
      <c r="R151" s="29">
        <f t="shared" si="51"/>
        <v>0</v>
      </c>
      <c r="S151" s="29">
        <f t="shared" si="43"/>
        <v>0</v>
      </c>
      <c r="T151" s="29">
        <f t="shared" si="52"/>
        <v>21764.765657997483</v>
      </c>
      <c r="U151">
        <f t="shared" si="53"/>
        <v>0</v>
      </c>
      <c r="V151" s="29">
        <f t="shared" si="54"/>
        <v>0</v>
      </c>
      <c r="W151" s="29">
        <f t="shared" si="44"/>
        <v>0</v>
      </c>
      <c r="X151" s="29">
        <f t="shared" si="55"/>
        <v>21764.765657997483</v>
      </c>
      <c r="Y151">
        <f t="shared" si="56"/>
        <v>0</v>
      </c>
    </row>
    <row r="152" spans="1:25" x14ac:dyDescent="0.25">
      <c r="A152" s="4" t="s">
        <v>949</v>
      </c>
      <c r="B152" s="7" t="s">
        <v>475</v>
      </c>
      <c r="C152" s="2" t="s">
        <v>950</v>
      </c>
      <c r="D152">
        <f>VLOOKUP(B152,'Model allocations'!$A$1:$L$317,5,FALSE)</f>
        <v>708500.61932007421</v>
      </c>
      <c r="E152" s="31">
        <f>VLOOKUP(B152,'Initial adjusted formula count'!$A$1:$P$317,12,FALSE)</f>
        <v>0.16728091728091701</v>
      </c>
      <c r="F152">
        <f>VLOOKUP(B152,'Model allocations'!$A$1:$L$317,10,FALSE)</f>
        <v>882918.30176630197</v>
      </c>
      <c r="G152" s="30">
        <f t="shared" si="45"/>
        <v>0.9</v>
      </c>
      <c r="H152">
        <f t="shared" si="46"/>
        <v>637650.55738806678</v>
      </c>
      <c r="I152">
        <f t="shared" si="38"/>
        <v>0</v>
      </c>
      <c r="J152">
        <f t="shared" si="39"/>
        <v>882918.30176630197</v>
      </c>
      <c r="K152">
        <f t="shared" si="40"/>
        <v>882412.07936339034</v>
      </c>
      <c r="L152">
        <f t="shared" si="47"/>
        <v>882412.07936339034</v>
      </c>
      <c r="M152">
        <f t="shared" si="41"/>
        <v>0</v>
      </c>
      <c r="N152" s="29">
        <f t="shared" si="48"/>
        <v>882412.07936339034</v>
      </c>
      <c r="O152" s="29">
        <f t="shared" si="42"/>
        <v>882348.24350289104</v>
      </c>
      <c r="P152" s="29">
        <f t="shared" si="49"/>
        <v>882348.24350289104</v>
      </c>
      <c r="Q152">
        <f t="shared" si="50"/>
        <v>0</v>
      </c>
      <c r="R152" s="29">
        <f t="shared" si="51"/>
        <v>882348.24350289104</v>
      </c>
      <c r="S152" s="29">
        <f t="shared" si="43"/>
        <v>882348.24350289151</v>
      </c>
      <c r="T152" s="29">
        <f t="shared" si="52"/>
        <v>882348.24350289151</v>
      </c>
      <c r="U152">
        <f t="shared" si="53"/>
        <v>0</v>
      </c>
      <c r="V152" s="29">
        <f t="shared" si="54"/>
        <v>882348.24350289151</v>
      </c>
      <c r="W152" s="29">
        <f t="shared" si="44"/>
        <v>882348.24350289162</v>
      </c>
      <c r="X152" s="29">
        <f t="shared" si="55"/>
        <v>882348.24350289162</v>
      </c>
      <c r="Y152">
        <f t="shared" si="56"/>
        <v>0</v>
      </c>
    </row>
    <row r="153" spans="1:25" x14ac:dyDescent="0.25">
      <c r="A153" s="4" t="s">
        <v>951</v>
      </c>
      <c r="B153" s="7" t="s">
        <v>477</v>
      </c>
      <c r="C153" s="2" t="s">
        <v>952</v>
      </c>
      <c r="D153">
        <f>VLOOKUP(B153,'Model allocations'!$A$1:$L$317,5,FALSE)</f>
        <v>55693.066821108448</v>
      </c>
      <c r="E153" s="31">
        <f>VLOOKUP(B153,'Initial adjusted formula count'!$A$1:$P$317,12,FALSE)</f>
        <v>9.8870056497175104E-2</v>
      </c>
      <c r="F153">
        <f>VLOOKUP(B153,'Model allocations'!$A$1:$L$317,10,FALSE)</f>
        <v>47339.106797942179</v>
      </c>
      <c r="G153" s="30">
        <f t="shared" si="45"/>
        <v>0.85</v>
      </c>
      <c r="H153">
        <f t="shared" si="46"/>
        <v>47339.106797942179</v>
      </c>
      <c r="I153">
        <f t="shared" si="38"/>
        <v>0</v>
      </c>
      <c r="J153">
        <f t="shared" si="39"/>
        <v>47339.106797942179</v>
      </c>
      <c r="K153">
        <f t="shared" si="40"/>
        <v>47311.96485700948</v>
      </c>
      <c r="L153">
        <f t="shared" si="47"/>
        <v>47311.96485700948</v>
      </c>
      <c r="M153">
        <f t="shared" si="41"/>
        <v>47339.106797942179</v>
      </c>
      <c r="N153" s="29">
        <f t="shared" si="48"/>
        <v>0</v>
      </c>
      <c r="O153" s="29">
        <f t="shared" si="42"/>
        <v>0</v>
      </c>
      <c r="P153" s="29">
        <f t="shared" si="49"/>
        <v>47339.106797942179</v>
      </c>
      <c r="Q153">
        <f t="shared" si="50"/>
        <v>0</v>
      </c>
      <c r="R153" s="29">
        <f t="shared" si="51"/>
        <v>0</v>
      </c>
      <c r="S153" s="29">
        <f t="shared" si="43"/>
        <v>0</v>
      </c>
      <c r="T153" s="29">
        <f t="shared" si="52"/>
        <v>47339.106797942179</v>
      </c>
      <c r="U153">
        <f t="shared" si="53"/>
        <v>0</v>
      </c>
      <c r="V153" s="29">
        <f t="shared" si="54"/>
        <v>0</v>
      </c>
      <c r="W153" s="29">
        <f t="shared" si="44"/>
        <v>0</v>
      </c>
      <c r="X153" s="29">
        <f t="shared" si="55"/>
        <v>47339.106797942179</v>
      </c>
      <c r="Y153">
        <f t="shared" si="56"/>
        <v>0</v>
      </c>
    </row>
    <row r="154" spans="1:25" x14ac:dyDescent="0.25">
      <c r="A154" s="4" t="s">
        <v>953</v>
      </c>
      <c r="B154" s="7" t="s">
        <v>479</v>
      </c>
      <c r="C154" s="2" t="s">
        <v>954</v>
      </c>
      <c r="D154">
        <f>VLOOKUP(B154,'Model allocations'!$A$1:$L$317,5,FALSE)</f>
        <v>157582.37008810914</v>
      </c>
      <c r="E154" s="31">
        <f>VLOOKUP(B154,'Initial adjusted formula count'!$A$1:$P$317,12,FALSE)</f>
        <v>0.12925851703406799</v>
      </c>
      <c r="F154">
        <f>VLOOKUP(B154,'Model allocations'!$A$1:$L$317,10,FALSE)</f>
        <v>133945.01457489276</v>
      </c>
      <c r="G154" s="30">
        <f t="shared" si="45"/>
        <v>0.85</v>
      </c>
      <c r="H154">
        <f t="shared" si="46"/>
        <v>133945.01457489276</v>
      </c>
      <c r="I154">
        <f t="shared" si="38"/>
        <v>0</v>
      </c>
      <c r="J154">
        <f t="shared" si="39"/>
        <v>133945.01457489276</v>
      </c>
      <c r="K154">
        <f t="shared" si="40"/>
        <v>133868.21701955784</v>
      </c>
      <c r="L154">
        <f t="shared" si="47"/>
        <v>133868.21701955784</v>
      </c>
      <c r="M154">
        <f t="shared" si="41"/>
        <v>133945.01457489276</v>
      </c>
      <c r="N154" s="29">
        <f t="shared" si="48"/>
        <v>0</v>
      </c>
      <c r="O154" s="29">
        <f t="shared" si="42"/>
        <v>0</v>
      </c>
      <c r="P154" s="29">
        <f t="shared" si="49"/>
        <v>133945.01457489276</v>
      </c>
      <c r="Q154">
        <f t="shared" si="50"/>
        <v>0</v>
      </c>
      <c r="R154" s="29">
        <f t="shared" si="51"/>
        <v>0</v>
      </c>
      <c r="S154" s="29">
        <f t="shared" si="43"/>
        <v>0</v>
      </c>
      <c r="T154" s="29">
        <f t="shared" si="52"/>
        <v>133945.01457489276</v>
      </c>
      <c r="U154">
        <f t="shared" si="53"/>
        <v>0</v>
      </c>
      <c r="V154" s="29">
        <f t="shared" si="54"/>
        <v>0</v>
      </c>
      <c r="W154" s="29">
        <f t="shared" si="44"/>
        <v>0</v>
      </c>
      <c r="X154" s="29">
        <f t="shared" si="55"/>
        <v>133945.01457489276</v>
      </c>
      <c r="Y154">
        <f t="shared" si="56"/>
        <v>0</v>
      </c>
    </row>
    <row r="155" spans="1:25" x14ac:dyDescent="0.25">
      <c r="A155" s="4" t="s">
        <v>955</v>
      </c>
      <c r="B155" s="7" t="s">
        <v>481</v>
      </c>
      <c r="C155" s="2" t="s">
        <v>956</v>
      </c>
      <c r="D155">
        <f>VLOOKUP(B155,'Model allocations'!$A$1:$L$317,5,FALSE)</f>
        <v>150916.49630401793</v>
      </c>
      <c r="E155" s="31">
        <f>VLOOKUP(B155,'Initial adjusted formula count'!$A$1:$P$317,12,FALSE)</f>
        <v>0.111839410077837</v>
      </c>
      <c r="F155">
        <f>VLOOKUP(B155,'Model allocations'!$A$1:$L$317,10,FALSE)</f>
        <v>128279.02185841523</v>
      </c>
      <c r="G155" s="30">
        <f t="shared" si="45"/>
        <v>0.85</v>
      </c>
      <c r="H155">
        <f t="shared" si="46"/>
        <v>128279.02185841523</v>
      </c>
      <c r="I155">
        <f t="shared" si="38"/>
        <v>0</v>
      </c>
      <c r="J155">
        <f t="shared" si="39"/>
        <v>128279.02185841523</v>
      </c>
      <c r="K155">
        <f t="shared" si="40"/>
        <v>128205.47290767042</v>
      </c>
      <c r="L155">
        <f t="shared" si="47"/>
        <v>128205.47290767042</v>
      </c>
      <c r="M155">
        <f t="shared" si="41"/>
        <v>128279.02185841523</v>
      </c>
      <c r="N155" s="29">
        <f t="shared" si="48"/>
        <v>0</v>
      </c>
      <c r="O155" s="29">
        <f t="shared" si="42"/>
        <v>0</v>
      </c>
      <c r="P155" s="29">
        <f t="shared" si="49"/>
        <v>128279.02185841523</v>
      </c>
      <c r="Q155">
        <f t="shared" si="50"/>
        <v>0</v>
      </c>
      <c r="R155" s="29">
        <f t="shared" si="51"/>
        <v>0</v>
      </c>
      <c r="S155" s="29">
        <f t="shared" si="43"/>
        <v>0</v>
      </c>
      <c r="T155" s="29">
        <f t="shared" si="52"/>
        <v>128279.02185841523</v>
      </c>
      <c r="U155">
        <f t="shared" si="53"/>
        <v>0</v>
      </c>
      <c r="V155" s="29">
        <f t="shared" si="54"/>
        <v>0</v>
      </c>
      <c r="W155" s="29">
        <f t="shared" si="44"/>
        <v>0</v>
      </c>
      <c r="X155" s="29">
        <f t="shared" si="55"/>
        <v>128279.02185841523</v>
      </c>
      <c r="Y155">
        <f t="shared" si="56"/>
        <v>0</v>
      </c>
    </row>
    <row r="156" spans="1:25" x14ac:dyDescent="0.25">
      <c r="A156" s="4" t="s">
        <v>957</v>
      </c>
      <c r="B156" s="7" t="s">
        <v>175</v>
      </c>
      <c r="C156" s="2" t="s">
        <v>958</v>
      </c>
      <c r="D156">
        <f>VLOOKUP(B156,'Model allocations'!$A$1:$L$317,5,FALSE)</f>
        <v>0</v>
      </c>
      <c r="E156" s="31">
        <f>VLOOKUP(B156,'Initial adjusted formula count'!$A$1:$P$317,12,FALSE)</f>
        <v>4.8780487804878002E-2</v>
      </c>
      <c r="F156">
        <f>VLOOKUP(B156,'Model allocations'!$A$1:$L$317,10,FALSE)</f>
        <v>0</v>
      </c>
      <c r="G156" s="30">
        <f t="shared" si="45"/>
        <v>0.85</v>
      </c>
      <c r="H156">
        <f t="shared" si="46"/>
        <v>0</v>
      </c>
      <c r="I156">
        <f t="shared" si="38"/>
        <v>0</v>
      </c>
      <c r="J156">
        <f t="shared" si="39"/>
        <v>0</v>
      </c>
      <c r="K156">
        <f t="shared" si="40"/>
        <v>0</v>
      </c>
      <c r="L156">
        <f t="shared" si="47"/>
        <v>0</v>
      </c>
      <c r="M156">
        <f t="shared" si="41"/>
        <v>0</v>
      </c>
      <c r="N156" s="29">
        <f t="shared" si="48"/>
        <v>0</v>
      </c>
      <c r="O156" s="29">
        <f t="shared" si="42"/>
        <v>0</v>
      </c>
      <c r="P156" s="29">
        <f t="shared" si="49"/>
        <v>0</v>
      </c>
      <c r="Q156">
        <f t="shared" si="50"/>
        <v>0</v>
      </c>
      <c r="R156" s="29">
        <f t="shared" si="51"/>
        <v>0</v>
      </c>
      <c r="S156" s="29">
        <f t="shared" si="43"/>
        <v>0</v>
      </c>
      <c r="T156" s="29">
        <f t="shared" si="52"/>
        <v>0</v>
      </c>
      <c r="U156">
        <f t="shared" si="53"/>
        <v>0</v>
      </c>
      <c r="V156" s="29">
        <f t="shared" si="54"/>
        <v>0</v>
      </c>
      <c r="W156" s="29">
        <f t="shared" si="44"/>
        <v>0</v>
      </c>
      <c r="X156" s="29">
        <f t="shared" si="55"/>
        <v>0</v>
      </c>
      <c r="Y156">
        <f t="shared" si="56"/>
        <v>0</v>
      </c>
    </row>
    <row r="157" spans="1:25" x14ac:dyDescent="0.25">
      <c r="A157" s="4" t="s">
        <v>959</v>
      </c>
      <c r="B157" s="7" t="s">
        <v>483</v>
      </c>
      <c r="C157" s="9" t="s">
        <v>960</v>
      </c>
      <c r="D157">
        <f>VLOOKUP(B157,'Model allocations'!$A$1:$L$317,5,FALSE)</f>
        <v>433166.94849513663</v>
      </c>
      <c r="E157" s="31">
        <f>VLOOKUP(B157,'Initial adjusted formula count'!$A$1:$P$317,12,FALSE)</f>
        <v>0.13468963468963499</v>
      </c>
      <c r="F157">
        <f>VLOOKUP(B157,'Model allocations'!$A$1:$L$317,10,FALSE)</f>
        <v>425629.10296499496</v>
      </c>
      <c r="G157" s="30">
        <f t="shared" si="45"/>
        <v>0.85</v>
      </c>
      <c r="H157">
        <f t="shared" si="46"/>
        <v>368191.90622086613</v>
      </c>
      <c r="I157">
        <f t="shared" si="38"/>
        <v>0</v>
      </c>
      <c r="J157">
        <f t="shared" si="39"/>
        <v>425629.10296499496</v>
      </c>
      <c r="K157">
        <f t="shared" si="40"/>
        <v>425385.0679429312</v>
      </c>
      <c r="L157">
        <f t="shared" si="47"/>
        <v>425385.0679429312</v>
      </c>
      <c r="M157">
        <f t="shared" si="41"/>
        <v>0</v>
      </c>
      <c r="N157" s="29">
        <f t="shared" si="48"/>
        <v>425385.0679429312</v>
      </c>
      <c r="O157" s="29">
        <f t="shared" si="42"/>
        <v>425354.29454069579</v>
      </c>
      <c r="P157" s="29">
        <f t="shared" si="49"/>
        <v>425354.29454069579</v>
      </c>
      <c r="Q157">
        <f t="shared" si="50"/>
        <v>0</v>
      </c>
      <c r="R157" s="29">
        <f t="shared" si="51"/>
        <v>425354.29454069579</v>
      </c>
      <c r="S157" s="29">
        <f t="shared" si="43"/>
        <v>425354.29454069602</v>
      </c>
      <c r="T157" s="29">
        <f t="shared" si="52"/>
        <v>425354.29454069602</v>
      </c>
      <c r="U157">
        <f t="shared" si="53"/>
        <v>0</v>
      </c>
      <c r="V157" s="29">
        <f t="shared" si="54"/>
        <v>425354.29454069602</v>
      </c>
      <c r="W157" s="29">
        <f t="shared" si="44"/>
        <v>425354.29454069608</v>
      </c>
      <c r="X157" s="29">
        <f t="shared" si="55"/>
        <v>425354.29454069608</v>
      </c>
      <c r="Y157">
        <f t="shared" si="56"/>
        <v>0</v>
      </c>
    </row>
    <row r="158" spans="1:25" x14ac:dyDescent="0.25">
      <c r="A158" s="4" t="s">
        <v>961</v>
      </c>
      <c r="B158" s="7" t="s">
        <v>286</v>
      </c>
      <c r="C158" s="2" t="s">
        <v>962</v>
      </c>
      <c r="D158">
        <f>VLOOKUP(B158,'Model allocations'!$A$1:$L$317,5,FALSE)</f>
        <v>1302793.325854019</v>
      </c>
      <c r="E158" s="31">
        <f>VLOOKUP(B158,'Initial adjusted formula count'!$A$1:$P$317,12,FALSE)</f>
        <v>0.14421385860006999</v>
      </c>
      <c r="F158">
        <f>VLOOKUP(B158,'Model allocations'!$A$1:$L$317,10,FALSE)</f>
        <v>1443993.9074482364</v>
      </c>
      <c r="G158" s="30">
        <f t="shared" si="45"/>
        <v>0.85</v>
      </c>
      <c r="H158">
        <f t="shared" si="46"/>
        <v>1107374.326975916</v>
      </c>
      <c r="I158">
        <f t="shared" si="38"/>
        <v>0</v>
      </c>
      <c r="J158">
        <f t="shared" si="39"/>
        <v>1443993.9074482364</v>
      </c>
      <c r="K158">
        <f t="shared" si="40"/>
        <v>1443165.9915876684</v>
      </c>
      <c r="L158">
        <f t="shared" si="47"/>
        <v>1443165.9915876684</v>
      </c>
      <c r="M158">
        <f t="shared" si="41"/>
        <v>0</v>
      </c>
      <c r="N158" s="29">
        <f t="shared" si="48"/>
        <v>1443165.9915876684</v>
      </c>
      <c r="O158" s="29">
        <f t="shared" si="42"/>
        <v>1443061.5894097397</v>
      </c>
      <c r="P158" s="29">
        <f t="shared" si="49"/>
        <v>1443061.5894097397</v>
      </c>
      <c r="Q158">
        <f t="shared" si="50"/>
        <v>0</v>
      </c>
      <c r="R158" s="29">
        <f t="shared" si="51"/>
        <v>1443061.5894097397</v>
      </c>
      <c r="S158" s="29">
        <f t="shared" si="43"/>
        <v>1443061.5894097404</v>
      </c>
      <c r="T158" s="29">
        <f t="shared" si="52"/>
        <v>1443061.5894097404</v>
      </c>
      <c r="U158">
        <f t="shared" si="53"/>
        <v>0</v>
      </c>
      <c r="V158" s="29">
        <f t="shared" si="54"/>
        <v>1443061.5894097404</v>
      </c>
      <c r="W158" s="29">
        <f t="shared" si="44"/>
        <v>1443061.5894097404</v>
      </c>
      <c r="X158" s="29">
        <f t="shared" si="55"/>
        <v>1443061.5894097404</v>
      </c>
      <c r="Y158">
        <f t="shared" si="56"/>
        <v>0</v>
      </c>
    </row>
    <row r="159" spans="1:25" x14ac:dyDescent="0.25">
      <c r="A159" s="4" t="s">
        <v>963</v>
      </c>
      <c r="B159" s="7" t="s">
        <v>485</v>
      </c>
      <c r="C159" s="2" t="s">
        <v>964</v>
      </c>
      <c r="D159">
        <f>VLOOKUP(B159,'Model allocations'!$A$1:$L$317,5,FALSE)</f>
        <v>90131.65009067455</v>
      </c>
      <c r="E159" s="31">
        <f>VLOOKUP(B159,'Initial adjusted formula count'!$A$1:$P$317,12,FALSE)</f>
        <v>0.108426270136307</v>
      </c>
      <c r="F159">
        <f>VLOOKUP(B159,'Model allocations'!$A$1:$L$317,10,FALSE)</f>
        <v>76611.902577073372</v>
      </c>
      <c r="G159" s="30">
        <f t="shared" si="45"/>
        <v>0.85</v>
      </c>
      <c r="H159">
        <f t="shared" si="46"/>
        <v>76611.902577073372</v>
      </c>
      <c r="I159">
        <f t="shared" si="38"/>
        <v>0</v>
      </c>
      <c r="J159">
        <f t="shared" si="39"/>
        <v>76611.902577073372</v>
      </c>
      <c r="K159">
        <f t="shared" si="40"/>
        <v>76567.977039074438</v>
      </c>
      <c r="L159">
        <f t="shared" si="47"/>
        <v>76567.977039074438</v>
      </c>
      <c r="M159">
        <f t="shared" si="41"/>
        <v>76611.902577073372</v>
      </c>
      <c r="N159" s="29">
        <f t="shared" si="48"/>
        <v>0</v>
      </c>
      <c r="O159" s="29">
        <f t="shared" si="42"/>
        <v>0</v>
      </c>
      <c r="P159" s="29">
        <f t="shared" si="49"/>
        <v>76611.902577073372</v>
      </c>
      <c r="Q159">
        <f t="shared" si="50"/>
        <v>0</v>
      </c>
      <c r="R159" s="29">
        <f t="shared" si="51"/>
        <v>0</v>
      </c>
      <c r="S159" s="29">
        <f t="shared" si="43"/>
        <v>0</v>
      </c>
      <c r="T159" s="29">
        <f t="shared" si="52"/>
        <v>76611.902577073372</v>
      </c>
      <c r="U159">
        <f t="shared" si="53"/>
        <v>0</v>
      </c>
      <c r="V159" s="29">
        <f t="shared" si="54"/>
        <v>0</v>
      </c>
      <c r="W159" s="29">
        <f t="shared" si="44"/>
        <v>0</v>
      </c>
      <c r="X159" s="29">
        <f t="shared" si="55"/>
        <v>76611.902577073372</v>
      </c>
      <c r="Y159">
        <f t="shared" si="56"/>
        <v>0</v>
      </c>
    </row>
    <row r="160" spans="1:25" x14ac:dyDescent="0.25">
      <c r="A160" s="4" t="s">
        <v>965</v>
      </c>
      <c r="B160" s="7" t="s">
        <v>487</v>
      </c>
      <c r="C160" s="2" t="s">
        <v>966</v>
      </c>
      <c r="D160">
        <f>VLOOKUP(B160,'Model allocations'!$A$1:$L$317,5,FALSE)</f>
        <v>29372.545979747349</v>
      </c>
      <c r="E160" s="31">
        <f>VLOOKUP(B160,'Initial adjusted formula count'!$A$1:$P$317,12,FALSE)</f>
        <v>0.11210191082802499</v>
      </c>
      <c r="F160">
        <f>VLOOKUP(B160,'Model allocations'!$A$1:$L$317,10,FALSE)</f>
        <v>36901.833557556216</v>
      </c>
      <c r="G160" s="30">
        <f t="shared" si="45"/>
        <v>0.85</v>
      </c>
      <c r="H160">
        <f t="shared" si="46"/>
        <v>24966.664082785246</v>
      </c>
      <c r="I160">
        <f t="shared" si="38"/>
        <v>0</v>
      </c>
      <c r="J160">
        <f t="shared" si="39"/>
        <v>36901.833557556216</v>
      </c>
      <c r="K160">
        <f t="shared" si="40"/>
        <v>36880.675841357588</v>
      </c>
      <c r="L160">
        <f t="shared" si="47"/>
        <v>36880.675841357588</v>
      </c>
      <c r="M160">
        <f t="shared" si="41"/>
        <v>0</v>
      </c>
      <c r="N160" s="29">
        <f t="shared" si="48"/>
        <v>36880.675841357588</v>
      </c>
      <c r="O160" s="29">
        <f t="shared" si="42"/>
        <v>36878.007802543085</v>
      </c>
      <c r="P160" s="29">
        <f t="shared" si="49"/>
        <v>36878.007802543085</v>
      </c>
      <c r="Q160">
        <f t="shared" si="50"/>
        <v>0</v>
      </c>
      <c r="R160" s="29">
        <f t="shared" si="51"/>
        <v>36878.007802543085</v>
      </c>
      <c r="S160" s="29">
        <f t="shared" si="43"/>
        <v>36878.007802543107</v>
      </c>
      <c r="T160" s="29">
        <f t="shared" si="52"/>
        <v>36878.007802543107</v>
      </c>
      <c r="U160">
        <f t="shared" si="53"/>
        <v>0</v>
      </c>
      <c r="V160" s="29">
        <f t="shared" si="54"/>
        <v>36878.007802543107</v>
      </c>
      <c r="W160" s="29">
        <f t="shared" si="44"/>
        <v>36878.007802543107</v>
      </c>
      <c r="X160" s="29">
        <f t="shared" si="55"/>
        <v>36878.007802543107</v>
      </c>
      <c r="Y160">
        <f t="shared" si="56"/>
        <v>0</v>
      </c>
    </row>
    <row r="161" spans="1:25" x14ac:dyDescent="0.25">
      <c r="A161" s="4" t="s">
        <v>967</v>
      </c>
      <c r="B161" s="7" t="s">
        <v>489</v>
      </c>
      <c r="C161" s="2" t="s">
        <v>968</v>
      </c>
      <c r="D161">
        <f>VLOOKUP(B161,'Model allocations'!$A$1:$L$317,5,FALSE)</f>
        <v>16023.157564492476</v>
      </c>
      <c r="E161" s="31">
        <f>VLOOKUP(B161,'Initial adjusted formula count'!$A$1:$P$317,12,FALSE)</f>
        <v>0.119402985074627</v>
      </c>
      <c r="F161">
        <f>VLOOKUP(B161,'Model allocations'!$A$1:$L$317,10,FALSE)</f>
        <v>16773.560707980087</v>
      </c>
      <c r="G161" s="30">
        <f t="shared" si="45"/>
        <v>0.85</v>
      </c>
      <c r="H161">
        <f t="shared" si="46"/>
        <v>13619.683929818604</v>
      </c>
      <c r="I161">
        <f t="shared" si="38"/>
        <v>0</v>
      </c>
      <c r="J161">
        <f t="shared" si="39"/>
        <v>16773.560707980087</v>
      </c>
      <c r="K161">
        <f t="shared" si="40"/>
        <v>16763.943564253437</v>
      </c>
      <c r="L161">
        <f t="shared" si="47"/>
        <v>16763.943564253437</v>
      </c>
      <c r="M161">
        <f t="shared" si="41"/>
        <v>0</v>
      </c>
      <c r="N161" s="29">
        <f t="shared" si="48"/>
        <v>16763.943564253437</v>
      </c>
      <c r="O161" s="29">
        <f t="shared" si="42"/>
        <v>16762.730819337754</v>
      </c>
      <c r="P161" s="29">
        <f t="shared" si="49"/>
        <v>16762.730819337754</v>
      </c>
      <c r="Q161">
        <f t="shared" si="50"/>
        <v>0</v>
      </c>
      <c r="R161" s="29">
        <f t="shared" si="51"/>
        <v>16762.730819337754</v>
      </c>
      <c r="S161" s="29">
        <f t="shared" si="43"/>
        <v>16762.730819337765</v>
      </c>
      <c r="T161" s="29">
        <f t="shared" si="52"/>
        <v>16762.730819337765</v>
      </c>
      <c r="U161">
        <f t="shared" si="53"/>
        <v>0</v>
      </c>
      <c r="V161" s="29">
        <f t="shared" si="54"/>
        <v>16762.730819337765</v>
      </c>
      <c r="W161" s="29">
        <f t="shared" si="44"/>
        <v>16762.730819337765</v>
      </c>
      <c r="X161" s="29">
        <f t="shared" si="55"/>
        <v>16762.730819337765</v>
      </c>
      <c r="Y161">
        <f t="shared" si="56"/>
        <v>0</v>
      </c>
    </row>
    <row r="162" spans="1:25" x14ac:dyDescent="0.25">
      <c r="A162" s="4" t="s">
        <v>969</v>
      </c>
      <c r="B162" s="7" t="s">
        <v>491</v>
      </c>
      <c r="C162" s="2" t="s">
        <v>970</v>
      </c>
      <c r="D162">
        <f>VLOOKUP(B162,'Model allocations'!$A$1:$L$317,5,FALSE)</f>
        <v>40531.760618726796</v>
      </c>
      <c r="E162" s="31">
        <f>VLOOKUP(B162,'Initial adjusted formula count'!$A$1:$P$317,12,FALSE)</f>
        <v>0.284552845528455</v>
      </c>
      <c r="F162">
        <f>VLOOKUP(B162,'Model allocations'!$A$1:$L$317,10,FALSE)</f>
        <v>44224.310517674036</v>
      </c>
      <c r="G162" s="30">
        <f t="shared" si="45"/>
        <v>0.9</v>
      </c>
      <c r="H162">
        <f t="shared" si="46"/>
        <v>36478.584556854119</v>
      </c>
      <c r="I162">
        <f t="shared" si="38"/>
        <v>0</v>
      </c>
      <c r="J162">
        <f t="shared" si="39"/>
        <v>44224.310517674036</v>
      </c>
      <c r="K162">
        <f t="shared" si="40"/>
        <v>44198.954449402961</v>
      </c>
      <c r="L162">
        <f t="shared" si="47"/>
        <v>44198.954449402961</v>
      </c>
      <c r="M162">
        <f t="shared" si="41"/>
        <v>0</v>
      </c>
      <c r="N162" s="29">
        <f t="shared" si="48"/>
        <v>44198.954449402961</v>
      </c>
      <c r="O162" s="29">
        <f t="shared" si="42"/>
        <v>44195.756988311456</v>
      </c>
      <c r="P162" s="29">
        <f t="shared" si="49"/>
        <v>44195.756988311456</v>
      </c>
      <c r="Q162">
        <f t="shared" si="50"/>
        <v>0</v>
      </c>
      <c r="R162" s="29">
        <f t="shared" si="51"/>
        <v>44195.756988311456</v>
      </c>
      <c r="S162" s="29">
        <f t="shared" si="43"/>
        <v>44195.756988311477</v>
      </c>
      <c r="T162" s="29">
        <f t="shared" si="52"/>
        <v>44195.756988311477</v>
      </c>
      <c r="U162">
        <f t="shared" si="53"/>
        <v>0</v>
      </c>
      <c r="V162" s="29">
        <f t="shared" si="54"/>
        <v>44195.756988311477</v>
      </c>
      <c r="W162" s="29">
        <f t="shared" si="44"/>
        <v>44195.756988311477</v>
      </c>
      <c r="X162" s="29">
        <f t="shared" si="55"/>
        <v>44195.756988311477</v>
      </c>
      <c r="Y162">
        <f t="shared" si="56"/>
        <v>0</v>
      </c>
    </row>
    <row r="163" spans="1:25" x14ac:dyDescent="0.25">
      <c r="A163" s="4" t="s">
        <v>971</v>
      </c>
      <c r="B163" s="7" t="s">
        <v>493</v>
      </c>
      <c r="C163" s="2" t="s">
        <v>972</v>
      </c>
      <c r="D163">
        <f>VLOOKUP(B163,'Model allocations'!$A$1:$L$317,5,FALSE)</f>
        <v>143377.85888625012</v>
      </c>
      <c r="E163" s="31">
        <f>VLOOKUP(B163,'Initial adjusted formula count'!$A$1:$P$317,12,FALSE)</f>
        <v>0.19440559440559399</v>
      </c>
      <c r="F163">
        <f>VLOOKUP(B163,'Model allocations'!$A$1:$L$317,10,FALSE)</f>
        <v>133938.76927880064</v>
      </c>
      <c r="G163" s="30">
        <f t="shared" si="45"/>
        <v>0.9</v>
      </c>
      <c r="H163">
        <f t="shared" si="46"/>
        <v>129040.07299762512</v>
      </c>
      <c r="I163">
        <f t="shared" si="38"/>
        <v>0</v>
      </c>
      <c r="J163">
        <f t="shared" si="39"/>
        <v>133938.76927880064</v>
      </c>
      <c r="K163">
        <f t="shared" si="40"/>
        <v>133861.97530421466</v>
      </c>
      <c r="L163">
        <f t="shared" si="47"/>
        <v>133861.97530421466</v>
      </c>
      <c r="M163">
        <f t="shared" si="41"/>
        <v>0</v>
      </c>
      <c r="N163" s="29">
        <f t="shared" si="48"/>
        <v>133861.97530421466</v>
      </c>
      <c r="O163" s="29">
        <f t="shared" si="42"/>
        <v>133852.29139962915</v>
      </c>
      <c r="P163" s="29">
        <f t="shared" si="49"/>
        <v>133852.29139962915</v>
      </c>
      <c r="Q163">
        <f t="shared" si="50"/>
        <v>0</v>
      </c>
      <c r="R163" s="29">
        <f t="shared" si="51"/>
        <v>133852.29139962915</v>
      </c>
      <c r="S163" s="29">
        <f t="shared" si="43"/>
        <v>133852.29139962923</v>
      </c>
      <c r="T163" s="29">
        <f t="shared" si="52"/>
        <v>133852.29139962923</v>
      </c>
      <c r="U163">
        <f t="shared" si="53"/>
        <v>0</v>
      </c>
      <c r="V163" s="29">
        <f t="shared" si="54"/>
        <v>133852.29139962923</v>
      </c>
      <c r="W163" s="29">
        <f t="shared" si="44"/>
        <v>133852.29139962926</v>
      </c>
      <c r="X163" s="29">
        <f t="shared" si="55"/>
        <v>133852.29139962926</v>
      </c>
      <c r="Y163">
        <f t="shared" si="56"/>
        <v>0</v>
      </c>
    </row>
    <row r="164" spans="1:25" x14ac:dyDescent="0.25">
      <c r="A164" s="4" t="s">
        <v>973</v>
      </c>
      <c r="B164" s="7" t="s">
        <v>495</v>
      </c>
      <c r="C164" s="2" t="s">
        <v>974</v>
      </c>
      <c r="D164">
        <f>VLOOKUP(B164,'Model allocations'!$A$1:$L$317,5,FALSE)</f>
        <v>85401.938378745821</v>
      </c>
      <c r="E164" s="31">
        <f>VLOOKUP(B164,'Initial adjusted formula count'!$A$1:$P$317,12,FALSE)</f>
        <v>7.3697585768741997E-2</v>
      </c>
      <c r="F164">
        <f>VLOOKUP(B164,'Model allocations'!$A$1:$L$317,10,FALSE)</f>
        <v>72591.647621933953</v>
      </c>
      <c r="G164" s="30">
        <f t="shared" si="45"/>
        <v>0.85</v>
      </c>
      <c r="H164">
        <f t="shared" si="46"/>
        <v>72591.647621933953</v>
      </c>
      <c r="I164">
        <f t="shared" si="38"/>
        <v>0</v>
      </c>
      <c r="J164">
        <f t="shared" si="39"/>
        <v>72591.647621933953</v>
      </c>
      <c r="K164">
        <f t="shared" si="40"/>
        <v>72550.02710255298</v>
      </c>
      <c r="L164">
        <f t="shared" si="47"/>
        <v>72550.02710255298</v>
      </c>
      <c r="M164">
        <f t="shared" si="41"/>
        <v>72591.647621933953</v>
      </c>
      <c r="N164" s="29">
        <f t="shared" si="48"/>
        <v>0</v>
      </c>
      <c r="O164" s="29">
        <f t="shared" si="42"/>
        <v>0</v>
      </c>
      <c r="P164" s="29">
        <f t="shared" si="49"/>
        <v>72591.647621933953</v>
      </c>
      <c r="Q164">
        <f t="shared" si="50"/>
        <v>0</v>
      </c>
      <c r="R164" s="29">
        <f t="shared" si="51"/>
        <v>0</v>
      </c>
      <c r="S164" s="29">
        <f t="shared" si="43"/>
        <v>0</v>
      </c>
      <c r="T164" s="29">
        <f t="shared" si="52"/>
        <v>72591.647621933953</v>
      </c>
      <c r="U164">
        <f t="shared" si="53"/>
        <v>0</v>
      </c>
      <c r="V164" s="29">
        <f t="shared" si="54"/>
        <v>0</v>
      </c>
      <c r="W164" s="29">
        <f t="shared" si="44"/>
        <v>0</v>
      </c>
      <c r="X164" s="29">
        <f t="shared" si="55"/>
        <v>72591.647621933953</v>
      </c>
      <c r="Y164">
        <f t="shared" si="56"/>
        <v>0</v>
      </c>
    </row>
    <row r="165" spans="1:25" x14ac:dyDescent="0.25">
      <c r="A165" s="4" t="s">
        <v>975</v>
      </c>
      <c r="B165" s="7" t="s">
        <v>177</v>
      </c>
      <c r="C165" s="2" t="s">
        <v>976</v>
      </c>
      <c r="D165">
        <f>VLOOKUP(B165,'Model allocations'!$A$1:$L$317,5,FALSE)</f>
        <v>100812.36634326512</v>
      </c>
      <c r="E165" s="31">
        <f>VLOOKUP(B165,'Initial adjusted formula count'!$A$1:$P$317,12,FALSE)</f>
        <v>0.11236462093862799</v>
      </c>
      <c r="F165">
        <f>VLOOKUP(B165,'Model allocations'!$A$1:$L$317,10,FALSE)</f>
        <v>104415.41540717609</v>
      </c>
      <c r="G165" s="30">
        <f t="shared" si="45"/>
        <v>0.85</v>
      </c>
      <c r="H165">
        <f t="shared" si="46"/>
        <v>85690.511391775348</v>
      </c>
      <c r="I165">
        <f t="shared" si="38"/>
        <v>0</v>
      </c>
      <c r="J165">
        <f t="shared" si="39"/>
        <v>104415.41540717609</v>
      </c>
      <c r="K165">
        <f t="shared" si="40"/>
        <v>104355.54868747768</v>
      </c>
      <c r="L165">
        <f t="shared" si="47"/>
        <v>104355.54868747768</v>
      </c>
      <c r="M165">
        <f t="shared" si="41"/>
        <v>0</v>
      </c>
      <c r="N165" s="29">
        <f t="shared" si="48"/>
        <v>104355.54868747768</v>
      </c>
      <c r="O165" s="29">
        <f t="shared" si="42"/>
        <v>104347.99935037756</v>
      </c>
      <c r="P165" s="29">
        <f t="shared" si="49"/>
        <v>104347.99935037756</v>
      </c>
      <c r="Q165">
        <f t="shared" si="50"/>
        <v>0</v>
      </c>
      <c r="R165" s="29">
        <f t="shared" si="51"/>
        <v>104347.99935037756</v>
      </c>
      <c r="S165" s="29">
        <f t="shared" si="43"/>
        <v>104347.99935037762</v>
      </c>
      <c r="T165" s="29">
        <f t="shared" si="52"/>
        <v>104347.99935037762</v>
      </c>
      <c r="U165">
        <f t="shared" si="53"/>
        <v>0</v>
      </c>
      <c r="V165" s="29">
        <f t="shared" si="54"/>
        <v>104347.99935037762</v>
      </c>
      <c r="W165" s="29">
        <f t="shared" si="44"/>
        <v>104347.99935037763</v>
      </c>
      <c r="X165" s="29">
        <f t="shared" si="55"/>
        <v>104347.99935037763</v>
      </c>
      <c r="Y165">
        <f t="shared" si="56"/>
        <v>0</v>
      </c>
    </row>
    <row r="166" spans="1:25" x14ac:dyDescent="0.25">
      <c r="A166" s="4" t="s">
        <v>977</v>
      </c>
      <c r="B166" s="7" t="s">
        <v>497</v>
      </c>
      <c r="C166" s="2" t="s">
        <v>978</v>
      </c>
      <c r="D166">
        <f>VLOOKUP(B166,'Model allocations'!$A$1:$L$317,5,FALSE)</f>
        <v>82838.590005181162</v>
      </c>
      <c r="E166" s="31">
        <f>VLOOKUP(B166,'Initial adjusted formula count'!$A$1:$P$317,12,FALSE)</f>
        <v>0.182978723404255</v>
      </c>
      <c r="F166">
        <f>VLOOKUP(B166,'Model allocations'!$A$1:$L$317,10,FALSE)</f>
        <v>74554.731004663045</v>
      </c>
      <c r="G166" s="30">
        <f t="shared" si="45"/>
        <v>0.9</v>
      </c>
      <c r="H166">
        <f t="shared" si="46"/>
        <v>74554.731004663045</v>
      </c>
      <c r="I166">
        <f t="shared" si="38"/>
        <v>0</v>
      </c>
      <c r="J166">
        <f t="shared" si="39"/>
        <v>74554.731004663045</v>
      </c>
      <c r="K166">
        <f t="shared" si="40"/>
        <v>74511.984948768513</v>
      </c>
      <c r="L166">
        <f t="shared" si="47"/>
        <v>74511.984948768513</v>
      </c>
      <c r="M166">
        <f t="shared" si="41"/>
        <v>74554.731004663045</v>
      </c>
      <c r="N166" s="29">
        <f t="shared" si="48"/>
        <v>0</v>
      </c>
      <c r="O166" s="29">
        <f t="shared" si="42"/>
        <v>0</v>
      </c>
      <c r="P166" s="29">
        <f t="shared" si="49"/>
        <v>74554.731004663045</v>
      </c>
      <c r="Q166">
        <f t="shared" si="50"/>
        <v>0</v>
      </c>
      <c r="R166" s="29">
        <f t="shared" si="51"/>
        <v>0</v>
      </c>
      <c r="S166" s="29">
        <f t="shared" si="43"/>
        <v>0</v>
      </c>
      <c r="T166" s="29">
        <f t="shared" si="52"/>
        <v>74554.731004663045</v>
      </c>
      <c r="U166">
        <f t="shared" si="53"/>
        <v>0</v>
      </c>
      <c r="V166" s="29">
        <f t="shared" si="54"/>
        <v>0</v>
      </c>
      <c r="W166" s="29">
        <f t="shared" si="44"/>
        <v>0</v>
      </c>
      <c r="X166" s="29">
        <f t="shared" si="55"/>
        <v>74554.731004663045</v>
      </c>
      <c r="Y166">
        <f t="shared" si="56"/>
        <v>0</v>
      </c>
    </row>
    <row r="167" spans="1:25" x14ac:dyDescent="0.25">
      <c r="A167" s="4" t="s">
        <v>979</v>
      </c>
      <c r="B167" s="7" t="s">
        <v>499</v>
      </c>
      <c r="C167" s="2" t="s">
        <v>980</v>
      </c>
      <c r="D167">
        <f>VLOOKUP(B167,'Model allocations'!$A$1:$L$317,5,FALSE)</f>
        <v>191846.51363214594</v>
      </c>
      <c r="E167" s="31">
        <f>VLOOKUP(B167,'Initial adjusted formula count'!$A$1:$P$317,12,FALSE)</f>
        <v>8.9673913043478201E-2</v>
      </c>
      <c r="F167">
        <f>VLOOKUP(B167,'Model allocations'!$A$1:$L$317,10,FALSE)</f>
        <v>163069.53658732405</v>
      </c>
      <c r="G167" s="30">
        <f t="shared" si="45"/>
        <v>0.85</v>
      </c>
      <c r="H167">
        <f t="shared" si="46"/>
        <v>163069.53658732405</v>
      </c>
      <c r="I167">
        <f t="shared" si="38"/>
        <v>0</v>
      </c>
      <c r="J167">
        <f t="shared" si="39"/>
        <v>163069.53658732405</v>
      </c>
      <c r="K167">
        <f t="shared" si="40"/>
        <v>162976.04044788764</v>
      </c>
      <c r="L167">
        <f t="shared" si="47"/>
        <v>162976.04044788764</v>
      </c>
      <c r="M167">
        <f t="shared" si="41"/>
        <v>163069.53658732405</v>
      </c>
      <c r="N167" s="29">
        <f t="shared" si="48"/>
        <v>0</v>
      </c>
      <c r="O167" s="29">
        <f t="shared" si="42"/>
        <v>0</v>
      </c>
      <c r="P167" s="29">
        <f t="shared" si="49"/>
        <v>163069.53658732405</v>
      </c>
      <c r="Q167">
        <f t="shared" si="50"/>
        <v>0</v>
      </c>
      <c r="R167" s="29">
        <f t="shared" si="51"/>
        <v>0</v>
      </c>
      <c r="S167" s="29">
        <f t="shared" si="43"/>
        <v>0</v>
      </c>
      <c r="T167" s="29">
        <f t="shared" si="52"/>
        <v>163069.53658732405</v>
      </c>
      <c r="U167">
        <f t="shared" si="53"/>
        <v>0</v>
      </c>
      <c r="V167" s="29">
        <f t="shared" si="54"/>
        <v>0</v>
      </c>
      <c r="W167" s="29">
        <f t="shared" si="44"/>
        <v>0</v>
      </c>
      <c r="X167" s="29">
        <f t="shared" si="55"/>
        <v>163069.53658732405</v>
      </c>
      <c r="Y167">
        <f t="shared" si="56"/>
        <v>0</v>
      </c>
    </row>
    <row r="168" spans="1:25" x14ac:dyDescent="0.25">
      <c r="A168" s="4" t="s">
        <v>981</v>
      </c>
      <c r="B168" s="7" t="s">
        <v>179</v>
      </c>
      <c r="C168" s="2" t="s">
        <v>982</v>
      </c>
      <c r="D168">
        <f>VLOOKUP(B168,'Model allocations'!$A$1:$L$317,5,FALSE)</f>
        <v>235412.3463555518</v>
      </c>
      <c r="E168" s="31">
        <f>VLOOKUP(B168,'Initial adjusted formula count'!$A$1:$P$317,12,FALSE)</f>
        <v>6.9692737430167601E-2</v>
      </c>
      <c r="F168">
        <f>VLOOKUP(B168,'Model allocations'!$A$1:$L$317,10,FALSE)</f>
        <v>209250.16983205176</v>
      </c>
      <c r="G168" s="30">
        <f t="shared" si="45"/>
        <v>0.85</v>
      </c>
      <c r="H168">
        <f t="shared" si="46"/>
        <v>200100.49440221902</v>
      </c>
      <c r="I168">
        <f t="shared" si="38"/>
        <v>0</v>
      </c>
      <c r="J168">
        <f t="shared" si="39"/>
        <v>209250.16983205176</v>
      </c>
      <c r="K168">
        <f t="shared" si="40"/>
        <v>209130.19596406183</v>
      </c>
      <c r="L168">
        <f t="shared" si="47"/>
        <v>209130.19596406183</v>
      </c>
      <c r="M168">
        <f t="shared" si="41"/>
        <v>0</v>
      </c>
      <c r="N168" s="29">
        <f t="shared" si="48"/>
        <v>209130.19596406183</v>
      </c>
      <c r="O168" s="29">
        <f t="shared" si="42"/>
        <v>209115.0669712387</v>
      </c>
      <c r="P168" s="29">
        <f t="shared" si="49"/>
        <v>209115.0669712387</v>
      </c>
      <c r="Q168">
        <f t="shared" si="50"/>
        <v>0</v>
      </c>
      <c r="R168" s="29">
        <f t="shared" si="51"/>
        <v>209115.0669712387</v>
      </c>
      <c r="S168" s="29">
        <f t="shared" si="43"/>
        <v>209115.06697123882</v>
      </c>
      <c r="T168" s="29">
        <f t="shared" si="52"/>
        <v>209115.06697123882</v>
      </c>
      <c r="U168">
        <f t="shared" si="53"/>
        <v>0</v>
      </c>
      <c r="V168" s="29">
        <f t="shared" si="54"/>
        <v>209115.06697123882</v>
      </c>
      <c r="W168" s="29">
        <f t="shared" si="44"/>
        <v>209115.06697123885</v>
      </c>
      <c r="X168" s="29">
        <f t="shared" si="55"/>
        <v>209115.06697123885</v>
      </c>
      <c r="Y168">
        <f t="shared" si="56"/>
        <v>0</v>
      </c>
    </row>
    <row r="169" spans="1:25" x14ac:dyDescent="0.25">
      <c r="A169" s="4" t="s">
        <v>983</v>
      </c>
      <c r="B169" s="7" t="s">
        <v>501</v>
      </c>
      <c r="C169" s="2" t="s">
        <v>984</v>
      </c>
      <c r="D169">
        <f>VLOOKUP(B169,'Model allocations'!$A$1:$L$317,5,FALSE)</f>
        <v>141165.09580411582</v>
      </c>
      <c r="E169" s="31">
        <f>VLOOKUP(B169,'Initial adjusted formula count'!$A$1:$P$317,12,FALSE)</f>
        <v>0.150242326332795</v>
      </c>
      <c r="F169">
        <f>VLOOKUP(B169,'Model allocations'!$A$1:$L$317,10,FALSE)</f>
        <v>155994.1145842149</v>
      </c>
      <c r="G169" s="30">
        <f t="shared" si="45"/>
        <v>0.9</v>
      </c>
      <c r="H169">
        <f t="shared" si="46"/>
        <v>127048.58622370423</v>
      </c>
      <c r="I169">
        <f t="shared" si="38"/>
        <v>0</v>
      </c>
      <c r="J169">
        <f t="shared" si="39"/>
        <v>155994.1145842149</v>
      </c>
      <c r="K169">
        <f t="shared" si="40"/>
        <v>155904.67514755705</v>
      </c>
      <c r="L169">
        <f t="shared" si="47"/>
        <v>155904.67514755705</v>
      </c>
      <c r="M169">
        <f t="shared" si="41"/>
        <v>0</v>
      </c>
      <c r="N169" s="29">
        <f t="shared" si="48"/>
        <v>155904.67514755705</v>
      </c>
      <c r="O169" s="29">
        <f t="shared" si="42"/>
        <v>155893.39661984119</v>
      </c>
      <c r="P169" s="29">
        <f t="shared" si="49"/>
        <v>155893.39661984119</v>
      </c>
      <c r="Q169">
        <f t="shared" si="50"/>
        <v>0</v>
      </c>
      <c r="R169" s="29">
        <f t="shared" si="51"/>
        <v>155893.39661984119</v>
      </c>
      <c r="S169" s="29">
        <f t="shared" si="43"/>
        <v>155893.39661984128</v>
      </c>
      <c r="T169" s="29">
        <f t="shared" si="52"/>
        <v>155893.39661984128</v>
      </c>
      <c r="U169">
        <f t="shared" si="53"/>
        <v>0</v>
      </c>
      <c r="V169" s="29">
        <f t="shared" si="54"/>
        <v>155893.39661984128</v>
      </c>
      <c r="W169" s="29">
        <f t="shared" si="44"/>
        <v>155893.39661984131</v>
      </c>
      <c r="X169" s="29">
        <f t="shared" si="55"/>
        <v>155893.39661984131</v>
      </c>
      <c r="Y169">
        <f t="shared" si="56"/>
        <v>0</v>
      </c>
    </row>
    <row r="170" spans="1:25" x14ac:dyDescent="0.25">
      <c r="A170" s="4" t="s">
        <v>985</v>
      </c>
      <c r="B170" s="7" t="s">
        <v>503</v>
      </c>
      <c r="C170" s="2" t="s">
        <v>986</v>
      </c>
      <c r="D170">
        <f>VLOOKUP(B170,'Model allocations'!$A$1:$L$317,5,FALSE)</f>
        <v>0</v>
      </c>
      <c r="E170" s="31">
        <f>VLOOKUP(B170,'Initial adjusted formula count'!$A$1:$P$317,12,FALSE)</f>
        <v>0.19607843137254899</v>
      </c>
      <c r="F170">
        <f>VLOOKUP(B170,'Model allocations'!$A$1:$L$317,10,FALSE)</f>
        <v>4839.4448346137633</v>
      </c>
      <c r="G170" s="30">
        <f t="shared" si="45"/>
        <v>0.9</v>
      </c>
      <c r="H170">
        <f t="shared" si="46"/>
        <v>0</v>
      </c>
      <c r="I170">
        <f t="shared" si="38"/>
        <v>0</v>
      </c>
      <c r="J170">
        <f t="shared" si="39"/>
        <v>4839.4448346137633</v>
      </c>
      <c r="K170">
        <f t="shared" si="40"/>
        <v>4836.670132370039</v>
      </c>
      <c r="L170">
        <f t="shared" si="47"/>
        <v>4836.670132370039</v>
      </c>
      <c r="M170">
        <f t="shared" si="41"/>
        <v>0</v>
      </c>
      <c r="N170" s="29">
        <f t="shared" si="48"/>
        <v>4836.670132370039</v>
      </c>
      <c r="O170" s="29">
        <f t="shared" si="42"/>
        <v>4836.3202357547598</v>
      </c>
      <c r="P170" s="29">
        <f t="shared" si="49"/>
        <v>4836.3202357547598</v>
      </c>
      <c r="Q170">
        <f t="shared" si="50"/>
        <v>0</v>
      </c>
      <c r="R170" s="29">
        <f t="shared" si="51"/>
        <v>4836.3202357547598</v>
      </c>
      <c r="S170" s="29">
        <f t="shared" si="43"/>
        <v>4836.3202357547625</v>
      </c>
      <c r="T170" s="29">
        <f t="shared" si="52"/>
        <v>4836.3202357547625</v>
      </c>
      <c r="U170">
        <f t="shared" si="53"/>
        <v>0</v>
      </c>
      <c r="V170" s="29">
        <f t="shared" si="54"/>
        <v>4836.3202357547625</v>
      </c>
      <c r="W170" s="29">
        <f t="shared" si="44"/>
        <v>4836.3202357547634</v>
      </c>
      <c r="X170" s="29">
        <f t="shared" si="55"/>
        <v>4836.3202357547634</v>
      </c>
      <c r="Y170">
        <f t="shared" si="56"/>
        <v>0</v>
      </c>
    </row>
    <row r="171" spans="1:25" x14ac:dyDescent="0.25">
      <c r="A171" s="4" t="s">
        <v>987</v>
      </c>
      <c r="B171" s="7" t="s">
        <v>181</v>
      </c>
      <c r="C171" s="2" t="s">
        <v>988</v>
      </c>
      <c r="D171">
        <f>VLOOKUP(B171,'Model allocations'!$A$1:$L$317,5,FALSE)</f>
        <v>798988.07563776523</v>
      </c>
      <c r="E171" s="31">
        <f>VLOOKUP(B171,'Initial adjusted formula count'!$A$1:$P$317,12,FALSE)</f>
        <v>9.4427153679018105E-2</v>
      </c>
      <c r="F171">
        <f>VLOOKUP(B171,'Model allocations'!$A$1:$L$317,10,FALSE)</f>
        <v>866564.08007602161</v>
      </c>
      <c r="G171" s="30">
        <f t="shared" si="45"/>
        <v>0.85</v>
      </c>
      <c r="H171">
        <f t="shared" si="46"/>
        <v>679139.86429210042</v>
      </c>
      <c r="I171">
        <f t="shared" si="38"/>
        <v>0</v>
      </c>
      <c r="J171">
        <f t="shared" si="39"/>
        <v>866564.08007602161</v>
      </c>
      <c r="K171">
        <f t="shared" si="40"/>
        <v>866067.23438824352</v>
      </c>
      <c r="L171">
        <f t="shared" si="47"/>
        <v>866067.23438824352</v>
      </c>
      <c r="M171">
        <f t="shared" si="41"/>
        <v>0</v>
      </c>
      <c r="N171" s="29">
        <f t="shared" si="48"/>
        <v>866067.23438824352</v>
      </c>
      <c r="O171" s="29">
        <f t="shared" si="42"/>
        <v>866004.58095403714</v>
      </c>
      <c r="P171" s="29">
        <f t="shared" si="49"/>
        <v>866004.58095403714</v>
      </c>
      <c r="Q171">
        <f t="shared" si="50"/>
        <v>0</v>
      </c>
      <c r="R171" s="29">
        <f t="shared" si="51"/>
        <v>866004.58095403714</v>
      </c>
      <c r="S171" s="29">
        <f t="shared" si="43"/>
        <v>866004.58095403761</v>
      </c>
      <c r="T171" s="29">
        <f t="shared" si="52"/>
        <v>866004.58095403761</v>
      </c>
      <c r="U171">
        <f t="shared" si="53"/>
        <v>0</v>
      </c>
      <c r="V171" s="29">
        <f t="shared" si="54"/>
        <v>866004.58095403761</v>
      </c>
      <c r="W171" s="29">
        <f t="shared" si="44"/>
        <v>866004.58095403772</v>
      </c>
      <c r="X171" s="29">
        <f t="shared" si="55"/>
        <v>866004.58095403772</v>
      </c>
      <c r="Y171">
        <f t="shared" si="56"/>
        <v>0</v>
      </c>
    </row>
    <row r="172" spans="1:25" x14ac:dyDescent="0.25">
      <c r="A172" s="4" t="s">
        <v>989</v>
      </c>
      <c r="B172" s="7" t="s">
        <v>505</v>
      </c>
      <c r="C172" s="2" t="s">
        <v>990</v>
      </c>
      <c r="D172">
        <f>VLOOKUP(B172,'Model allocations'!$A$1:$L$317,5,FALSE)</f>
        <v>46507.571331747757</v>
      </c>
      <c r="E172" s="31">
        <f>VLOOKUP(B172,'Initial adjusted formula count'!$A$1:$P$317,12,FALSE)</f>
        <v>0.20704845814978001</v>
      </c>
      <c r="F172">
        <f>VLOOKUP(B172,'Model allocations'!$A$1:$L$317,10,FALSE)</f>
        <v>41856.814198572982</v>
      </c>
      <c r="G172" s="30">
        <f t="shared" si="45"/>
        <v>0.9</v>
      </c>
      <c r="H172">
        <f t="shared" si="46"/>
        <v>41856.814198572982</v>
      </c>
      <c r="I172">
        <f t="shared" si="38"/>
        <v>0</v>
      </c>
      <c r="J172">
        <f t="shared" si="39"/>
        <v>41856.814198572982</v>
      </c>
      <c r="K172">
        <f t="shared" si="40"/>
        <v>41832.815537519702</v>
      </c>
      <c r="L172">
        <f t="shared" si="47"/>
        <v>41832.815537519702</v>
      </c>
      <c r="M172">
        <f t="shared" si="41"/>
        <v>41856.814198572982</v>
      </c>
      <c r="N172" s="29">
        <f t="shared" si="48"/>
        <v>0</v>
      </c>
      <c r="O172" s="29">
        <f t="shared" si="42"/>
        <v>0</v>
      </c>
      <c r="P172" s="29">
        <f t="shared" si="49"/>
        <v>41856.814198572982</v>
      </c>
      <c r="Q172">
        <f t="shared" si="50"/>
        <v>0</v>
      </c>
      <c r="R172" s="29">
        <f t="shared" si="51"/>
        <v>0</v>
      </c>
      <c r="S172" s="29">
        <f t="shared" si="43"/>
        <v>0</v>
      </c>
      <c r="T172" s="29">
        <f t="shared" si="52"/>
        <v>41856.814198572982</v>
      </c>
      <c r="U172">
        <f t="shared" si="53"/>
        <v>0</v>
      </c>
      <c r="V172" s="29">
        <f t="shared" si="54"/>
        <v>0</v>
      </c>
      <c r="W172" s="29">
        <f t="shared" si="44"/>
        <v>0</v>
      </c>
      <c r="X172" s="29">
        <f t="shared" si="55"/>
        <v>41856.814198572982</v>
      </c>
      <c r="Y172">
        <f t="shared" si="56"/>
        <v>0</v>
      </c>
    </row>
    <row r="173" spans="1:25" x14ac:dyDescent="0.25">
      <c r="A173" s="4" t="s">
        <v>991</v>
      </c>
      <c r="B173" s="7" t="s">
        <v>183</v>
      </c>
      <c r="C173" s="2" t="s">
        <v>992</v>
      </c>
      <c r="D173">
        <f>VLOOKUP(B173,'Model allocations'!$A$1:$L$317,5,FALSE)</f>
        <v>0</v>
      </c>
      <c r="E173" s="31">
        <f>VLOOKUP(B173,'Initial adjusted formula count'!$A$1:$P$317,12,FALSE)</f>
        <v>3.9637727841145901E-2</v>
      </c>
      <c r="F173">
        <f>VLOOKUP(B173,'Model allocations'!$A$1:$L$317,10,FALSE)</f>
        <v>0</v>
      </c>
      <c r="G173" s="30">
        <f t="shared" si="45"/>
        <v>0.85</v>
      </c>
      <c r="H173">
        <f t="shared" si="46"/>
        <v>0</v>
      </c>
      <c r="I173">
        <f t="shared" si="38"/>
        <v>0</v>
      </c>
      <c r="J173">
        <f t="shared" si="39"/>
        <v>0</v>
      </c>
      <c r="K173">
        <f t="shared" si="40"/>
        <v>0</v>
      </c>
      <c r="L173">
        <f t="shared" si="47"/>
        <v>0</v>
      </c>
      <c r="M173">
        <f t="shared" si="41"/>
        <v>0</v>
      </c>
      <c r="N173" s="29">
        <f t="shared" si="48"/>
        <v>0</v>
      </c>
      <c r="O173" s="29">
        <f t="shared" si="42"/>
        <v>0</v>
      </c>
      <c r="P173" s="29">
        <f t="shared" si="49"/>
        <v>0</v>
      </c>
      <c r="Q173">
        <f t="shared" si="50"/>
        <v>0</v>
      </c>
      <c r="R173" s="29">
        <f t="shared" si="51"/>
        <v>0</v>
      </c>
      <c r="S173" s="29">
        <f t="shared" si="43"/>
        <v>0</v>
      </c>
      <c r="T173" s="29">
        <f t="shared" si="52"/>
        <v>0</v>
      </c>
      <c r="U173">
        <f t="shared" si="53"/>
        <v>0</v>
      </c>
      <c r="V173" s="29">
        <f t="shared" si="54"/>
        <v>0</v>
      </c>
      <c r="W173" s="29">
        <f t="shared" si="44"/>
        <v>0</v>
      </c>
      <c r="X173" s="29">
        <f t="shared" si="55"/>
        <v>0</v>
      </c>
      <c r="Y173">
        <f t="shared" si="56"/>
        <v>0</v>
      </c>
    </row>
    <row r="174" spans="1:25" x14ac:dyDescent="0.25">
      <c r="A174" s="4" t="s">
        <v>993</v>
      </c>
      <c r="B174" s="7" t="s">
        <v>185</v>
      </c>
      <c r="C174" s="2" t="s">
        <v>994</v>
      </c>
      <c r="D174">
        <f>VLOOKUP(B174,'Model allocations'!$A$1:$L$317,5,FALSE)</f>
        <v>186936.83825241221</v>
      </c>
      <c r="E174" s="31">
        <f>VLOOKUP(B174,'Initial adjusted formula count'!$A$1:$P$317,12,FALSE)</f>
        <v>9.6557514693534796E-2</v>
      </c>
      <c r="F174">
        <f>VLOOKUP(B174,'Model allocations'!$A$1:$L$317,10,FALSE)</f>
        <v>241119.93517721377</v>
      </c>
      <c r="G174" s="30">
        <f t="shared" si="45"/>
        <v>0.85</v>
      </c>
      <c r="H174">
        <f t="shared" si="46"/>
        <v>158896.31251455037</v>
      </c>
      <c r="I174">
        <f t="shared" si="38"/>
        <v>0</v>
      </c>
      <c r="J174">
        <f t="shared" si="39"/>
        <v>241119.93517721377</v>
      </c>
      <c r="K174">
        <f t="shared" si="40"/>
        <v>240981.68873614317</v>
      </c>
      <c r="L174">
        <f t="shared" si="47"/>
        <v>240981.68873614317</v>
      </c>
      <c r="M174">
        <f t="shared" si="41"/>
        <v>0</v>
      </c>
      <c r="N174" s="29">
        <f t="shared" si="48"/>
        <v>240981.68873614317</v>
      </c>
      <c r="O174" s="29">
        <f t="shared" si="42"/>
        <v>240964.25552798025</v>
      </c>
      <c r="P174" s="29">
        <f t="shared" si="49"/>
        <v>240964.25552798025</v>
      </c>
      <c r="Q174">
        <f t="shared" si="50"/>
        <v>0</v>
      </c>
      <c r="R174" s="29">
        <f t="shared" si="51"/>
        <v>240964.25552798025</v>
      </c>
      <c r="S174" s="29">
        <f t="shared" si="43"/>
        <v>240964.25552798039</v>
      </c>
      <c r="T174" s="29">
        <f t="shared" si="52"/>
        <v>240964.25552798039</v>
      </c>
      <c r="U174">
        <f t="shared" si="53"/>
        <v>0</v>
      </c>
      <c r="V174" s="29">
        <f t="shared" si="54"/>
        <v>240964.25552798039</v>
      </c>
      <c r="W174" s="29">
        <f t="shared" si="44"/>
        <v>240964.25552798042</v>
      </c>
      <c r="X174" s="29">
        <f t="shared" si="55"/>
        <v>240964.25552798042</v>
      </c>
      <c r="Y174">
        <f t="shared" si="56"/>
        <v>0</v>
      </c>
    </row>
    <row r="175" spans="1:25" x14ac:dyDescent="0.25">
      <c r="A175" s="4" t="s">
        <v>995</v>
      </c>
      <c r="B175" s="7" t="s">
        <v>187</v>
      </c>
      <c r="C175" s="2" t="s">
        <v>996</v>
      </c>
      <c r="D175">
        <f>VLOOKUP(B175,'Model allocations'!$A$1:$L$317,5,FALSE)</f>
        <v>6996.5207832943697</v>
      </c>
      <c r="E175" s="31">
        <f>VLOOKUP(B175,'Initial adjusted formula count'!$A$1:$P$317,12,FALSE)</f>
        <v>6.8702290076335895E-2</v>
      </c>
      <c r="F175">
        <f>VLOOKUP(B175,'Model allocations'!$A$1:$L$317,10,FALSE)</f>
        <v>0</v>
      </c>
      <c r="G175" s="30">
        <f t="shared" si="45"/>
        <v>0.85</v>
      </c>
      <c r="H175">
        <f t="shared" si="46"/>
        <v>0</v>
      </c>
      <c r="I175">
        <f t="shared" si="38"/>
        <v>0</v>
      </c>
      <c r="J175">
        <f t="shared" si="39"/>
        <v>0</v>
      </c>
      <c r="K175">
        <f t="shared" si="40"/>
        <v>0</v>
      </c>
      <c r="L175">
        <f t="shared" si="47"/>
        <v>0</v>
      </c>
      <c r="M175">
        <f t="shared" si="41"/>
        <v>0</v>
      </c>
      <c r="N175" s="29">
        <f t="shared" si="48"/>
        <v>0</v>
      </c>
      <c r="O175" s="29">
        <f t="shared" si="42"/>
        <v>0</v>
      </c>
      <c r="P175" s="29">
        <f t="shared" si="49"/>
        <v>0</v>
      </c>
      <c r="Q175">
        <f t="shared" si="50"/>
        <v>0</v>
      </c>
      <c r="R175" s="29">
        <f t="shared" si="51"/>
        <v>0</v>
      </c>
      <c r="S175" s="29">
        <f t="shared" si="43"/>
        <v>0</v>
      </c>
      <c r="T175" s="29">
        <f t="shared" si="52"/>
        <v>0</v>
      </c>
      <c r="U175">
        <f t="shared" si="53"/>
        <v>0</v>
      </c>
      <c r="V175" s="29">
        <f t="shared" si="54"/>
        <v>0</v>
      </c>
      <c r="W175" s="29">
        <f t="shared" si="44"/>
        <v>0</v>
      </c>
      <c r="X175" s="29">
        <f t="shared" si="55"/>
        <v>0</v>
      </c>
      <c r="Y175">
        <f t="shared" si="56"/>
        <v>0</v>
      </c>
    </row>
    <row r="176" spans="1:25" x14ac:dyDescent="0.25">
      <c r="A176" s="4" t="s">
        <v>997</v>
      </c>
      <c r="B176" s="7" t="s">
        <v>507</v>
      </c>
      <c r="C176" s="2" t="s">
        <v>998</v>
      </c>
      <c r="D176">
        <f>VLOOKUP(B176,'Model allocations'!$A$1:$L$317,5,FALSE)</f>
        <v>62884.831690261322</v>
      </c>
      <c r="E176" s="31">
        <f>VLOOKUP(B176,'Initial adjusted formula count'!$A$1:$P$317,12,FALSE)</f>
        <v>0.15044247787610601</v>
      </c>
      <c r="F176">
        <f>VLOOKUP(B176,'Model allocations'!$A$1:$L$317,10,FALSE)</f>
        <v>56596.348521235188</v>
      </c>
      <c r="G176" s="30">
        <f t="shared" si="45"/>
        <v>0.9</v>
      </c>
      <c r="H176">
        <f t="shared" si="46"/>
        <v>56596.348521235188</v>
      </c>
      <c r="I176">
        <f t="shared" si="38"/>
        <v>0</v>
      </c>
      <c r="J176">
        <f t="shared" si="39"/>
        <v>56596.348521235188</v>
      </c>
      <c r="K176">
        <f t="shared" si="40"/>
        <v>56563.898928235336</v>
      </c>
      <c r="L176">
        <f t="shared" si="47"/>
        <v>56563.898928235336</v>
      </c>
      <c r="M176">
        <f t="shared" si="41"/>
        <v>56596.348521235188</v>
      </c>
      <c r="N176" s="29">
        <f t="shared" si="48"/>
        <v>0</v>
      </c>
      <c r="O176" s="29">
        <f t="shared" si="42"/>
        <v>0</v>
      </c>
      <c r="P176" s="29">
        <f t="shared" si="49"/>
        <v>56596.348521235188</v>
      </c>
      <c r="Q176">
        <f t="shared" si="50"/>
        <v>0</v>
      </c>
      <c r="R176" s="29">
        <f t="shared" si="51"/>
        <v>0</v>
      </c>
      <c r="S176" s="29">
        <f t="shared" si="43"/>
        <v>0</v>
      </c>
      <c r="T176" s="29">
        <f t="shared" si="52"/>
        <v>56596.348521235188</v>
      </c>
      <c r="U176">
        <f t="shared" si="53"/>
        <v>0</v>
      </c>
      <c r="V176" s="29">
        <f t="shared" si="54"/>
        <v>0</v>
      </c>
      <c r="W176" s="29">
        <f t="shared" si="44"/>
        <v>0</v>
      </c>
      <c r="X176" s="29">
        <f t="shared" si="55"/>
        <v>56596.348521235188</v>
      </c>
      <c r="Y176">
        <f t="shared" si="56"/>
        <v>0</v>
      </c>
    </row>
    <row r="177" spans="1:25" x14ac:dyDescent="0.25">
      <c r="A177" s="4" t="s">
        <v>999</v>
      </c>
      <c r="B177" s="7" t="s">
        <v>509</v>
      </c>
      <c r="C177" s="2" t="s">
        <v>1000</v>
      </c>
      <c r="D177">
        <f>VLOOKUP(B177,'Model allocations'!$A$1:$L$317,5,FALSE)</f>
        <v>88653.346983171388</v>
      </c>
      <c r="E177" s="31">
        <f>VLOOKUP(B177,'Initial adjusted formula count'!$A$1:$P$317,12,FALSE)</f>
        <v>0.19159335288367499</v>
      </c>
      <c r="F177">
        <f>VLOOKUP(B177,'Model allocations'!$A$1:$L$317,10,FALSE)</f>
        <v>93706.52427572415</v>
      </c>
      <c r="G177" s="30">
        <f t="shared" si="45"/>
        <v>0.9</v>
      </c>
      <c r="H177">
        <f t="shared" si="46"/>
        <v>79788.012284854252</v>
      </c>
      <c r="I177">
        <f t="shared" si="38"/>
        <v>0</v>
      </c>
      <c r="J177">
        <f t="shared" si="39"/>
        <v>93706.52427572415</v>
      </c>
      <c r="K177">
        <f t="shared" si="40"/>
        <v>93652.797513245168</v>
      </c>
      <c r="L177">
        <f t="shared" si="47"/>
        <v>93652.797513245168</v>
      </c>
      <c r="M177">
        <f t="shared" si="41"/>
        <v>0</v>
      </c>
      <c r="N177" s="29">
        <f t="shared" si="48"/>
        <v>93652.797513245168</v>
      </c>
      <c r="O177" s="29">
        <f t="shared" si="42"/>
        <v>93646.022439493085</v>
      </c>
      <c r="P177" s="29">
        <f t="shared" si="49"/>
        <v>93646.022439493085</v>
      </c>
      <c r="Q177">
        <f t="shared" si="50"/>
        <v>0</v>
      </c>
      <c r="R177" s="29">
        <f t="shared" si="51"/>
        <v>93646.022439493085</v>
      </c>
      <c r="S177" s="29">
        <f t="shared" si="43"/>
        <v>93646.022439493143</v>
      </c>
      <c r="T177" s="29">
        <f t="shared" si="52"/>
        <v>93646.022439493143</v>
      </c>
      <c r="U177">
        <f t="shared" si="53"/>
        <v>0</v>
      </c>
      <c r="V177" s="29">
        <f t="shared" si="54"/>
        <v>93646.022439493143</v>
      </c>
      <c r="W177" s="29">
        <f t="shared" si="44"/>
        <v>93646.022439493157</v>
      </c>
      <c r="X177" s="29">
        <f t="shared" si="55"/>
        <v>93646.022439493157</v>
      </c>
      <c r="Y177">
        <f t="shared" si="56"/>
        <v>0</v>
      </c>
    </row>
    <row r="178" spans="1:25" x14ac:dyDescent="0.25">
      <c r="A178" s="4" t="s">
        <v>1001</v>
      </c>
      <c r="B178" s="7" t="s">
        <v>511</v>
      </c>
      <c r="C178" s="2" t="s">
        <v>1002</v>
      </c>
      <c r="D178">
        <f>VLOOKUP(B178,'Model allocations'!$A$1:$L$317,5,FALSE)</f>
        <v>125910.41691628068</v>
      </c>
      <c r="E178" s="31">
        <f>VLOOKUP(B178,'Initial adjusted formula count'!$A$1:$P$317,12,FALSE)</f>
        <v>0.21212121212121199</v>
      </c>
      <c r="F178">
        <f>VLOOKUP(B178,'Model allocations'!$A$1:$L$317,10,FALSE)</f>
        <v>113319.37522465261</v>
      </c>
      <c r="G178" s="30">
        <f t="shared" si="45"/>
        <v>0.9</v>
      </c>
      <c r="H178">
        <f t="shared" si="46"/>
        <v>113319.37522465261</v>
      </c>
      <c r="I178">
        <f t="shared" si="38"/>
        <v>0</v>
      </c>
      <c r="J178">
        <f t="shared" si="39"/>
        <v>113319.37522465261</v>
      </c>
      <c r="K178">
        <f t="shared" si="40"/>
        <v>113254.40340754575</v>
      </c>
      <c r="L178">
        <f t="shared" si="47"/>
        <v>113254.40340754575</v>
      </c>
      <c r="M178">
        <f t="shared" si="41"/>
        <v>113319.37522465261</v>
      </c>
      <c r="N178" s="29">
        <f t="shared" si="48"/>
        <v>0</v>
      </c>
      <c r="O178" s="29">
        <f t="shared" si="42"/>
        <v>0</v>
      </c>
      <c r="P178" s="29">
        <f t="shared" si="49"/>
        <v>113319.37522465261</v>
      </c>
      <c r="Q178">
        <f t="shared" si="50"/>
        <v>0</v>
      </c>
      <c r="R178" s="29">
        <f t="shared" si="51"/>
        <v>0</v>
      </c>
      <c r="S178" s="29">
        <f t="shared" si="43"/>
        <v>0</v>
      </c>
      <c r="T178" s="29">
        <f t="shared" si="52"/>
        <v>113319.37522465261</v>
      </c>
      <c r="U178">
        <f t="shared" si="53"/>
        <v>0</v>
      </c>
      <c r="V178" s="29">
        <f t="shared" si="54"/>
        <v>0</v>
      </c>
      <c r="W178" s="29">
        <f t="shared" si="44"/>
        <v>0</v>
      </c>
      <c r="X178" s="29">
        <f t="shared" si="55"/>
        <v>113319.37522465261</v>
      </c>
      <c r="Y178">
        <f t="shared" si="56"/>
        <v>0</v>
      </c>
    </row>
    <row r="179" spans="1:25" x14ac:dyDescent="0.25">
      <c r="A179" s="4" t="s">
        <v>1003</v>
      </c>
      <c r="B179" s="7" t="s">
        <v>288</v>
      </c>
      <c r="C179" s="2" t="s">
        <v>1004</v>
      </c>
      <c r="D179">
        <f>VLOOKUP(B179,'Model allocations'!$A$1:$L$317,5,FALSE)</f>
        <v>13686.447086337319</v>
      </c>
      <c r="E179" s="31">
        <f>VLOOKUP(B179,'Initial adjusted formula count'!$A$1:$P$317,12,FALSE)</f>
        <v>0.14610389610389601</v>
      </c>
      <c r="F179">
        <f>VLOOKUP(B179,'Model allocations'!$A$1:$L$317,10,FALSE)</f>
        <v>18870.255796477602</v>
      </c>
      <c r="G179" s="30">
        <f t="shared" si="45"/>
        <v>0.85</v>
      </c>
      <c r="H179">
        <f t="shared" si="46"/>
        <v>11633.480023386721</v>
      </c>
      <c r="I179">
        <f t="shared" si="38"/>
        <v>0</v>
      </c>
      <c r="J179">
        <f t="shared" si="39"/>
        <v>18870.255796477602</v>
      </c>
      <c r="K179">
        <f t="shared" si="40"/>
        <v>18859.436509785122</v>
      </c>
      <c r="L179">
        <f t="shared" si="47"/>
        <v>18859.436509785122</v>
      </c>
      <c r="M179">
        <f t="shared" si="41"/>
        <v>0</v>
      </c>
      <c r="N179" s="29">
        <f t="shared" si="48"/>
        <v>18859.436509785122</v>
      </c>
      <c r="O179" s="29">
        <f t="shared" si="42"/>
        <v>18858.072171754979</v>
      </c>
      <c r="P179" s="29">
        <f t="shared" si="49"/>
        <v>18858.072171754979</v>
      </c>
      <c r="Q179">
        <f t="shared" si="50"/>
        <v>0</v>
      </c>
      <c r="R179" s="29">
        <f t="shared" si="51"/>
        <v>18858.072171754979</v>
      </c>
      <c r="S179" s="29">
        <f t="shared" si="43"/>
        <v>18858.07217175499</v>
      </c>
      <c r="T179" s="29">
        <f t="shared" si="52"/>
        <v>18858.07217175499</v>
      </c>
      <c r="U179">
        <f t="shared" si="53"/>
        <v>0</v>
      </c>
      <c r="V179" s="29">
        <f t="shared" si="54"/>
        <v>18858.07217175499</v>
      </c>
      <c r="W179" s="29">
        <f t="shared" si="44"/>
        <v>18858.07217175499</v>
      </c>
      <c r="X179" s="29">
        <f t="shared" si="55"/>
        <v>18858.07217175499</v>
      </c>
      <c r="Y179">
        <f t="shared" si="56"/>
        <v>0</v>
      </c>
    </row>
    <row r="180" spans="1:25" x14ac:dyDescent="0.25">
      <c r="A180" s="4" t="s">
        <v>1005</v>
      </c>
      <c r="B180" s="7" t="s">
        <v>513</v>
      </c>
      <c r="C180" s="2" t="s">
        <v>1006</v>
      </c>
      <c r="D180">
        <f>VLOOKUP(B180,'Model allocations'!$A$1:$L$317,5,FALSE)</f>
        <v>119657.10538548001</v>
      </c>
      <c r="E180" s="31">
        <f>VLOOKUP(B180,'Initial adjusted formula count'!$A$1:$P$317,12,FALSE)</f>
        <v>0.15983175604626701</v>
      </c>
      <c r="F180">
        <f>VLOOKUP(B180,'Model allocations'!$A$1:$L$317,10,FALSE)</f>
        <v>107691.39484693202</v>
      </c>
      <c r="G180" s="30">
        <f t="shared" si="45"/>
        <v>0.9</v>
      </c>
      <c r="H180">
        <f t="shared" si="46"/>
        <v>107691.39484693202</v>
      </c>
      <c r="I180">
        <f t="shared" si="38"/>
        <v>0</v>
      </c>
      <c r="J180">
        <f t="shared" si="39"/>
        <v>107691.39484693202</v>
      </c>
      <c r="K180">
        <f t="shared" si="40"/>
        <v>107629.64983998942</v>
      </c>
      <c r="L180">
        <f t="shared" si="47"/>
        <v>107629.64983998942</v>
      </c>
      <c r="M180">
        <f t="shared" si="41"/>
        <v>107691.39484693202</v>
      </c>
      <c r="N180" s="29">
        <f t="shared" si="48"/>
        <v>0</v>
      </c>
      <c r="O180" s="29">
        <f t="shared" si="42"/>
        <v>0</v>
      </c>
      <c r="P180" s="29">
        <f t="shared" si="49"/>
        <v>107691.39484693202</v>
      </c>
      <c r="Q180">
        <f t="shared" si="50"/>
        <v>0</v>
      </c>
      <c r="R180" s="29">
        <f t="shared" si="51"/>
        <v>0</v>
      </c>
      <c r="S180" s="29">
        <f t="shared" si="43"/>
        <v>0</v>
      </c>
      <c r="T180" s="29">
        <f t="shared" si="52"/>
        <v>107691.39484693202</v>
      </c>
      <c r="U180">
        <f t="shared" si="53"/>
        <v>0</v>
      </c>
      <c r="V180" s="29">
        <f t="shared" si="54"/>
        <v>0</v>
      </c>
      <c r="W180" s="29">
        <f t="shared" si="44"/>
        <v>0</v>
      </c>
      <c r="X180" s="29">
        <f t="shared" si="55"/>
        <v>107691.39484693202</v>
      </c>
      <c r="Y180">
        <f t="shared" si="56"/>
        <v>0</v>
      </c>
    </row>
    <row r="181" spans="1:25" x14ac:dyDescent="0.25">
      <c r="A181" s="4" t="s">
        <v>1007</v>
      </c>
      <c r="B181" s="7" t="s">
        <v>189</v>
      </c>
      <c r="C181" s="2" t="s">
        <v>1008</v>
      </c>
      <c r="D181">
        <f>VLOOKUP(B181,'Model allocations'!$A$1:$L$317,5,FALSE)</f>
        <v>531324.01948429598</v>
      </c>
      <c r="E181" s="31">
        <f>VLOOKUP(B181,'Initial adjusted formula count'!$A$1:$P$317,12,FALSE)</f>
        <v>8.5544021530180703E-2</v>
      </c>
      <c r="F181">
        <f>VLOOKUP(B181,'Model allocations'!$A$1:$L$317,10,FALSE)</f>
        <v>451389.72852461907</v>
      </c>
      <c r="G181" s="30">
        <f t="shared" si="45"/>
        <v>0.85</v>
      </c>
      <c r="H181">
        <f t="shared" si="46"/>
        <v>451625.41656165157</v>
      </c>
      <c r="I181">
        <f t="shared" si="38"/>
        <v>451625.41656165157</v>
      </c>
      <c r="J181">
        <f t="shared" si="39"/>
        <v>0</v>
      </c>
      <c r="K181">
        <f t="shared" si="40"/>
        <v>0</v>
      </c>
      <c r="L181">
        <f t="shared" si="47"/>
        <v>451625.41656165157</v>
      </c>
      <c r="M181">
        <f t="shared" si="41"/>
        <v>0</v>
      </c>
      <c r="N181" s="29">
        <f t="shared" si="48"/>
        <v>0</v>
      </c>
      <c r="O181" s="29">
        <f t="shared" si="42"/>
        <v>0</v>
      </c>
      <c r="P181" s="29">
        <f t="shared" si="49"/>
        <v>451625.41656165157</v>
      </c>
      <c r="Q181">
        <f t="shared" si="50"/>
        <v>0</v>
      </c>
      <c r="R181" s="29">
        <f t="shared" si="51"/>
        <v>0</v>
      </c>
      <c r="S181" s="29">
        <f t="shared" si="43"/>
        <v>0</v>
      </c>
      <c r="T181" s="29">
        <f t="shared" si="52"/>
        <v>451625.41656165157</v>
      </c>
      <c r="U181">
        <f t="shared" si="53"/>
        <v>0</v>
      </c>
      <c r="V181" s="29">
        <f t="shared" si="54"/>
        <v>0</v>
      </c>
      <c r="W181" s="29">
        <f t="shared" si="44"/>
        <v>0</v>
      </c>
      <c r="X181" s="29">
        <f t="shared" si="55"/>
        <v>451625.41656165157</v>
      </c>
      <c r="Y181">
        <f t="shared" si="56"/>
        <v>0</v>
      </c>
    </row>
    <row r="182" spans="1:25" x14ac:dyDescent="0.25">
      <c r="A182" s="4" t="s">
        <v>1009</v>
      </c>
      <c r="B182" s="7" t="s">
        <v>515</v>
      </c>
      <c r="C182" s="2" t="s">
        <v>1010</v>
      </c>
      <c r="D182">
        <f>VLOOKUP(B182,'Model allocations'!$A$1:$L$317,5,FALSE)</f>
        <v>234856.15125787447</v>
      </c>
      <c r="E182" s="31">
        <f>VLOOKUP(B182,'Initial adjusted formula count'!$A$1:$P$317,12,FALSE)</f>
        <v>0.20904255319148901</v>
      </c>
      <c r="F182">
        <f>VLOOKUP(B182,'Model allocations'!$A$1:$L$317,10,FALSE)</f>
        <v>211370.53613208703</v>
      </c>
      <c r="G182" s="30">
        <f t="shared" si="45"/>
        <v>0.9</v>
      </c>
      <c r="H182">
        <f t="shared" si="46"/>
        <v>211370.53613208703</v>
      </c>
      <c r="I182">
        <f t="shared" si="38"/>
        <v>0</v>
      </c>
      <c r="J182">
        <f t="shared" si="39"/>
        <v>211370.53613208703</v>
      </c>
      <c r="K182">
        <f t="shared" si="40"/>
        <v>211249.34654921005</v>
      </c>
      <c r="L182">
        <f t="shared" si="47"/>
        <v>211249.34654921005</v>
      </c>
      <c r="M182">
        <f t="shared" si="41"/>
        <v>211370.53613208703</v>
      </c>
      <c r="N182" s="29">
        <f t="shared" si="48"/>
        <v>0</v>
      </c>
      <c r="O182" s="29">
        <f t="shared" si="42"/>
        <v>0</v>
      </c>
      <c r="P182" s="29">
        <f t="shared" si="49"/>
        <v>211370.53613208703</v>
      </c>
      <c r="Q182">
        <f t="shared" si="50"/>
        <v>0</v>
      </c>
      <c r="R182" s="29">
        <f t="shared" si="51"/>
        <v>0</v>
      </c>
      <c r="S182" s="29">
        <f t="shared" si="43"/>
        <v>0</v>
      </c>
      <c r="T182" s="29">
        <f t="shared" si="52"/>
        <v>211370.53613208703</v>
      </c>
      <c r="U182">
        <f t="shared" si="53"/>
        <v>0</v>
      </c>
      <c r="V182" s="29">
        <f t="shared" si="54"/>
        <v>0</v>
      </c>
      <c r="W182" s="29">
        <f t="shared" si="44"/>
        <v>0</v>
      </c>
      <c r="X182" s="29">
        <f t="shared" si="55"/>
        <v>211370.53613208703</v>
      </c>
      <c r="Y182">
        <f t="shared" si="56"/>
        <v>0</v>
      </c>
    </row>
    <row r="183" spans="1:25" x14ac:dyDescent="0.25">
      <c r="A183" s="4" t="s">
        <v>1011</v>
      </c>
      <c r="B183" s="7" t="s">
        <v>517</v>
      </c>
      <c r="C183" s="2" t="s">
        <v>1012</v>
      </c>
      <c r="D183">
        <f>VLOOKUP(B183,'Model allocations'!$A$1:$L$317,5,FALSE)</f>
        <v>53091.245943821988</v>
      </c>
      <c r="E183" s="31">
        <f>VLOOKUP(B183,'Initial adjusted formula count'!$A$1:$P$317,12,FALSE)</f>
        <v>0.123678646934461</v>
      </c>
      <c r="F183">
        <f>VLOOKUP(B183,'Model allocations'!$A$1:$L$317,10,FALSE)</f>
        <v>49062.665070841795</v>
      </c>
      <c r="G183" s="30">
        <f t="shared" si="45"/>
        <v>0.85</v>
      </c>
      <c r="H183">
        <f t="shared" si="46"/>
        <v>45127.559052248689</v>
      </c>
      <c r="I183">
        <f t="shared" si="38"/>
        <v>0</v>
      </c>
      <c r="J183">
        <f t="shared" si="39"/>
        <v>49062.665070841795</v>
      </c>
      <c r="K183">
        <f t="shared" si="40"/>
        <v>49034.534925441345</v>
      </c>
      <c r="L183">
        <f t="shared" si="47"/>
        <v>49034.534925441345</v>
      </c>
      <c r="M183">
        <f t="shared" si="41"/>
        <v>0</v>
      </c>
      <c r="N183" s="29">
        <f t="shared" si="48"/>
        <v>49034.534925441345</v>
      </c>
      <c r="O183" s="29">
        <f t="shared" si="42"/>
        <v>49030.987646562979</v>
      </c>
      <c r="P183" s="29">
        <f t="shared" si="49"/>
        <v>49030.987646562979</v>
      </c>
      <c r="Q183">
        <f t="shared" si="50"/>
        <v>0</v>
      </c>
      <c r="R183" s="29">
        <f t="shared" si="51"/>
        <v>49030.987646562979</v>
      </c>
      <c r="S183" s="29">
        <f t="shared" si="43"/>
        <v>49030.987646563008</v>
      </c>
      <c r="T183" s="29">
        <f t="shared" si="52"/>
        <v>49030.987646563008</v>
      </c>
      <c r="U183">
        <f t="shared" si="53"/>
        <v>0</v>
      </c>
      <c r="V183" s="29">
        <f t="shared" si="54"/>
        <v>49030.987646563008</v>
      </c>
      <c r="W183" s="29">
        <f t="shared" si="44"/>
        <v>49030.987646563015</v>
      </c>
      <c r="X183" s="29">
        <f t="shared" si="55"/>
        <v>49030.987646563015</v>
      </c>
      <c r="Y183">
        <f t="shared" si="56"/>
        <v>0</v>
      </c>
    </row>
    <row r="184" spans="1:25" x14ac:dyDescent="0.25">
      <c r="A184" s="4" t="s">
        <v>1013</v>
      </c>
      <c r="B184" s="7" t="s">
        <v>519</v>
      </c>
      <c r="C184" s="2" t="s">
        <v>1014</v>
      </c>
      <c r="D184">
        <f>VLOOKUP(B184,'Model allocations'!$A$1:$L$317,5,FALSE)</f>
        <v>12429.010501487892</v>
      </c>
      <c r="E184" s="31">
        <f>VLOOKUP(B184,'Initial adjusted formula count'!$A$1:$P$317,12,FALSE)</f>
        <v>0.38095238095238099</v>
      </c>
      <c r="F184">
        <f>VLOOKUP(B184,'Model allocations'!$A$1:$L$317,10,FALSE)</f>
        <v>19264.801394755621</v>
      </c>
      <c r="G184" s="30">
        <f t="shared" si="45"/>
        <v>0.95</v>
      </c>
      <c r="H184">
        <f t="shared" si="46"/>
        <v>11807.559976413497</v>
      </c>
      <c r="I184">
        <f t="shared" si="38"/>
        <v>0</v>
      </c>
      <c r="J184">
        <f t="shared" si="39"/>
        <v>19264.801394755621</v>
      </c>
      <c r="K184">
        <f t="shared" si="40"/>
        <v>19253.755894810543</v>
      </c>
      <c r="L184">
        <f t="shared" si="47"/>
        <v>19253.755894810543</v>
      </c>
      <c r="M184">
        <f t="shared" si="41"/>
        <v>0</v>
      </c>
      <c r="N184" s="29">
        <f t="shared" si="48"/>
        <v>19253.755894810543</v>
      </c>
      <c r="O184" s="29">
        <f t="shared" si="42"/>
        <v>19252.363030746088</v>
      </c>
      <c r="P184" s="29">
        <f t="shared" si="49"/>
        <v>19252.363030746088</v>
      </c>
      <c r="Q184">
        <f t="shared" si="50"/>
        <v>0</v>
      </c>
      <c r="R184" s="29">
        <f t="shared" si="51"/>
        <v>19252.363030746088</v>
      </c>
      <c r="S184" s="29">
        <f t="shared" si="43"/>
        <v>19252.363030746099</v>
      </c>
      <c r="T184" s="29">
        <f t="shared" si="52"/>
        <v>19252.363030746099</v>
      </c>
      <c r="U184">
        <f t="shared" si="53"/>
        <v>0</v>
      </c>
      <c r="V184" s="29">
        <f t="shared" si="54"/>
        <v>19252.363030746099</v>
      </c>
      <c r="W184" s="29">
        <f t="shared" si="44"/>
        <v>19252.363030746103</v>
      </c>
      <c r="X184" s="29">
        <f t="shared" si="55"/>
        <v>19252.363030746103</v>
      </c>
      <c r="Y184">
        <f t="shared" si="56"/>
        <v>0</v>
      </c>
    </row>
    <row r="185" spans="1:25" x14ac:dyDescent="0.25">
      <c r="A185" s="4" t="s">
        <v>1015</v>
      </c>
      <c r="B185" s="7" t="s">
        <v>521</v>
      </c>
      <c r="C185" s="2" t="s">
        <v>1016</v>
      </c>
      <c r="D185">
        <f>VLOOKUP(B185,'Model allocations'!$A$1:$L$317,5,FALSE)</f>
        <v>32513.243640015011</v>
      </c>
      <c r="E185" s="31">
        <f>VLOOKUP(B185,'Initial adjusted formula count'!$A$1:$P$317,12,FALSE)</f>
        <v>0.146596858638743</v>
      </c>
      <c r="F185">
        <f>VLOOKUP(B185,'Model allocations'!$A$1:$L$317,10,FALSE)</f>
        <v>35224.477486758195</v>
      </c>
      <c r="G185" s="30">
        <f t="shared" si="45"/>
        <v>0.85</v>
      </c>
      <c r="H185">
        <f t="shared" si="46"/>
        <v>27636.257094012759</v>
      </c>
      <c r="I185">
        <f t="shared" si="38"/>
        <v>0</v>
      </c>
      <c r="J185">
        <f t="shared" si="39"/>
        <v>35224.477486758195</v>
      </c>
      <c r="K185">
        <f t="shared" si="40"/>
        <v>35204.281484932231</v>
      </c>
      <c r="L185">
        <f t="shared" si="47"/>
        <v>35204.281484932231</v>
      </c>
      <c r="M185">
        <f t="shared" si="41"/>
        <v>0</v>
      </c>
      <c r="N185" s="29">
        <f t="shared" si="48"/>
        <v>35204.281484932231</v>
      </c>
      <c r="O185" s="29">
        <f t="shared" si="42"/>
        <v>35201.734720609304</v>
      </c>
      <c r="P185" s="29">
        <f t="shared" si="49"/>
        <v>35201.734720609304</v>
      </c>
      <c r="Q185">
        <f t="shared" si="50"/>
        <v>0</v>
      </c>
      <c r="R185" s="29">
        <f t="shared" si="51"/>
        <v>35201.734720609304</v>
      </c>
      <c r="S185" s="29">
        <f t="shared" si="43"/>
        <v>35201.734720609325</v>
      </c>
      <c r="T185" s="29">
        <f t="shared" si="52"/>
        <v>35201.734720609325</v>
      </c>
      <c r="U185">
        <f t="shared" si="53"/>
        <v>0</v>
      </c>
      <c r="V185" s="29">
        <f t="shared" si="54"/>
        <v>35201.734720609325</v>
      </c>
      <c r="W185" s="29">
        <f t="shared" si="44"/>
        <v>35201.734720609333</v>
      </c>
      <c r="X185" s="29">
        <f t="shared" si="55"/>
        <v>35201.734720609333</v>
      </c>
      <c r="Y185">
        <f t="shared" si="56"/>
        <v>0</v>
      </c>
    </row>
    <row r="186" spans="1:25" x14ac:dyDescent="0.25">
      <c r="A186" s="4" t="s">
        <v>1017</v>
      </c>
      <c r="B186" s="7" t="s">
        <v>290</v>
      </c>
      <c r="C186" s="2" t="s">
        <v>1018</v>
      </c>
      <c r="D186">
        <f>VLOOKUP(B186,'Model allocations'!$A$1:$L$317,5,FALSE)</f>
        <v>9054.3210136750695</v>
      </c>
      <c r="E186" s="31">
        <f>VLOOKUP(B186,'Initial adjusted formula count'!$A$1:$P$317,12,FALSE)</f>
        <v>8.98876404494382E-2</v>
      </c>
      <c r="F186">
        <f>VLOOKUP(B186,'Model allocations'!$A$1:$L$317,10,FALSE)</f>
        <v>7696.1728616238088</v>
      </c>
      <c r="G186" s="30">
        <f t="shared" si="45"/>
        <v>0.85</v>
      </c>
      <c r="H186">
        <f t="shared" si="46"/>
        <v>7696.1728616238088</v>
      </c>
      <c r="I186">
        <f t="shared" si="38"/>
        <v>0</v>
      </c>
      <c r="J186">
        <f t="shared" si="39"/>
        <v>7696.1728616238088</v>
      </c>
      <c r="K186">
        <f t="shared" si="40"/>
        <v>7691.760250500628</v>
      </c>
      <c r="L186">
        <f t="shared" si="47"/>
        <v>7691.760250500628</v>
      </c>
      <c r="M186">
        <f t="shared" si="41"/>
        <v>7696.1728616238088</v>
      </c>
      <c r="N186" s="29">
        <f t="shared" si="48"/>
        <v>0</v>
      </c>
      <c r="O186" s="29">
        <f t="shared" si="42"/>
        <v>0</v>
      </c>
      <c r="P186" s="29">
        <f t="shared" si="49"/>
        <v>7696.1728616238088</v>
      </c>
      <c r="Q186">
        <f t="shared" si="50"/>
        <v>0</v>
      </c>
      <c r="R186" s="29">
        <f t="shared" si="51"/>
        <v>0</v>
      </c>
      <c r="S186" s="29">
        <f t="shared" si="43"/>
        <v>0</v>
      </c>
      <c r="T186" s="29">
        <f t="shared" si="52"/>
        <v>7696.1728616238088</v>
      </c>
      <c r="U186">
        <f t="shared" si="53"/>
        <v>0</v>
      </c>
      <c r="V186" s="29">
        <f t="shared" si="54"/>
        <v>0</v>
      </c>
      <c r="W186" s="29">
        <f t="shared" si="44"/>
        <v>0</v>
      </c>
      <c r="X186" s="29">
        <f t="shared" si="55"/>
        <v>7696.1728616238088</v>
      </c>
      <c r="Y186">
        <f t="shared" si="56"/>
        <v>0</v>
      </c>
    </row>
    <row r="187" spans="1:25" x14ac:dyDescent="0.25">
      <c r="A187" s="4" t="s">
        <v>1019</v>
      </c>
      <c r="B187" s="7" t="s">
        <v>523</v>
      </c>
      <c r="C187" s="2" t="s">
        <v>1020</v>
      </c>
      <c r="D187">
        <f>VLOOKUP(B187,'Model allocations'!$A$1:$L$317,5,FALSE)</f>
        <v>22149.173935707247</v>
      </c>
      <c r="E187" s="31">
        <f>VLOOKUP(B187,'Initial adjusted formula count'!$A$1:$P$317,12,FALSE)</f>
        <v>0.34615384615384598</v>
      </c>
      <c r="F187">
        <f>VLOOKUP(B187,'Model allocations'!$A$1:$L$317,10,FALSE)</f>
        <v>33587.482796413766</v>
      </c>
      <c r="G187" s="30">
        <f t="shared" si="45"/>
        <v>0.95</v>
      </c>
      <c r="H187">
        <f t="shared" si="46"/>
        <v>21041.715238921883</v>
      </c>
      <c r="I187">
        <f t="shared" si="38"/>
        <v>0</v>
      </c>
      <c r="J187">
        <f t="shared" si="39"/>
        <v>33587.482796413766</v>
      </c>
      <c r="K187">
        <f t="shared" si="40"/>
        <v>33568.225367708372</v>
      </c>
      <c r="L187">
        <f t="shared" si="47"/>
        <v>33568.225367708372</v>
      </c>
      <c r="M187">
        <f t="shared" si="41"/>
        <v>0</v>
      </c>
      <c r="N187" s="29">
        <f t="shared" si="48"/>
        <v>33568.225367708372</v>
      </c>
      <c r="O187" s="29">
        <f t="shared" si="42"/>
        <v>33565.796959709551</v>
      </c>
      <c r="P187" s="29">
        <f t="shared" si="49"/>
        <v>33565.796959709551</v>
      </c>
      <c r="Q187">
        <f t="shared" si="50"/>
        <v>0</v>
      </c>
      <c r="R187" s="29">
        <f t="shared" si="51"/>
        <v>33565.796959709551</v>
      </c>
      <c r="S187" s="29">
        <f t="shared" si="43"/>
        <v>33565.796959709565</v>
      </c>
      <c r="T187" s="29">
        <f t="shared" si="52"/>
        <v>33565.796959709565</v>
      </c>
      <c r="U187">
        <f t="shared" si="53"/>
        <v>0</v>
      </c>
      <c r="V187" s="29">
        <f t="shared" si="54"/>
        <v>33565.796959709565</v>
      </c>
      <c r="W187" s="29">
        <f t="shared" si="44"/>
        <v>33565.796959709565</v>
      </c>
      <c r="X187" s="29">
        <f t="shared" si="55"/>
        <v>33565.796959709565</v>
      </c>
      <c r="Y187">
        <f t="shared" si="56"/>
        <v>0</v>
      </c>
    </row>
    <row r="188" spans="1:25" x14ac:dyDescent="0.25">
      <c r="A188" s="4" t="s">
        <v>1021</v>
      </c>
      <c r="B188" s="7" t="s">
        <v>525</v>
      </c>
      <c r="C188" s="2" t="s">
        <v>1022</v>
      </c>
      <c r="D188">
        <f>VLOOKUP(B188,'Model allocations'!$A$1:$L$317,5,FALSE)</f>
        <v>25741.675201066904</v>
      </c>
      <c r="E188" s="31">
        <f>VLOOKUP(B188,'Initial adjusted formula count'!$A$1:$P$317,12,FALSE)</f>
        <v>7.1969696969697003E-2</v>
      </c>
      <c r="F188">
        <f>VLOOKUP(B188,'Model allocations'!$A$1:$L$317,10,FALSE)</f>
        <v>21880.423920906869</v>
      </c>
      <c r="G188" s="30">
        <f t="shared" si="45"/>
        <v>0.85</v>
      </c>
      <c r="H188">
        <f t="shared" si="46"/>
        <v>21880.423920906869</v>
      </c>
      <c r="I188">
        <f t="shared" si="38"/>
        <v>0</v>
      </c>
      <c r="J188">
        <f t="shared" si="39"/>
        <v>21880.423920906869</v>
      </c>
      <c r="K188">
        <f t="shared" si="40"/>
        <v>21867.87875024747</v>
      </c>
      <c r="L188">
        <f t="shared" si="47"/>
        <v>21867.87875024747</v>
      </c>
      <c r="M188">
        <f t="shared" si="41"/>
        <v>21880.423920906869</v>
      </c>
      <c r="N188" s="29">
        <f t="shared" si="48"/>
        <v>0</v>
      </c>
      <c r="O188" s="29">
        <f t="shared" si="42"/>
        <v>0</v>
      </c>
      <c r="P188" s="29">
        <f t="shared" si="49"/>
        <v>21880.423920906869</v>
      </c>
      <c r="Q188">
        <f t="shared" si="50"/>
        <v>0</v>
      </c>
      <c r="R188" s="29">
        <f t="shared" si="51"/>
        <v>0</v>
      </c>
      <c r="S188" s="29">
        <f t="shared" si="43"/>
        <v>0</v>
      </c>
      <c r="T188" s="29">
        <f t="shared" si="52"/>
        <v>21880.423920906869</v>
      </c>
      <c r="U188">
        <f t="shared" si="53"/>
        <v>0</v>
      </c>
      <c r="V188" s="29">
        <f t="shared" si="54"/>
        <v>0</v>
      </c>
      <c r="W188" s="29">
        <f t="shared" si="44"/>
        <v>0</v>
      </c>
      <c r="X188" s="29">
        <f t="shared" si="55"/>
        <v>21880.423920906869</v>
      </c>
      <c r="Y188">
        <f t="shared" si="56"/>
        <v>0</v>
      </c>
    </row>
    <row r="189" spans="1:25" x14ac:dyDescent="0.25">
      <c r="A189" s="4" t="s">
        <v>1023</v>
      </c>
      <c r="B189" s="7" t="s">
        <v>527</v>
      </c>
      <c r="C189" s="2" t="s">
        <v>1024</v>
      </c>
      <c r="D189">
        <f>VLOOKUP(B189,'Model allocations'!$A$1:$L$317,5,FALSE)</f>
        <v>195219.57189374111</v>
      </c>
      <c r="E189" s="31">
        <f>VLOOKUP(B189,'Initial adjusted formula count'!$A$1:$P$317,12,FALSE)</f>
        <v>0.215317919075144</v>
      </c>
      <c r="F189">
        <f>VLOOKUP(B189,'Model allocations'!$A$1:$L$317,10,FALSE)</f>
        <v>175697.61470436701</v>
      </c>
      <c r="G189" s="30">
        <f t="shared" si="45"/>
        <v>0.9</v>
      </c>
      <c r="H189">
        <f t="shared" si="46"/>
        <v>175697.61470436701</v>
      </c>
      <c r="I189">
        <f t="shared" si="38"/>
        <v>0</v>
      </c>
      <c r="J189">
        <f t="shared" si="39"/>
        <v>175697.61470436701</v>
      </c>
      <c r="K189">
        <f t="shared" si="40"/>
        <v>175596.87823925633</v>
      </c>
      <c r="L189">
        <f t="shared" si="47"/>
        <v>175596.87823925633</v>
      </c>
      <c r="M189">
        <f t="shared" si="41"/>
        <v>175697.61470436701</v>
      </c>
      <c r="N189" s="29">
        <f t="shared" si="48"/>
        <v>0</v>
      </c>
      <c r="O189" s="29">
        <f t="shared" si="42"/>
        <v>0</v>
      </c>
      <c r="P189" s="29">
        <f t="shared" si="49"/>
        <v>175697.61470436701</v>
      </c>
      <c r="Q189">
        <f t="shared" si="50"/>
        <v>0</v>
      </c>
      <c r="R189" s="29">
        <f t="shared" si="51"/>
        <v>0</v>
      </c>
      <c r="S189" s="29">
        <f t="shared" si="43"/>
        <v>0</v>
      </c>
      <c r="T189" s="29">
        <f t="shared" si="52"/>
        <v>175697.61470436701</v>
      </c>
      <c r="U189">
        <f t="shared" si="53"/>
        <v>0</v>
      </c>
      <c r="V189" s="29">
        <f t="shared" si="54"/>
        <v>0</v>
      </c>
      <c r="W189" s="29">
        <f t="shared" si="44"/>
        <v>0</v>
      </c>
      <c r="X189" s="29">
        <f t="shared" si="55"/>
        <v>175697.61470436701</v>
      </c>
      <c r="Y189">
        <f t="shared" si="56"/>
        <v>0</v>
      </c>
    </row>
    <row r="190" spans="1:25" x14ac:dyDescent="0.25">
      <c r="A190" s="4" t="s">
        <v>1025</v>
      </c>
      <c r="B190" s="7" t="s">
        <v>292</v>
      </c>
      <c r="C190" s="2" t="s">
        <v>1026</v>
      </c>
      <c r="D190">
        <f>VLOOKUP(B190,'Model allocations'!$A$1:$L$317,5,FALSE)</f>
        <v>71199.887971172124</v>
      </c>
      <c r="E190" s="31">
        <f>VLOOKUP(B190,'Initial adjusted formula count'!$A$1:$P$317,12,FALSE)</f>
        <v>5.16188149053146E-2</v>
      </c>
      <c r="F190">
        <f>VLOOKUP(B190,'Model allocations'!$A$1:$L$317,10,FALSE)</f>
        <v>70868.293991215905</v>
      </c>
      <c r="G190" s="30">
        <f t="shared" si="45"/>
        <v>0.85</v>
      </c>
      <c r="H190">
        <f t="shared" si="46"/>
        <v>60519.904775496303</v>
      </c>
      <c r="I190">
        <f t="shared" si="38"/>
        <v>0</v>
      </c>
      <c r="J190">
        <f t="shared" si="39"/>
        <v>70868.293991215905</v>
      </c>
      <c r="K190">
        <f t="shared" si="40"/>
        <v>70827.661558970809</v>
      </c>
      <c r="L190">
        <f t="shared" si="47"/>
        <v>70827.661558970809</v>
      </c>
      <c r="M190">
        <f t="shared" si="41"/>
        <v>0</v>
      </c>
      <c r="N190" s="29">
        <f t="shared" si="48"/>
        <v>70827.661558970809</v>
      </c>
      <c r="O190" s="29">
        <f t="shared" si="42"/>
        <v>70822.537711702054</v>
      </c>
      <c r="P190" s="29">
        <f t="shared" si="49"/>
        <v>70822.537711702054</v>
      </c>
      <c r="Q190">
        <f t="shared" si="50"/>
        <v>0</v>
      </c>
      <c r="R190" s="29">
        <f t="shared" si="51"/>
        <v>70822.537711702054</v>
      </c>
      <c r="S190" s="29">
        <f t="shared" si="43"/>
        <v>70822.537711702098</v>
      </c>
      <c r="T190" s="29">
        <f t="shared" si="52"/>
        <v>70822.537711702098</v>
      </c>
      <c r="U190">
        <f t="shared" si="53"/>
        <v>0</v>
      </c>
      <c r="V190" s="29">
        <f t="shared" si="54"/>
        <v>70822.537711702098</v>
      </c>
      <c r="W190" s="29">
        <f t="shared" si="44"/>
        <v>70822.537711702113</v>
      </c>
      <c r="X190" s="29">
        <f t="shared" si="55"/>
        <v>70822.537711702113</v>
      </c>
      <c r="Y190">
        <f t="shared" si="56"/>
        <v>0</v>
      </c>
    </row>
    <row r="191" spans="1:25" x14ac:dyDescent="0.25">
      <c r="A191" s="4" t="s">
        <v>1027</v>
      </c>
      <c r="B191" s="7" t="s">
        <v>529</v>
      </c>
      <c r="C191" s="2" t="s">
        <v>1028</v>
      </c>
      <c r="D191">
        <f>VLOOKUP(B191,'Model allocations'!$A$1:$L$317,5,FALSE)</f>
        <v>362946.4858778714</v>
      </c>
      <c r="E191" s="31">
        <f>VLOOKUP(B191,'Initial adjusted formula count'!$A$1:$P$317,12,FALSE)</f>
        <v>0.19907407407407399</v>
      </c>
      <c r="F191">
        <f>VLOOKUP(B191,'Model allocations'!$A$1:$L$317,10,FALSE)</f>
        <v>440397.55222594301</v>
      </c>
      <c r="G191" s="30">
        <f t="shared" si="45"/>
        <v>0.9</v>
      </c>
      <c r="H191">
        <f t="shared" si="46"/>
        <v>326651.83729008428</v>
      </c>
      <c r="I191">
        <f t="shared" si="38"/>
        <v>0</v>
      </c>
      <c r="J191">
        <f t="shared" si="39"/>
        <v>440397.55222594301</v>
      </c>
      <c r="K191">
        <f t="shared" si="40"/>
        <v>440145.04969351372</v>
      </c>
      <c r="L191">
        <f t="shared" si="47"/>
        <v>440145.04969351372</v>
      </c>
      <c r="M191">
        <f t="shared" si="41"/>
        <v>0</v>
      </c>
      <c r="N191" s="29">
        <f t="shared" si="48"/>
        <v>440145.04969351372</v>
      </c>
      <c r="O191" s="29">
        <f t="shared" si="42"/>
        <v>440113.20851788978</v>
      </c>
      <c r="P191" s="29">
        <f t="shared" si="49"/>
        <v>440113.20851788978</v>
      </c>
      <c r="Q191">
        <f t="shared" si="50"/>
        <v>0</v>
      </c>
      <c r="R191" s="29">
        <f t="shared" si="51"/>
        <v>440113.20851788978</v>
      </c>
      <c r="S191" s="29">
        <f t="shared" si="43"/>
        <v>440113.20851789002</v>
      </c>
      <c r="T191" s="29">
        <f t="shared" si="52"/>
        <v>440113.20851789002</v>
      </c>
      <c r="U191">
        <f t="shared" si="53"/>
        <v>0</v>
      </c>
      <c r="V191" s="29">
        <f t="shared" si="54"/>
        <v>440113.20851789002</v>
      </c>
      <c r="W191" s="29">
        <f t="shared" si="44"/>
        <v>440113.20851789002</v>
      </c>
      <c r="X191" s="29">
        <f t="shared" si="55"/>
        <v>440113.20851789002</v>
      </c>
      <c r="Y191">
        <f t="shared" si="56"/>
        <v>0</v>
      </c>
    </row>
    <row r="192" spans="1:25" x14ac:dyDescent="0.25">
      <c r="A192" s="4" t="s">
        <v>1029</v>
      </c>
      <c r="B192" s="7" t="s">
        <v>531</v>
      </c>
      <c r="C192" s="2" t="s">
        <v>1030</v>
      </c>
      <c r="D192">
        <f>VLOOKUP(B192,'Model allocations'!$A$1:$L$317,5,FALSE)</f>
        <v>5079.7004827414748</v>
      </c>
      <c r="E192" s="31">
        <f>VLOOKUP(B192,'Initial adjusted formula count'!$A$1:$P$317,12,FALSE)</f>
        <v>0.10638297872340401</v>
      </c>
      <c r="F192">
        <f>VLOOKUP(B192,'Model allocations'!$A$1:$L$317,10,FALSE)</f>
        <v>0</v>
      </c>
      <c r="G192" s="30">
        <f t="shared" si="45"/>
        <v>0.85</v>
      </c>
      <c r="H192">
        <f t="shared" si="46"/>
        <v>0</v>
      </c>
      <c r="I192">
        <f t="shared" si="38"/>
        <v>0</v>
      </c>
      <c r="J192">
        <f t="shared" si="39"/>
        <v>0</v>
      </c>
      <c r="K192">
        <f t="shared" si="40"/>
        <v>0</v>
      </c>
      <c r="L192">
        <f t="shared" si="47"/>
        <v>0</v>
      </c>
      <c r="M192">
        <f t="shared" si="41"/>
        <v>0</v>
      </c>
      <c r="N192" s="29">
        <f t="shared" si="48"/>
        <v>0</v>
      </c>
      <c r="O192" s="29">
        <f t="shared" si="42"/>
        <v>0</v>
      </c>
      <c r="P192" s="29">
        <f t="shared" si="49"/>
        <v>0</v>
      </c>
      <c r="Q192">
        <f t="shared" si="50"/>
        <v>0</v>
      </c>
      <c r="R192" s="29">
        <f t="shared" si="51"/>
        <v>0</v>
      </c>
      <c r="S192" s="29">
        <f t="shared" si="43"/>
        <v>0</v>
      </c>
      <c r="T192" s="29">
        <f t="shared" si="52"/>
        <v>0</v>
      </c>
      <c r="U192">
        <f t="shared" si="53"/>
        <v>0</v>
      </c>
      <c r="V192" s="29">
        <f t="shared" si="54"/>
        <v>0</v>
      </c>
      <c r="W192" s="29">
        <f t="shared" si="44"/>
        <v>0</v>
      </c>
      <c r="X192" s="29">
        <f t="shared" si="55"/>
        <v>0</v>
      </c>
      <c r="Y192">
        <f t="shared" si="56"/>
        <v>0</v>
      </c>
    </row>
    <row r="193" spans="1:25" x14ac:dyDescent="0.25">
      <c r="A193" s="4" t="s">
        <v>1031</v>
      </c>
      <c r="B193" s="7" t="s">
        <v>533</v>
      </c>
      <c r="C193" s="2" t="s">
        <v>1032</v>
      </c>
      <c r="D193">
        <f>VLOOKUP(B193,'Model allocations'!$A$1:$L$317,5,FALSE)</f>
        <v>0</v>
      </c>
      <c r="E193" s="31">
        <f>VLOOKUP(B193,'Initial adjusted formula count'!$A$1:$P$317,12,FALSE)</f>
        <v>4.8582995951416998E-2</v>
      </c>
      <c r="F193">
        <f>VLOOKUP(B193,'Model allocations'!$A$1:$L$317,10,FALSE)</f>
        <v>0</v>
      </c>
      <c r="G193" s="30">
        <f t="shared" si="45"/>
        <v>0.85</v>
      </c>
      <c r="H193">
        <f t="shared" si="46"/>
        <v>0</v>
      </c>
      <c r="I193">
        <f t="shared" si="38"/>
        <v>0</v>
      </c>
      <c r="J193">
        <f t="shared" si="39"/>
        <v>0</v>
      </c>
      <c r="K193">
        <f t="shared" si="40"/>
        <v>0</v>
      </c>
      <c r="L193">
        <f t="shared" si="47"/>
        <v>0</v>
      </c>
      <c r="M193">
        <f t="shared" si="41"/>
        <v>0</v>
      </c>
      <c r="N193" s="29">
        <f t="shared" si="48"/>
        <v>0</v>
      </c>
      <c r="O193" s="29">
        <f t="shared" si="42"/>
        <v>0</v>
      </c>
      <c r="P193" s="29">
        <f t="shared" si="49"/>
        <v>0</v>
      </c>
      <c r="Q193">
        <f t="shared" si="50"/>
        <v>0</v>
      </c>
      <c r="R193" s="29">
        <f t="shared" si="51"/>
        <v>0</v>
      </c>
      <c r="S193" s="29">
        <f t="shared" si="43"/>
        <v>0</v>
      </c>
      <c r="T193" s="29">
        <f t="shared" si="52"/>
        <v>0</v>
      </c>
      <c r="U193">
        <f t="shared" si="53"/>
        <v>0</v>
      </c>
      <c r="V193" s="29">
        <f t="shared" si="54"/>
        <v>0</v>
      </c>
      <c r="W193" s="29">
        <f t="shared" si="44"/>
        <v>0</v>
      </c>
      <c r="X193" s="29">
        <f t="shared" si="55"/>
        <v>0</v>
      </c>
      <c r="Y193">
        <f t="shared" si="56"/>
        <v>0</v>
      </c>
    </row>
    <row r="194" spans="1:25" x14ac:dyDescent="0.25">
      <c r="A194" s="4" t="s">
        <v>1033</v>
      </c>
      <c r="B194" s="7" t="s">
        <v>535</v>
      </c>
      <c r="C194" s="2" t="s">
        <v>1034</v>
      </c>
      <c r="D194">
        <f>VLOOKUP(B194,'Model allocations'!$A$1:$L$317,5,FALSE)</f>
        <v>1385105.3350692478</v>
      </c>
      <c r="E194" s="31">
        <f>VLOOKUP(B194,'Initial adjusted formula count'!$A$1:$P$317,12,FALSE)</f>
        <v>0.156570363466915</v>
      </c>
      <c r="F194">
        <f>VLOOKUP(B194,'Model allocations'!$A$1:$L$317,10,FALSE)</f>
        <v>2057906.229360308</v>
      </c>
      <c r="G194" s="30">
        <f t="shared" si="45"/>
        <v>0.9</v>
      </c>
      <c r="H194">
        <f t="shared" si="46"/>
        <v>1246594.801562323</v>
      </c>
      <c r="I194">
        <f t="shared" si="38"/>
        <v>0</v>
      </c>
      <c r="J194">
        <f t="shared" si="39"/>
        <v>2057906.229360308</v>
      </c>
      <c r="K194">
        <f t="shared" si="40"/>
        <v>2056726.3260393445</v>
      </c>
      <c r="L194">
        <f t="shared" si="47"/>
        <v>2056726.3260393445</v>
      </c>
      <c r="M194">
        <f t="shared" si="41"/>
        <v>0</v>
      </c>
      <c r="N194" s="29">
        <f t="shared" si="48"/>
        <v>2056726.3260393445</v>
      </c>
      <c r="O194" s="29">
        <f t="shared" si="42"/>
        <v>2056577.537397502</v>
      </c>
      <c r="P194" s="29">
        <f t="shared" si="49"/>
        <v>2056577.537397502</v>
      </c>
      <c r="Q194">
        <f t="shared" si="50"/>
        <v>0</v>
      </c>
      <c r="R194" s="29">
        <f t="shared" si="51"/>
        <v>2056577.537397502</v>
      </c>
      <c r="S194" s="29">
        <f t="shared" si="43"/>
        <v>2056577.5373975032</v>
      </c>
      <c r="T194" s="29">
        <f t="shared" si="52"/>
        <v>2056577.5373975032</v>
      </c>
      <c r="U194">
        <f t="shared" si="53"/>
        <v>0</v>
      </c>
      <c r="V194" s="29">
        <f t="shared" si="54"/>
        <v>2056577.5373975032</v>
      </c>
      <c r="W194" s="29">
        <f t="shared" si="44"/>
        <v>2056577.5373975032</v>
      </c>
      <c r="X194" s="29">
        <f t="shared" si="55"/>
        <v>2056577.5373975032</v>
      </c>
      <c r="Y194">
        <f t="shared" si="56"/>
        <v>0</v>
      </c>
    </row>
    <row r="195" spans="1:25" x14ac:dyDescent="0.25">
      <c r="A195" s="4" t="s">
        <v>1035</v>
      </c>
      <c r="B195" s="7" t="s">
        <v>537</v>
      </c>
      <c r="C195" s="2" t="s">
        <v>1036</v>
      </c>
      <c r="D195">
        <f>VLOOKUP(B195,'Model allocations'!$A$1:$L$317,5,FALSE)</f>
        <v>27961.209980039668</v>
      </c>
      <c r="E195" s="31">
        <f>VLOOKUP(B195,'Initial adjusted formula count'!$A$1:$P$317,12,FALSE)</f>
        <v>0.14285714285714299</v>
      </c>
      <c r="F195">
        <f>VLOOKUP(B195,'Model allocations'!$A$1:$L$317,10,FALSE)</f>
        <v>23767.028483033719</v>
      </c>
      <c r="G195" s="30">
        <f t="shared" si="45"/>
        <v>0.85</v>
      </c>
      <c r="H195">
        <f t="shared" si="46"/>
        <v>23767.028483033719</v>
      </c>
      <c r="I195">
        <f t="shared" si="38"/>
        <v>0</v>
      </c>
      <c r="J195">
        <f t="shared" si="39"/>
        <v>23767.028483033719</v>
      </c>
      <c r="K195">
        <f t="shared" si="40"/>
        <v>23753.401625096038</v>
      </c>
      <c r="L195">
        <f t="shared" si="47"/>
        <v>23753.401625096038</v>
      </c>
      <c r="M195">
        <f t="shared" si="41"/>
        <v>23767.028483033719</v>
      </c>
      <c r="N195" s="29">
        <f t="shared" si="48"/>
        <v>0</v>
      </c>
      <c r="O195" s="29">
        <f t="shared" si="42"/>
        <v>0</v>
      </c>
      <c r="P195" s="29">
        <f t="shared" si="49"/>
        <v>23767.028483033719</v>
      </c>
      <c r="Q195">
        <f t="shared" si="50"/>
        <v>0</v>
      </c>
      <c r="R195" s="29">
        <f t="shared" si="51"/>
        <v>0</v>
      </c>
      <c r="S195" s="29">
        <f t="shared" si="43"/>
        <v>0</v>
      </c>
      <c r="T195" s="29">
        <f t="shared" si="52"/>
        <v>23767.028483033719</v>
      </c>
      <c r="U195">
        <f t="shared" si="53"/>
        <v>0</v>
      </c>
      <c r="V195" s="29">
        <f t="shared" si="54"/>
        <v>0</v>
      </c>
      <c r="W195" s="29">
        <f t="shared" si="44"/>
        <v>0</v>
      </c>
      <c r="X195" s="29">
        <f t="shared" si="55"/>
        <v>23767.028483033719</v>
      </c>
      <c r="Y195">
        <f t="shared" si="56"/>
        <v>0</v>
      </c>
    </row>
    <row r="196" spans="1:25" x14ac:dyDescent="0.25">
      <c r="A196" s="4" t="s">
        <v>1037</v>
      </c>
      <c r="B196" s="7" t="s">
        <v>191</v>
      </c>
      <c r="C196" s="2" t="s">
        <v>1038</v>
      </c>
      <c r="D196">
        <f>VLOOKUP(B196,'Model allocations'!$A$1:$L$317,5,FALSE)</f>
        <v>0</v>
      </c>
      <c r="E196" s="31">
        <f>VLOOKUP(B196,'Initial adjusted formula count'!$A$1:$P$317,12,FALSE)</f>
        <v>4.49438202247191E-2</v>
      </c>
      <c r="F196">
        <f>VLOOKUP(B196,'Model allocations'!$A$1:$L$317,10,FALSE)</f>
        <v>0</v>
      </c>
      <c r="G196" s="30">
        <f t="shared" si="45"/>
        <v>0.85</v>
      </c>
      <c r="H196">
        <f t="shared" si="46"/>
        <v>0</v>
      </c>
      <c r="I196">
        <f t="shared" ref="I196:I258" si="57">IF(F196&lt;H196,H196,0)</f>
        <v>0</v>
      </c>
      <c r="J196">
        <f t="shared" ref="J196:J258" si="58">IF(I196=0,F196,0)</f>
        <v>0</v>
      </c>
      <c r="K196">
        <f t="shared" ref="K196:K258" si="59">(J196/$J$3)*($F$3-$I$3)</f>
        <v>0</v>
      </c>
      <c r="L196">
        <f t="shared" si="47"/>
        <v>0</v>
      </c>
      <c r="M196">
        <f t="shared" ref="M196:M258" si="60">IF(L196&lt;H196,H196,0)</f>
        <v>0</v>
      </c>
      <c r="N196" s="29">
        <f t="shared" si="48"/>
        <v>0</v>
      </c>
      <c r="O196" s="29">
        <f t="shared" ref="O196:O258" si="61">((N196/$N$3)*($F$3-$I$3-$M$3))</f>
        <v>0</v>
      </c>
      <c r="P196" s="29">
        <f t="shared" si="49"/>
        <v>0</v>
      </c>
      <c r="Q196">
        <f t="shared" si="50"/>
        <v>0</v>
      </c>
      <c r="R196" s="29">
        <f t="shared" si="51"/>
        <v>0</v>
      </c>
      <c r="S196" s="29">
        <f t="shared" ref="S196:S258" si="62">((R196/$R$3)*($F$3-$I$3-$M$3-$Q$3))</f>
        <v>0</v>
      </c>
      <c r="T196" s="29">
        <f t="shared" si="52"/>
        <v>0</v>
      </c>
      <c r="U196">
        <f t="shared" si="53"/>
        <v>0</v>
      </c>
      <c r="V196" s="29">
        <f t="shared" si="54"/>
        <v>0</v>
      </c>
      <c r="W196" s="29">
        <f t="shared" ref="W196:W258" si="63">((V196/$V$3)*($F$3-$I$3-$M$3-$Q$3-$U$3))</f>
        <v>0</v>
      </c>
      <c r="X196" s="29">
        <f t="shared" si="55"/>
        <v>0</v>
      </c>
      <c r="Y196">
        <f t="shared" si="56"/>
        <v>0</v>
      </c>
    </row>
    <row r="197" spans="1:25" x14ac:dyDescent="0.25">
      <c r="A197" s="4" t="s">
        <v>1039</v>
      </c>
      <c r="B197" s="7" t="s">
        <v>294</v>
      </c>
      <c r="C197" s="2" t="s">
        <v>1040</v>
      </c>
      <c r="D197">
        <f>VLOOKUP(B197,'Model allocations'!$A$1:$L$317,5,FALSE)</f>
        <v>12757.7724962539</v>
      </c>
      <c r="E197" s="31">
        <f>VLOOKUP(B197,'Initial adjusted formula count'!$A$1:$P$317,12,FALSE)</f>
        <v>9.5238095238095205E-2</v>
      </c>
      <c r="F197">
        <f>VLOOKUP(B197,'Model allocations'!$A$1:$L$317,10,FALSE)</f>
        <v>10844.106621815814</v>
      </c>
      <c r="G197" s="30">
        <f t="shared" ref="G197:G259" si="64">IF(E197&lt;0.15,0.85,IF(AND(E197&gt;=0.15,E197&lt;0.3),0.9,0.95))</f>
        <v>0.85</v>
      </c>
      <c r="H197">
        <f t="shared" ref="H197:H259" si="65">IF(F197 = 0, 0, D197*G197)</f>
        <v>10844.106621815814</v>
      </c>
      <c r="I197">
        <f t="shared" si="57"/>
        <v>0</v>
      </c>
      <c r="J197">
        <f t="shared" si="58"/>
        <v>10844.106621815814</v>
      </c>
      <c r="K197">
        <f t="shared" si="59"/>
        <v>10837.889138612054</v>
      </c>
      <c r="L197">
        <f t="shared" ref="L197:L259" si="66">I197+K197</f>
        <v>10837.889138612054</v>
      </c>
      <c r="M197">
        <f t="shared" si="60"/>
        <v>10844.106621815814</v>
      </c>
      <c r="N197" s="29">
        <f t="shared" ref="N197:N259" si="67">IF($I197+$M197=0,L197,0)</f>
        <v>0</v>
      </c>
      <c r="O197" s="29">
        <f t="shared" si="61"/>
        <v>0</v>
      </c>
      <c r="P197" s="29">
        <f t="shared" ref="P197:P259" si="68">$I197+$M197+O197</f>
        <v>10844.106621815814</v>
      </c>
      <c r="Q197">
        <f t="shared" ref="Q197:Q259" si="69">IF(P197&lt;H197,H197,0)</f>
        <v>0</v>
      </c>
      <c r="R197" s="29">
        <f t="shared" ref="R197:R259" si="70">IF($I197+$M197+$Q197=0,P197,0)</f>
        <v>0</v>
      </c>
      <c r="S197" s="29">
        <f t="shared" si="62"/>
        <v>0</v>
      </c>
      <c r="T197" s="29">
        <f t="shared" ref="T197:T259" si="71">$I197+$M197+$Q197+S197</f>
        <v>10844.106621815814</v>
      </c>
      <c r="U197">
        <f t="shared" ref="U197:U259" si="72">IF(T197&lt;H197,H197,0)</f>
        <v>0</v>
      </c>
      <c r="V197" s="29">
        <f t="shared" ref="V197:V259" si="73">IF($I197+$M197+$Q197+U197=0,T197,0)</f>
        <v>0</v>
      </c>
      <c r="W197" s="29">
        <f t="shared" si="63"/>
        <v>0</v>
      </c>
      <c r="X197" s="29">
        <f t="shared" ref="X197:X259" si="74">$I197+$M197+$Q197+$U197+W197</f>
        <v>10844.106621815814</v>
      </c>
      <c r="Y197">
        <f t="shared" ref="Y197:Y259" si="75">IF(X197&lt;H197,H197,0)</f>
        <v>0</v>
      </c>
    </row>
    <row r="198" spans="1:25" x14ac:dyDescent="0.25">
      <c r="A198" s="4" t="s">
        <v>1041</v>
      </c>
      <c r="B198" s="7" t="s">
        <v>193</v>
      </c>
      <c r="C198" s="2" t="s">
        <v>1042</v>
      </c>
      <c r="D198">
        <f>VLOOKUP(B198,'Model allocations'!$A$1:$L$317,5,FALSE)</f>
        <v>0</v>
      </c>
      <c r="E198" s="31">
        <f>VLOOKUP(B198,'Initial adjusted formula count'!$A$1:$P$317,12,FALSE)</f>
        <v>4.4412364130434798E-2</v>
      </c>
      <c r="F198">
        <f>VLOOKUP(B198,'Model allocations'!$A$1:$L$317,10,FALSE)</f>
        <v>0</v>
      </c>
      <c r="G198" s="30">
        <f t="shared" si="64"/>
        <v>0.85</v>
      </c>
      <c r="H198">
        <f t="shared" si="65"/>
        <v>0</v>
      </c>
      <c r="I198">
        <f t="shared" si="57"/>
        <v>0</v>
      </c>
      <c r="J198">
        <f t="shared" si="58"/>
        <v>0</v>
      </c>
      <c r="K198">
        <f t="shared" si="59"/>
        <v>0</v>
      </c>
      <c r="L198">
        <f t="shared" si="66"/>
        <v>0</v>
      </c>
      <c r="M198">
        <f t="shared" si="60"/>
        <v>0</v>
      </c>
      <c r="N198" s="29">
        <f t="shared" si="67"/>
        <v>0</v>
      </c>
      <c r="O198" s="29">
        <f t="shared" si="61"/>
        <v>0</v>
      </c>
      <c r="P198" s="29">
        <f t="shared" si="68"/>
        <v>0</v>
      </c>
      <c r="Q198">
        <f t="shared" si="69"/>
        <v>0</v>
      </c>
      <c r="R198" s="29">
        <f t="shared" si="70"/>
        <v>0</v>
      </c>
      <c r="S198" s="29">
        <f t="shared" si="62"/>
        <v>0</v>
      </c>
      <c r="T198" s="29">
        <f t="shared" si="71"/>
        <v>0</v>
      </c>
      <c r="U198">
        <f t="shared" si="72"/>
        <v>0</v>
      </c>
      <c r="V198" s="29">
        <f t="shared" si="73"/>
        <v>0</v>
      </c>
      <c r="W198" s="29">
        <f t="shared" si="63"/>
        <v>0</v>
      </c>
      <c r="X198" s="29">
        <f t="shared" si="74"/>
        <v>0</v>
      </c>
      <c r="Y198">
        <f t="shared" si="75"/>
        <v>0</v>
      </c>
    </row>
    <row r="199" spans="1:25" x14ac:dyDescent="0.25">
      <c r="A199" s="4" t="s">
        <v>52</v>
      </c>
      <c r="B199" s="7" t="s">
        <v>83</v>
      </c>
      <c r="C199" s="2" t="s">
        <v>1043</v>
      </c>
      <c r="D199">
        <f>VLOOKUP(B199,'Model allocations'!$A$1:$L$317,5,FALSE)</f>
        <v>9506.4184457192769</v>
      </c>
      <c r="E199" s="31">
        <f>VLOOKUP(B199,'Initial adjusted formula count'!$A$1:$P$317,12,FALSE)</f>
        <v>8.8673742888640106E-2</v>
      </c>
      <c r="F199">
        <f>VLOOKUP(B199,'Model allocations'!$A$1:$L$317,10,FALSE)</f>
        <v>11689.466183766552</v>
      </c>
      <c r="G199" s="30">
        <f t="shared" si="64"/>
        <v>0.85</v>
      </c>
      <c r="H199">
        <f t="shared" si="65"/>
        <v>8080.4556788613854</v>
      </c>
      <c r="I199">
        <f t="shared" si="57"/>
        <v>0</v>
      </c>
      <c r="J199">
        <f t="shared" si="58"/>
        <v>11689.466183766552</v>
      </c>
      <c r="K199">
        <f t="shared" si="59"/>
        <v>11682.76401251417</v>
      </c>
      <c r="L199">
        <f t="shared" si="66"/>
        <v>11682.76401251417</v>
      </c>
      <c r="M199">
        <f t="shared" si="60"/>
        <v>0</v>
      </c>
      <c r="N199" s="29">
        <f t="shared" si="67"/>
        <v>11682.76401251417</v>
      </c>
      <c r="O199" s="29">
        <f t="shared" si="61"/>
        <v>11681.918852626643</v>
      </c>
      <c r="P199" s="29">
        <f t="shared" si="68"/>
        <v>11681.918852626643</v>
      </c>
      <c r="Q199">
        <f t="shared" si="69"/>
        <v>0</v>
      </c>
      <c r="R199" s="29">
        <f t="shared" si="70"/>
        <v>11681.918852626643</v>
      </c>
      <c r="S199" s="29">
        <f t="shared" si="62"/>
        <v>11681.91885262665</v>
      </c>
      <c r="T199" s="29">
        <f t="shared" si="71"/>
        <v>11681.91885262665</v>
      </c>
      <c r="U199">
        <f t="shared" si="72"/>
        <v>0</v>
      </c>
      <c r="V199" s="29">
        <f t="shared" si="73"/>
        <v>11681.91885262665</v>
      </c>
      <c r="W199" s="29">
        <f t="shared" si="63"/>
        <v>11681.918852626652</v>
      </c>
      <c r="X199" s="29">
        <f t="shared" si="74"/>
        <v>11681.918852626652</v>
      </c>
      <c r="Y199">
        <f t="shared" si="75"/>
        <v>0</v>
      </c>
    </row>
    <row r="200" spans="1:25" x14ac:dyDescent="0.25">
      <c r="A200" s="4" t="s">
        <v>1044</v>
      </c>
      <c r="B200" s="7" t="s">
        <v>539</v>
      </c>
      <c r="C200" s="2" t="s">
        <v>1045</v>
      </c>
      <c r="D200">
        <f>VLOOKUP(B200,'Model allocations'!$A$1:$L$317,5,FALSE)</f>
        <v>86794.640474281914</v>
      </c>
      <c r="E200" s="31">
        <f>VLOOKUP(B200,'Initial adjusted formula count'!$A$1:$P$317,12,FALSE)</f>
        <v>0.111772486772487</v>
      </c>
      <c r="F200">
        <f>VLOOKUP(B200,'Model allocations'!$A$1:$L$317,10,FALSE)</f>
        <v>73775.444403139627</v>
      </c>
      <c r="G200" s="30">
        <f t="shared" si="64"/>
        <v>0.85</v>
      </c>
      <c r="H200">
        <f t="shared" si="65"/>
        <v>73775.444403139627</v>
      </c>
      <c r="I200">
        <f t="shared" si="57"/>
        <v>0</v>
      </c>
      <c r="J200">
        <f t="shared" si="58"/>
        <v>73775.444403139627</v>
      </c>
      <c r="K200">
        <f t="shared" si="59"/>
        <v>73733.145152272453</v>
      </c>
      <c r="L200">
        <f t="shared" si="66"/>
        <v>73733.145152272453</v>
      </c>
      <c r="M200">
        <f t="shared" si="60"/>
        <v>73775.444403139627</v>
      </c>
      <c r="N200" s="29">
        <f t="shared" si="67"/>
        <v>0</v>
      </c>
      <c r="O200" s="29">
        <f t="shared" si="61"/>
        <v>0</v>
      </c>
      <c r="P200" s="29">
        <f t="shared" si="68"/>
        <v>73775.444403139627</v>
      </c>
      <c r="Q200">
        <f t="shared" si="69"/>
        <v>0</v>
      </c>
      <c r="R200" s="29">
        <f t="shared" si="70"/>
        <v>0</v>
      </c>
      <c r="S200" s="29">
        <f t="shared" si="62"/>
        <v>0</v>
      </c>
      <c r="T200" s="29">
        <f t="shared" si="71"/>
        <v>73775.444403139627</v>
      </c>
      <c r="U200">
        <f t="shared" si="72"/>
        <v>0</v>
      </c>
      <c r="V200" s="29">
        <f t="shared" si="73"/>
        <v>0</v>
      </c>
      <c r="W200" s="29">
        <f t="shared" si="63"/>
        <v>0</v>
      </c>
      <c r="X200" s="29">
        <f t="shared" si="74"/>
        <v>73775.444403139627</v>
      </c>
      <c r="Y200">
        <f t="shared" si="75"/>
        <v>0</v>
      </c>
    </row>
    <row r="201" spans="1:25" x14ac:dyDescent="0.25">
      <c r="A201" s="4" t="s">
        <v>1046</v>
      </c>
      <c r="B201" s="7" t="s">
        <v>541</v>
      </c>
      <c r="C201" s="2" t="s">
        <v>1047</v>
      </c>
      <c r="D201">
        <f>VLOOKUP(B201,'Model allocations'!$A$1:$L$317,5,FALSE)</f>
        <v>28684.726889394035</v>
      </c>
      <c r="E201" s="31">
        <f>VLOOKUP(B201,'Initial adjusted formula count'!$A$1:$P$317,12,FALSE)</f>
        <v>0.16253443526170799</v>
      </c>
      <c r="F201">
        <f>VLOOKUP(B201,'Model allocations'!$A$1:$L$317,10,FALSE)</f>
        <v>25816.25420045463</v>
      </c>
      <c r="G201" s="30">
        <f t="shared" si="64"/>
        <v>0.9</v>
      </c>
      <c r="H201">
        <f t="shared" si="65"/>
        <v>25816.25420045463</v>
      </c>
      <c r="I201">
        <f t="shared" si="57"/>
        <v>0</v>
      </c>
      <c r="J201">
        <f t="shared" si="58"/>
        <v>25816.25420045463</v>
      </c>
      <c r="K201">
        <f t="shared" si="59"/>
        <v>25801.452416179251</v>
      </c>
      <c r="L201">
        <f t="shared" si="66"/>
        <v>25801.452416179251</v>
      </c>
      <c r="M201">
        <f t="shared" si="60"/>
        <v>25816.25420045463</v>
      </c>
      <c r="N201" s="29">
        <f t="shared" si="67"/>
        <v>0</v>
      </c>
      <c r="O201" s="29">
        <f t="shared" si="61"/>
        <v>0</v>
      </c>
      <c r="P201" s="29">
        <f t="shared" si="68"/>
        <v>25816.25420045463</v>
      </c>
      <c r="Q201">
        <f t="shared" si="69"/>
        <v>0</v>
      </c>
      <c r="R201" s="29">
        <f t="shared" si="70"/>
        <v>0</v>
      </c>
      <c r="S201" s="29">
        <f t="shared" si="62"/>
        <v>0</v>
      </c>
      <c r="T201" s="29">
        <f t="shared" si="71"/>
        <v>25816.25420045463</v>
      </c>
      <c r="U201">
        <f t="shared" si="72"/>
        <v>0</v>
      </c>
      <c r="V201" s="29">
        <f t="shared" si="73"/>
        <v>0</v>
      </c>
      <c r="W201" s="29">
        <f t="shared" si="63"/>
        <v>0</v>
      </c>
      <c r="X201" s="29">
        <f t="shared" si="74"/>
        <v>25816.25420045463</v>
      </c>
      <c r="Y201">
        <f t="shared" si="75"/>
        <v>0</v>
      </c>
    </row>
    <row r="202" spans="1:25" x14ac:dyDescent="0.25">
      <c r="A202" s="4" t="s">
        <v>1048</v>
      </c>
      <c r="B202" s="7" t="s">
        <v>543</v>
      </c>
      <c r="C202" s="2" t="s">
        <v>1049</v>
      </c>
      <c r="D202">
        <f>VLOOKUP(B202,'Model allocations'!$A$1:$L$317,5,FALSE)</f>
        <v>244878.22741530291</v>
      </c>
      <c r="E202" s="31">
        <f>VLOOKUP(B202,'Initial adjusted formula count'!$A$1:$P$317,12,FALSE)</f>
        <v>0.142722783917235</v>
      </c>
      <c r="F202">
        <f>VLOOKUP(B202,'Model allocations'!$A$1:$L$317,10,FALSE)</f>
        <v>254538.78374359789</v>
      </c>
      <c r="G202" s="30">
        <f t="shared" si="64"/>
        <v>0.85</v>
      </c>
      <c r="H202">
        <f t="shared" si="65"/>
        <v>208146.49330300748</v>
      </c>
      <c r="I202">
        <f t="shared" si="57"/>
        <v>0</v>
      </c>
      <c r="J202">
        <f t="shared" si="58"/>
        <v>254538.78374359789</v>
      </c>
      <c r="K202">
        <f t="shared" si="59"/>
        <v>254392.843587546</v>
      </c>
      <c r="L202">
        <f t="shared" si="66"/>
        <v>254392.843587546</v>
      </c>
      <c r="M202">
        <f t="shared" si="60"/>
        <v>0</v>
      </c>
      <c r="N202" s="29">
        <f t="shared" si="67"/>
        <v>254392.843587546</v>
      </c>
      <c r="O202" s="29">
        <f t="shared" si="61"/>
        <v>254374.44018345053</v>
      </c>
      <c r="P202" s="29">
        <f t="shared" si="68"/>
        <v>254374.44018345053</v>
      </c>
      <c r="Q202">
        <f t="shared" si="69"/>
        <v>0</v>
      </c>
      <c r="R202" s="29">
        <f t="shared" si="70"/>
        <v>254374.44018345053</v>
      </c>
      <c r="S202" s="29">
        <f t="shared" si="62"/>
        <v>254374.44018345067</v>
      </c>
      <c r="T202" s="29">
        <f t="shared" si="71"/>
        <v>254374.44018345067</v>
      </c>
      <c r="U202">
        <f t="shared" si="72"/>
        <v>0</v>
      </c>
      <c r="V202" s="29">
        <f t="shared" si="73"/>
        <v>254374.44018345067</v>
      </c>
      <c r="W202" s="29">
        <f t="shared" si="63"/>
        <v>254374.4401834507</v>
      </c>
      <c r="X202" s="29">
        <f t="shared" si="74"/>
        <v>254374.4401834507</v>
      </c>
      <c r="Y202">
        <f t="shared" si="75"/>
        <v>0</v>
      </c>
    </row>
    <row r="203" spans="1:25" x14ac:dyDescent="0.25">
      <c r="A203" s="4" t="s">
        <v>1050</v>
      </c>
      <c r="B203" s="7" t="s">
        <v>545</v>
      </c>
      <c r="C203" s="2" t="s">
        <v>1051</v>
      </c>
      <c r="D203">
        <f>VLOOKUP(B203,'Model allocations'!$A$1:$L$317,5,FALSE)</f>
        <v>103432.00238795746</v>
      </c>
      <c r="E203" s="31">
        <f>VLOOKUP(B203,'Initial adjusted formula count'!$A$1:$P$317,12,FALSE)</f>
        <v>0.173180076628352</v>
      </c>
      <c r="F203">
        <f>VLOOKUP(B203,'Model allocations'!$A$1:$L$317,10,FALSE)</f>
        <v>101903.88919541935</v>
      </c>
      <c r="G203" s="30">
        <f t="shared" si="64"/>
        <v>0.9</v>
      </c>
      <c r="H203">
        <f t="shared" si="65"/>
        <v>93088.802149161711</v>
      </c>
      <c r="I203">
        <f t="shared" si="57"/>
        <v>0</v>
      </c>
      <c r="J203">
        <f t="shared" si="58"/>
        <v>101903.88919541935</v>
      </c>
      <c r="K203">
        <f t="shared" si="59"/>
        <v>101845.46246267259</v>
      </c>
      <c r="L203">
        <f t="shared" si="66"/>
        <v>101845.46246267259</v>
      </c>
      <c r="M203">
        <f t="shared" si="60"/>
        <v>0</v>
      </c>
      <c r="N203" s="29">
        <f t="shared" si="67"/>
        <v>101845.46246267259</v>
      </c>
      <c r="O203" s="29">
        <f t="shared" si="61"/>
        <v>101838.09471138462</v>
      </c>
      <c r="P203" s="29">
        <f t="shared" si="68"/>
        <v>101838.09471138462</v>
      </c>
      <c r="Q203">
        <f t="shared" si="69"/>
        <v>0</v>
      </c>
      <c r="R203" s="29">
        <f t="shared" si="70"/>
        <v>101838.09471138462</v>
      </c>
      <c r="S203" s="29">
        <f t="shared" si="62"/>
        <v>101838.09471138468</v>
      </c>
      <c r="T203" s="29">
        <f t="shared" si="71"/>
        <v>101838.09471138468</v>
      </c>
      <c r="U203">
        <f t="shared" si="72"/>
        <v>0</v>
      </c>
      <c r="V203" s="29">
        <f t="shared" si="73"/>
        <v>101838.09471138468</v>
      </c>
      <c r="W203" s="29">
        <f t="shared" si="63"/>
        <v>101838.09471138469</v>
      </c>
      <c r="X203" s="29">
        <f t="shared" si="74"/>
        <v>101838.09471138469</v>
      </c>
      <c r="Y203">
        <f t="shared" si="75"/>
        <v>0</v>
      </c>
    </row>
    <row r="204" spans="1:25" x14ac:dyDescent="0.25">
      <c r="A204" s="4" t="s">
        <v>1052</v>
      </c>
      <c r="B204" s="7" t="s">
        <v>547</v>
      </c>
      <c r="C204" s="2" t="s">
        <v>1053</v>
      </c>
      <c r="D204">
        <f>VLOOKUP(B204,'Model allocations'!$A$1:$L$317,5,FALSE)</f>
        <v>18931.762119502415</v>
      </c>
      <c r="E204" s="31">
        <f>VLOOKUP(B204,'Initial adjusted formula count'!$A$1:$P$317,12,FALSE)</f>
        <v>0.199421965317919</v>
      </c>
      <c r="F204">
        <f>VLOOKUP(B204,'Model allocations'!$A$1:$L$317,10,FALSE)</f>
        <v>33681.26796772227</v>
      </c>
      <c r="G204" s="30">
        <f t="shared" si="64"/>
        <v>0.9</v>
      </c>
      <c r="H204">
        <f t="shared" si="65"/>
        <v>17038.585907552173</v>
      </c>
      <c r="I204">
        <f t="shared" si="57"/>
        <v>0</v>
      </c>
      <c r="J204">
        <f t="shared" si="58"/>
        <v>33681.26796772227</v>
      </c>
      <c r="K204">
        <f t="shared" si="59"/>
        <v>33661.956767162017</v>
      </c>
      <c r="L204">
        <f t="shared" si="66"/>
        <v>33661.956767162017</v>
      </c>
      <c r="M204">
        <f t="shared" si="60"/>
        <v>0</v>
      </c>
      <c r="N204" s="29">
        <f t="shared" si="67"/>
        <v>33661.956767162017</v>
      </c>
      <c r="O204" s="29">
        <f t="shared" si="61"/>
        <v>33659.52157840319</v>
      </c>
      <c r="P204" s="29">
        <f t="shared" si="68"/>
        <v>33659.52157840319</v>
      </c>
      <c r="Q204">
        <f t="shared" si="69"/>
        <v>0</v>
      </c>
      <c r="R204" s="29">
        <f t="shared" si="70"/>
        <v>33659.52157840319</v>
      </c>
      <c r="S204" s="29">
        <f t="shared" si="62"/>
        <v>33659.521578403204</v>
      </c>
      <c r="T204" s="29">
        <f t="shared" si="71"/>
        <v>33659.521578403204</v>
      </c>
      <c r="U204">
        <f t="shared" si="72"/>
        <v>0</v>
      </c>
      <c r="V204" s="29">
        <f t="shared" si="73"/>
        <v>33659.521578403204</v>
      </c>
      <c r="W204" s="29">
        <f t="shared" si="63"/>
        <v>33659.521578403204</v>
      </c>
      <c r="X204" s="29">
        <f t="shared" si="74"/>
        <v>33659.521578403204</v>
      </c>
      <c r="Y204">
        <f t="shared" si="75"/>
        <v>0</v>
      </c>
    </row>
    <row r="205" spans="1:25" x14ac:dyDescent="0.25">
      <c r="A205" s="4" t="s">
        <v>33</v>
      </c>
      <c r="B205" s="7" t="s">
        <v>77</v>
      </c>
      <c r="C205" s="2" t="s">
        <v>1054</v>
      </c>
      <c r="D205">
        <f>VLOOKUP(B205,'Model allocations'!$A$1:$L$317,5,FALSE)</f>
        <v>46405.322580160318</v>
      </c>
      <c r="E205" s="31">
        <f>VLOOKUP(B205,'Initial adjusted formula count'!$A$1:$P$317,12,FALSE)</f>
        <v>9.0664664515611698E-2</v>
      </c>
      <c r="F205">
        <f>VLOOKUP(B205,'Model allocations'!$A$1:$L$317,10,FALSE)</f>
        <v>19072.976428855545</v>
      </c>
      <c r="G205" s="30">
        <f t="shared" si="64"/>
        <v>0.85</v>
      </c>
      <c r="H205">
        <f t="shared" si="65"/>
        <v>39444.524193136269</v>
      </c>
      <c r="I205">
        <f t="shared" si="57"/>
        <v>39444.524193136269</v>
      </c>
      <c r="J205">
        <f t="shared" si="58"/>
        <v>0</v>
      </c>
      <c r="K205">
        <f t="shared" si="59"/>
        <v>0</v>
      </c>
      <c r="L205">
        <f t="shared" si="66"/>
        <v>39444.524193136269</v>
      </c>
      <c r="M205">
        <f t="shared" si="60"/>
        <v>0</v>
      </c>
      <c r="N205" s="29">
        <f t="shared" si="67"/>
        <v>0</v>
      </c>
      <c r="O205" s="29">
        <f t="shared" si="61"/>
        <v>0</v>
      </c>
      <c r="P205" s="29">
        <f t="shared" si="68"/>
        <v>39444.524193136269</v>
      </c>
      <c r="Q205">
        <f t="shared" si="69"/>
        <v>0</v>
      </c>
      <c r="R205" s="29">
        <f t="shared" si="70"/>
        <v>0</v>
      </c>
      <c r="S205" s="29">
        <f t="shared" si="62"/>
        <v>0</v>
      </c>
      <c r="T205" s="29">
        <f t="shared" si="71"/>
        <v>39444.524193136269</v>
      </c>
      <c r="U205">
        <f t="shared" si="72"/>
        <v>0</v>
      </c>
      <c r="V205" s="29">
        <f t="shared" si="73"/>
        <v>0</v>
      </c>
      <c r="W205" s="29">
        <f t="shared" si="63"/>
        <v>0</v>
      </c>
      <c r="X205" s="29">
        <f t="shared" si="74"/>
        <v>39444.524193136269</v>
      </c>
      <c r="Y205">
        <f t="shared" si="75"/>
        <v>0</v>
      </c>
    </row>
    <row r="206" spans="1:25" x14ac:dyDescent="0.25">
      <c r="A206" s="4" t="s">
        <v>1055</v>
      </c>
      <c r="B206" s="7" t="s">
        <v>549</v>
      </c>
      <c r="C206" s="2" t="s">
        <v>1056</v>
      </c>
      <c r="D206">
        <f>VLOOKUP(B206,'Model allocations'!$A$1:$L$317,5,FALSE)</f>
        <v>138284.17548158282</v>
      </c>
      <c r="E206" s="31">
        <f>VLOOKUP(B206,'Initial adjusted formula count'!$A$1:$P$317,12,FALSE)</f>
        <v>0.121314808539478</v>
      </c>
      <c r="F206">
        <f>VLOOKUP(B206,'Model allocations'!$A$1:$L$317,10,FALSE)</f>
        <v>150123.36833642187</v>
      </c>
      <c r="G206" s="30">
        <f t="shared" si="64"/>
        <v>0.85</v>
      </c>
      <c r="H206">
        <f t="shared" si="65"/>
        <v>117541.54915934539</v>
      </c>
      <c r="I206">
        <f t="shared" si="57"/>
        <v>0</v>
      </c>
      <c r="J206">
        <f t="shared" si="58"/>
        <v>150123.36833642187</v>
      </c>
      <c r="K206">
        <f t="shared" si="59"/>
        <v>150037.29490006834</v>
      </c>
      <c r="L206">
        <f t="shared" si="66"/>
        <v>150037.29490006834</v>
      </c>
      <c r="M206">
        <f t="shared" si="60"/>
        <v>0</v>
      </c>
      <c r="N206" s="29">
        <f t="shared" si="67"/>
        <v>150037.29490006834</v>
      </c>
      <c r="O206" s="29">
        <f t="shared" si="61"/>
        <v>150026.44083307299</v>
      </c>
      <c r="P206" s="29">
        <f t="shared" si="68"/>
        <v>150026.44083307299</v>
      </c>
      <c r="Q206">
        <f t="shared" si="69"/>
        <v>0</v>
      </c>
      <c r="R206" s="29">
        <f t="shared" si="70"/>
        <v>150026.44083307299</v>
      </c>
      <c r="S206" s="29">
        <f t="shared" si="62"/>
        <v>150026.44083307308</v>
      </c>
      <c r="T206" s="29">
        <f t="shared" si="71"/>
        <v>150026.44083307308</v>
      </c>
      <c r="U206">
        <f t="shared" si="72"/>
        <v>0</v>
      </c>
      <c r="V206" s="29">
        <f t="shared" si="73"/>
        <v>150026.44083307308</v>
      </c>
      <c r="W206" s="29">
        <f t="shared" si="63"/>
        <v>150026.44083307308</v>
      </c>
      <c r="X206" s="29">
        <f t="shared" si="74"/>
        <v>150026.44083307308</v>
      </c>
      <c r="Y206">
        <f t="shared" si="75"/>
        <v>0</v>
      </c>
    </row>
    <row r="207" spans="1:25" x14ac:dyDescent="0.25">
      <c r="A207" s="4" t="s">
        <v>20</v>
      </c>
      <c r="B207" s="7" t="s">
        <v>58</v>
      </c>
      <c r="C207" s="2" t="s">
        <v>1057</v>
      </c>
      <c r="D207">
        <f>VLOOKUP(B207,'Model allocations'!$A$1:$L$317,5,FALSE)</f>
        <v>135403.25515904985</v>
      </c>
      <c r="E207" s="31">
        <f>VLOOKUP(B207,'Initial adjusted formula count'!$A$1:$P$317,12,FALSE)</f>
        <v>0.124369249035322</v>
      </c>
      <c r="F207">
        <f>VLOOKUP(B207,'Model allocations'!$A$1:$L$317,10,FALSE)</f>
        <v>175703.04841609151</v>
      </c>
      <c r="G207" s="30">
        <f t="shared" si="64"/>
        <v>0.85</v>
      </c>
      <c r="H207">
        <f t="shared" si="65"/>
        <v>115092.76688519237</v>
      </c>
      <c r="I207">
        <f t="shared" si="57"/>
        <v>0</v>
      </c>
      <c r="J207">
        <f t="shared" si="58"/>
        <v>175703.04841609151</v>
      </c>
      <c r="K207">
        <f t="shared" si="59"/>
        <v>175602.30883555484</v>
      </c>
      <c r="L207">
        <f t="shared" si="66"/>
        <v>175602.30883555484</v>
      </c>
      <c r="M207">
        <f t="shared" si="60"/>
        <v>0</v>
      </c>
      <c r="N207" s="29">
        <f t="shared" si="67"/>
        <v>175602.30883555484</v>
      </c>
      <c r="O207" s="29">
        <f t="shared" si="61"/>
        <v>175589.60533256308</v>
      </c>
      <c r="P207" s="29">
        <f t="shared" si="68"/>
        <v>175589.60533256308</v>
      </c>
      <c r="Q207">
        <f t="shared" si="69"/>
        <v>0</v>
      </c>
      <c r="R207" s="29">
        <f t="shared" si="70"/>
        <v>175589.60533256308</v>
      </c>
      <c r="S207" s="29">
        <f t="shared" si="62"/>
        <v>175589.60533256319</v>
      </c>
      <c r="T207" s="29">
        <f t="shared" si="71"/>
        <v>175589.60533256319</v>
      </c>
      <c r="U207">
        <f t="shared" si="72"/>
        <v>0</v>
      </c>
      <c r="V207" s="29">
        <f t="shared" si="73"/>
        <v>175589.60533256319</v>
      </c>
      <c r="W207" s="29">
        <f t="shared" si="63"/>
        <v>175589.60533256322</v>
      </c>
      <c r="X207" s="29">
        <f t="shared" si="74"/>
        <v>175589.60533256322</v>
      </c>
      <c r="Y207">
        <f t="shared" si="75"/>
        <v>0</v>
      </c>
    </row>
    <row r="208" spans="1:25" x14ac:dyDescent="0.25">
      <c r="A208" s="4" t="s">
        <v>1058</v>
      </c>
      <c r="B208" s="7" t="s">
        <v>195</v>
      </c>
      <c r="C208" s="2" t="s">
        <v>1059</v>
      </c>
      <c r="D208">
        <f>VLOOKUP(B208,'Model allocations'!$A$1:$L$317,5,FALSE)</f>
        <v>996798.43159640976</v>
      </c>
      <c r="E208" s="31">
        <f>VLOOKUP(B208,'Initial adjusted formula count'!$A$1:$P$317,12,FALSE)</f>
        <v>8.1236408822615694E-2</v>
      </c>
      <c r="F208">
        <f>VLOOKUP(B208,'Model allocations'!$A$1:$L$317,10,FALSE)</f>
        <v>1171004.2069258597</v>
      </c>
      <c r="G208" s="30">
        <f t="shared" si="64"/>
        <v>0.85</v>
      </c>
      <c r="H208">
        <f t="shared" si="65"/>
        <v>847278.66685694829</v>
      </c>
      <c r="I208">
        <f t="shared" si="57"/>
        <v>0</v>
      </c>
      <c r="J208">
        <f t="shared" si="58"/>
        <v>1171004.2069258597</v>
      </c>
      <c r="K208">
        <f t="shared" si="59"/>
        <v>1170332.8100794428</v>
      </c>
      <c r="L208">
        <f t="shared" si="66"/>
        <v>1170332.8100794428</v>
      </c>
      <c r="M208">
        <f t="shared" si="60"/>
        <v>0</v>
      </c>
      <c r="N208" s="29">
        <f t="shared" si="67"/>
        <v>1170332.8100794428</v>
      </c>
      <c r="O208" s="29">
        <f t="shared" si="61"/>
        <v>1170248.1453250169</v>
      </c>
      <c r="P208" s="29">
        <f t="shared" si="68"/>
        <v>1170248.1453250169</v>
      </c>
      <c r="Q208">
        <f t="shared" si="69"/>
        <v>0</v>
      </c>
      <c r="R208" s="29">
        <f t="shared" si="70"/>
        <v>1170248.1453250169</v>
      </c>
      <c r="S208" s="29">
        <f t="shared" si="62"/>
        <v>1170248.1453250176</v>
      </c>
      <c r="T208" s="29">
        <f t="shared" si="71"/>
        <v>1170248.1453250176</v>
      </c>
      <c r="U208">
        <f t="shared" si="72"/>
        <v>0</v>
      </c>
      <c r="V208" s="29">
        <f t="shared" si="73"/>
        <v>1170248.1453250176</v>
      </c>
      <c r="W208" s="29">
        <f t="shared" si="63"/>
        <v>1170248.1453250179</v>
      </c>
      <c r="X208" s="29">
        <f t="shared" si="74"/>
        <v>1170248.1453250179</v>
      </c>
      <c r="Y208">
        <f t="shared" si="75"/>
        <v>0</v>
      </c>
    </row>
    <row r="209" spans="1:25" x14ac:dyDescent="0.25">
      <c r="A209" s="4" t="s">
        <v>1060</v>
      </c>
      <c r="B209" s="7" t="s">
        <v>551</v>
      </c>
      <c r="C209" s="2" t="s">
        <v>1061</v>
      </c>
      <c r="D209">
        <f>VLOOKUP(B209,'Model allocations'!$A$1:$L$317,5,FALSE)</f>
        <v>8011.4278569181315</v>
      </c>
      <c r="E209" s="31">
        <f>VLOOKUP(B209,'Initial adjusted formula count'!$A$1:$P$317,12,FALSE)</f>
        <v>0.29032258064516098</v>
      </c>
      <c r="F209">
        <f>VLOOKUP(B209,'Model allocations'!$A$1:$L$317,10,FALSE)</f>
        <v>0</v>
      </c>
      <c r="G209" s="30">
        <f t="shared" si="64"/>
        <v>0.9</v>
      </c>
      <c r="H209">
        <f t="shared" si="65"/>
        <v>0</v>
      </c>
      <c r="I209">
        <f t="shared" si="57"/>
        <v>0</v>
      </c>
      <c r="J209">
        <f t="shared" si="58"/>
        <v>0</v>
      </c>
      <c r="K209">
        <f t="shared" si="59"/>
        <v>0</v>
      </c>
      <c r="L209">
        <f t="shared" si="66"/>
        <v>0</v>
      </c>
      <c r="M209">
        <f t="shared" si="60"/>
        <v>0</v>
      </c>
      <c r="N209" s="29">
        <f t="shared" si="67"/>
        <v>0</v>
      </c>
      <c r="O209" s="29">
        <f t="shared" si="61"/>
        <v>0</v>
      </c>
      <c r="P209" s="29">
        <f t="shared" si="68"/>
        <v>0</v>
      </c>
      <c r="Q209">
        <f t="shared" si="69"/>
        <v>0</v>
      </c>
      <c r="R209" s="29">
        <f t="shared" si="70"/>
        <v>0</v>
      </c>
      <c r="S209" s="29">
        <f t="shared" si="62"/>
        <v>0</v>
      </c>
      <c r="T209" s="29">
        <f t="shared" si="71"/>
        <v>0</v>
      </c>
      <c r="U209">
        <f t="shared" si="72"/>
        <v>0</v>
      </c>
      <c r="V209" s="29">
        <f t="shared" si="73"/>
        <v>0</v>
      </c>
      <c r="W209" s="29">
        <f t="shared" si="63"/>
        <v>0</v>
      </c>
      <c r="X209" s="29">
        <f t="shared" si="74"/>
        <v>0</v>
      </c>
      <c r="Y209">
        <f t="shared" si="75"/>
        <v>0</v>
      </c>
    </row>
    <row r="210" spans="1:25" x14ac:dyDescent="0.25">
      <c r="A210" s="4" t="s">
        <v>1062</v>
      </c>
      <c r="B210" s="7" t="s">
        <v>553</v>
      </c>
      <c r="C210" s="2" t="s">
        <v>1063</v>
      </c>
      <c r="D210">
        <f>VLOOKUP(B210,'Model allocations'!$A$1:$L$317,5,FALSE)</f>
        <v>11935.241336208044</v>
      </c>
      <c r="E210" s="31">
        <f>VLOOKUP(B210,'Initial adjusted formula count'!$A$1:$P$317,12,FALSE)</f>
        <v>0.16062176165803099</v>
      </c>
      <c r="F210">
        <f>VLOOKUP(B210,'Model allocations'!$A$1:$L$317,10,FALSE)</f>
        <v>13292.187216087945</v>
      </c>
      <c r="G210" s="30">
        <f t="shared" si="64"/>
        <v>0.9</v>
      </c>
      <c r="H210">
        <f t="shared" si="65"/>
        <v>10741.717202587241</v>
      </c>
      <c r="I210">
        <f t="shared" si="57"/>
        <v>0</v>
      </c>
      <c r="J210">
        <f t="shared" si="58"/>
        <v>13292.187216087945</v>
      </c>
      <c r="K210">
        <f t="shared" si="59"/>
        <v>13284.56612256319</v>
      </c>
      <c r="L210">
        <f t="shared" si="66"/>
        <v>13284.56612256319</v>
      </c>
      <c r="M210">
        <f t="shared" si="60"/>
        <v>0</v>
      </c>
      <c r="N210" s="29">
        <f t="shared" si="67"/>
        <v>13284.56612256319</v>
      </c>
      <c r="O210" s="29">
        <f t="shared" si="61"/>
        <v>13283.605084370689</v>
      </c>
      <c r="P210" s="29">
        <f t="shared" si="68"/>
        <v>13283.605084370689</v>
      </c>
      <c r="Q210">
        <f t="shared" si="69"/>
        <v>0</v>
      </c>
      <c r="R210" s="29">
        <f t="shared" si="70"/>
        <v>13283.605084370689</v>
      </c>
      <c r="S210" s="29">
        <f t="shared" si="62"/>
        <v>13283.605084370696</v>
      </c>
      <c r="T210" s="29">
        <f t="shared" si="71"/>
        <v>13283.605084370696</v>
      </c>
      <c r="U210">
        <f t="shared" si="72"/>
        <v>0</v>
      </c>
      <c r="V210" s="29">
        <f t="shared" si="73"/>
        <v>13283.605084370696</v>
      </c>
      <c r="W210" s="29">
        <f t="shared" si="63"/>
        <v>13283.605084370696</v>
      </c>
      <c r="X210" s="29">
        <f t="shared" si="74"/>
        <v>13283.605084370696</v>
      </c>
      <c r="Y210">
        <f t="shared" si="75"/>
        <v>0</v>
      </c>
    </row>
    <row r="211" spans="1:25" x14ac:dyDescent="0.25">
      <c r="A211" s="4" t="s">
        <v>1064</v>
      </c>
      <c r="B211" s="7" t="s">
        <v>555</v>
      </c>
      <c r="C211" s="2" t="s">
        <v>1065</v>
      </c>
      <c r="D211">
        <f>VLOOKUP(B211,'Model allocations'!$A$1:$L$317,5,FALSE)</f>
        <v>159884.36766561729</v>
      </c>
      <c r="E211" s="31">
        <f>VLOOKUP(B211,'Initial adjusted formula count'!$A$1:$P$317,12,FALSE)</f>
        <v>0.187607573149742</v>
      </c>
      <c r="F211">
        <f>VLOOKUP(B211,'Model allocations'!$A$1:$L$317,10,FALSE)</f>
        <v>143895.93089905556</v>
      </c>
      <c r="G211" s="30">
        <f t="shared" si="64"/>
        <v>0.9</v>
      </c>
      <c r="H211">
        <f t="shared" si="65"/>
        <v>143895.93089905556</v>
      </c>
      <c r="I211">
        <f t="shared" si="57"/>
        <v>0</v>
      </c>
      <c r="J211">
        <f t="shared" si="58"/>
        <v>143895.93089905556</v>
      </c>
      <c r="K211">
        <f t="shared" si="59"/>
        <v>143813.42797238252</v>
      </c>
      <c r="L211">
        <f t="shared" si="66"/>
        <v>143813.42797238252</v>
      </c>
      <c r="M211">
        <f t="shared" si="60"/>
        <v>143895.93089905556</v>
      </c>
      <c r="N211" s="29">
        <f t="shared" si="67"/>
        <v>0</v>
      </c>
      <c r="O211" s="29">
        <f t="shared" si="61"/>
        <v>0</v>
      </c>
      <c r="P211" s="29">
        <f t="shared" si="68"/>
        <v>143895.93089905556</v>
      </c>
      <c r="Q211">
        <f t="shared" si="69"/>
        <v>0</v>
      </c>
      <c r="R211" s="29">
        <f t="shared" si="70"/>
        <v>0</v>
      </c>
      <c r="S211" s="29">
        <f t="shared" si="62"/>
        <v>0</v>
      </c>
      <c r="T211" s="29">
        <f t="shared" si="71"/>
        <v>143895.93089905556</v>
      </c>
      <c r="U211">
        <f t="shared" si="72"/>
        <v>0</v>
      </c>
      <c r="V211" s="29">
        <f t="shared" si="73"/>
        <v>0</v>
      </c>
      <c r="W211" s="29">
        <f t="shared" si="63"/>
        <v>0</v>
      </c>
      <c r="X211" s="29">
        <f t="shared" si="74"/>
        <v>143895.93089905556</v>
      </c>
      <c r="Y211">
        <f t="shared" si="75"/>
        <v>0</v>
      </c>
    </row>
    <row r="212" spans="1:25" x14ac:dyDescent="0.25">
      <c r="A212" s="4" t="s">
        <v>1066</v>
      </c>
      <c r="B212" s="7" t="s">
        <v>445</v>
      </c>
      <c r="C212" s="2" t="s">
        <v>1067</v>
      </c>
      <c r="D212">
        <f>VLOOKUP(B212,'Model allocations'!$A$1:$L$317,5,FALSE)</f>
        <v>20913.238539338301</v>
      </c>
      <c r="E212" s="31">
        <f>VLOOKUP(B212,'Initial adjusted formula count'!$A$1:$P$317,12,FALSE)</f>
        <v>0.17714285714285699</v>
      </c>
      <c r="F212">
        <f>VLOOKUP(B212,'Model allocations'!$A$1:$L$317,10,FALSE)</f>
        <v>18821.91468540447</v>
      </c>
      <c r="G212" s="30">
        <f t="shared" si="64"/>
        <v>0.9</v>
      </c>
      <c r="H212">
        <f t="shared" si="65"/>
        <v>18821.91468540447</v>
      </c>
      <c r="I212">
        <f t="shared" si="57"/>
        <v>0</v>
      </c>
      <c r="J212">
        <f t="shared" si="58"/>
        <v>18821.91468540447</v>
      </c>
      <c r="K212">
        <f t="shared" si="59"/>
        <v>18811.12311515343</v>
      </c>
      <c r="L212">
        <f t="shared" si="66"/>
        <v>18811.12311515343</v>
      </c>
      <c r="M212">
        <f t="shared" si="60"/>
        <v>18821.91468540447</v>
      </c>
      <c r="N212" s="29">
        <f t="shared" si="67"/>
        <v>0</v>
      </c>
      <c r="O212" s="29">
        <f t="shared" si="61"/>
        <v>0</v>
      </c>
      <c r="P212" s="29">
        <f t="shared" si="68"/>
        <v>18821.91468540447</v>
      </c>
      <c r="Q212">
        <f t="shared" si="69"/>
        <v>0</v>
      </c>
      <c r="R212" s="29">
        <f t="shared" si="70"/>
        <v>0</v>
      </c>
      <c r="S212" s="29">
        <f t="shared" si="62"/>
        <v>0</v>
      </c>
      <c r="T212" s="29">
        <f t="shared" si="71"/>
        <v>18821.91468540447</v>
      </c>
      <c r="U212">
        <f t="shared" si="72"/>
        <v>0</v>
      </c>
      <c r="V212" s="29">
        <f t="shared" si="73"/>
        <v>0</v>
      </c>
      <c r="W212" s="29">
        <f t="shared" si="63"/>
        <v>0</v>
      </c>
      <c r="X212" s="29">
        <f t="shared" si="74"/>
        <v>18821.91468540447</v>
      </c>
      <c r="Y212">
        <f t="shared" si="75"/>
        <v>0</v>
      </c>
    </row>
    <row r="213" spans="1:25" x14ac:dyDescent="0.25">
      <c r="A213" s="4" t="s">
        <v>1068</v>
      </c>
      <c r="B213" s="7" t="s">
        <v>557</v>
      </c>
      <c r="C213" s="2" t="s">
        <v>1069</v>
      </c>
      <c r="D213">
        <f>VLOOKUP(B213,'Model allocations'!$A$1:$L$317,5,FALSE)</f>
        <v>192610.10156363333</v>
      </c>
      <c r="E213" s="31">
        <f>VLOOKUP(B213,'Initial adjusted formula count'!$A$1:$P$317,12,FALSE)</f>
        <v>0.14040114613180499</v>
      </c>
      <c r="F213">
        <f>VLOOKUP(B213,'Model allocations'!$A$1:$L$317,10,FALSE)</f>
        <v>184928.50680548057</v>
      </c>
      <c r="G213" s="30">
        <f t="shared" si="64"/>
        <v>0.85</v>
      </c>
      <c r="H213">
        <f t="shared" si="65"/>
        <v>163718.58632908834</v>
      </c>
      <c r="I213">
        <f t="shared" si="57"/>
        <v>0</v>
      </c>
      <c r="J213">
        <f t="shared" si="58"/>
        <v>184928.50680548057</v>
      </c>
      <c r="K213">
        <f t="shared" si="59"/>
        <v>184822.47779589426</v>
      </c>
      <c r="L213">
        <f t="shared" si="66"/>
        <v>184822.47779589426</v>
      </c>
      <c r="M213">
        <f t="shared" si="60"/>
        <v>0</v>
      </c>
      <c r="N213" s="29">
        <f t="shared" si="67"/>
        <v>184822.47779589426</v>
      </c>
      <c r="O213" s="29">
        <f t="shared" si="61"/>
        <v>184809.10728319886</v>
      </c>
      <c r="P213" s="29">
        <f t="shared" si="68"/>
        <v>184809.10728319886</v>
      </c>
      <c r="Q213">
        <f t="shared" si="69"/>
        <v>0</v>
      </c>
      <c r="R213" s="29">
        <f t="shared" si="70"/>
        <v>184809.10728319886</v>
      </c>
      <c r="S213" s="29">
        <f t="shared" si="62"/>
        <v>184809.10728319894</v>
      </c>
      <c r="T213" s="29">
        <f t="shared" si="71"/>
        <v>184809.10728319894</v>
      </c>
      <c r="U213">
        <f t="shared" si="72"/>
        <v>0</v>
      </c>
      <c r="V213" s="29">
        <f t="shared" si="73"/>
        <v>184809.10728319894</v>
      </c>
      <c r="W213" s="29">
        <f t="shared" si="63"/>
        <v>184809.10728319894</v>
      </c>
      <c r="X213" s="29">
        <f t="shared" si="74"/>
        <v>184809.10728319894</v>
      </c>
      <c r="Y213">
        <f t="shared" si="75"/>
        <v>0</v>
      </c>
    </row>
    <row r="214" spans="1:25" x14ac:dyDescent="0.25">
      <c r="A214" s="4" t="s">
        <v>1070</v>
      </c>
      <c r="B214" s="7" t="s">
        <v>197</v>
      </c>
      <c r="C214" s="2" t="s">
        <v>1071</v>
      </c>
      <c r="D214">
        <f>VLOOKUP(B214,'Model allocations'!$A$1:$L$317,5,FALSE)</f>
        <v>53744.340997568514</v>
      </c>
      <c r="E214" s="31">
        <f>VLOOKUP(B214,'Initial adjusted formula count'!$A$1:$P$317,12,FALSE)</f>
        <v>8.6744639376218305E-2</v>
      </c>
      <c r="F214">
        <f>VLOOKUP(B214,'Model allocations'!$A$1:$L$317,10,FALSE)</f>
        <v>45682.689847933238</v>
      </c>
      <c r="G214" s="30">
        <f t="shared" si="64"/>
        <v>0.85</v>
      </c>
      <c r="H214">
        <f t="shared" si="65"/>
        <v>45682.689847933238</v>
      </c>
      <c r="I214">
        <f t="shared" si="57"/>
        <v>0</v>
      </c>
      <c r="J214">
        <f t="shared" si="58"/>
        <v>45682.689847933238</v>
      </c>
      <c r="K214">
        <f t="shared" si="59"/>
        <v>45656.497615899971</v>
      </c>
      <c r="L214">
        <f t="shared" si="66"/>
        <v>45656.497615899971</v>
      </c>
      <c r="M214">
        <f t="shared" si="60"/>
        <v>45682.689847933238</v>
      </c>
      <c r="N214" s="29">
        <f t="shared" si="67"/>
        <v>0</v>
      </c>
      <c r="O214" s="29">
        <f t="shared" si="61"/>
        <v>0</v>
      </c>
      <c r="P214" s="29">
        <f t="shared" si="68"/>
        <v>45682.689847933238</v>
      </c>
      <c r="Q214">
        <f t="shared" si="69"/>
        <v>0</v>
      </c>
      <c r="R214" s="29">
        <f t="shared" si="70"/>
        <v>0</v>
      </c>
      <c r="S214" s="29">
        <f t="shared" si="62"/>
        <v>0</v>
      </c>
      <c r="T214" s="29">
        <f t="shared" si="71"/>
        <v>45682.689847933238</v>
      </c>
      <c r="U214">
        <f t="shared" si="72"/>
        <v>0</v>
      </c>
      <c r="V214" s="29">
        <f t="shared" si="73"/>
        <v>0</v>
      </c>
      <c r="W214" s="29">
        <f t="shared" si="63"/>
        <v>0</v>
      </c>
      <c r="X214" s="29">
        <f t="shared" si="74"/>
        <v>45682.689847933238</v>
      </c>
      <c r="Y214">
        <f t="shared" si="75"/>
        <v>0</v>
      </c>
    </row>
    <row r="215" spans="1:25" x14ac:dyDescent="0.25">
      <c r="A215" s="4" t="s">
        <v>15</v>
      </c>
      <c r="B215" s="7" t="s">
        <v>69</v>
      </c>
      <c r="C215" s="2" t="s">
        <v>1072</v>
      </c>
      <c r="D215">
        <f>VLOOKUP(B215,'Model allocations'!$A$1:$L$317,5,FALSE)</f>
        <v>36072.271866129835</v>
      </c>
      <c r="E215" s="31">
        <f>VLOOKUP(B215,'Initial adjusted formula count'!$A$1:$P$317,12,FALSE)</f>
        <v>0.172194800399085</v>
      </c>
      <c r="F215">
        <f>VLOOKUP(B215,'Model allocations'!$A$1:$L$317,10,FALSE)</f>
        <v>45157.363380816882</v>
      </c>
      <c r="G215" s="30">
        <f t="shared" si="64"/>
        <v>0.9</v>
      </c>
      <c r="H215">
        <f t="shared" si="65"/>
        <v>32465.044679516854</v>
      </c>
      <c r="I215">
        <f t="shared" si="57"/>
        <v>0</v>
      </c>
      <c r="J215">
        <f t="shared" si="58"/>
        <v>45157.363380816882</v>
      </c>
      <c r="K215">
        <f t="shared" si="59"/>
        <v>45131.472345424299</v>
      </c>
      <c r="L215">
        <f t="shared" si="66"/>
        <v>45131.472345424299</v>
      </c>
      <c r="M215">
        <f t="shared" si="60"/>
        <v>0</v>
      </c>
      <c r="N215" s="29">
        <f t="shared" si="67"/>
        <v>45131.472345424299</v>
      </c>
      <c r="O215" s="29">
        <f t="shared" si="61"/>
        <v>45128.207423694257</v>
      </c>
      <c r="P215" s="29">
        <f t="shared" si="68"/>
        <v>45128.207423694257</v>
      </c>
      <c r="Q215">
        <f t="shared" si="69"/>
        <v>0</v>
      </c>
      <c r="R215" s="29">
        <f t="shared" si="70"/>
        <v>45128.207423694257</v>
      </c>
      <c r="S215" s="29">
        <f t="shared" si="62"/>
        <v>45128.207423694286</v>
      </c>
      <c r="T215" s="29">
        <f t="shared" si="71"/>
        <v>45128.207423694286</v>
      </c>
      <c r="U215">
        <f t="shared" si="72"/>
        <v>0</v>
      </c>
      <c r="V215" s="29">
        <f t="shared" si="73"/>
        <v>45128.207423694286</v>
      </c>
      <c r="W215" s="29">
        <f t="shared" si="63"/>
        <v>45128.207423694294</v>
      </c>
      <c r="X215" s="29">
        <f t="shared" si="74"/>
        <v>45128.207423694294</v>
      </c>
      <c r="Y215">
        <f t="shared" si="75"/>
        <v>0</v>
      </c>
    </row>
    <row r="216" spans="1:25" x14ac:dyDescent="0.25">
      <c r="A216" s="4" t="s">
        <v>21</v>
      </c>
      <c r="B216" s="7" t="s">
        <v>71</v>
      </c>
      <c r="C216" s="2" t="s">
        <v>1073</v>
      </c>
      <c r="D216">
        <f>VLOOKUP(B216,'Model allocations'!$A$1:$L$317,5,FALSE)</f>
        <v>40386.296278302019</v>
      </c>
      <c r="E216" s="31">
        <f>VLOOKUP(B216,'Initial adjusted formula count'!$A$1:$P$317,12,FALSE)</f>
        <v>0.143722761819817</v>
      </c>
      <c r="F216">
        <f>VLOOKUP(B216,'Model allocations'!$A$1:$L$317,10,FALSE)</f>
        <v>18151.436812413038</v>
      </c>
      <c r="G216" s="30">
        <f t="shared" si="64"/>
        <v>0.85</v>
      </c>
      <c r="H216">
        <f t="shared" si="65"/>
        <v>34328.351836556714</v>
      </c>
      <c r="I216">
        <f t="shared" si="57"/>
        <v>34328.351836556714</v>
      </c>
      <c r="J216">
        <f t="shared" si="58"/>
        <v>0</v>
      </c>
      <c r="K216">
        <f t="shared" si="59"/>
        <v>0</v>
      </c>
      <c r="L216">
        <f t="shared" si="66"/>
        <v>34328.351836556714</v>
      </c>
      <c r="M216">
        <f t="shared" si="60"/>
        <v>0</v>
      </c>
      <c r="N216" s="29">
        <f t="shared" si="67"/>
        <v>0</v>
      </c>
      <c r="O216" s="29">
        <f t="shared" si="61"/>
        <v>0</v>
      </c>
      <c r="P216" s="29">
        <f t="shared" si="68"/>
        <v>34328.351836556714</v>
      </c>
      <c r="Q216">
        <f t="shared" si="69"/>
        <v>0</v>
      </c>
      <c r="R216" s="29">
        <f t="shared" si="70"/>
        <v>0</v>
      </c>
      <c r="S216" s="29">
        <f t="shared" si="62"/>
        <v>0</v>
      </c>
      <c r="T216" s="29">
        <f t="shared" si="71"/>
        <v>34328.351836556714</v>
      </c>
      <c r="U216">
        <f t="shared" si="72"/>
        <v>0</v>
      </c>
      <c r="V216" s="29">
        <f t="shared" si="73"/>
        <v>0</v>
      </c>
      <c r="W216" s="29">
        <f t="shared" si="63"/>
        <v>0</v>
      </c>
      <c r="X216" s="29">
        <f t="shared" si="74"/>
        <v>34328.351836556714</v>
      </c>
      <c r="Y216">
        <f t="shared" si="75"/>
        <v>0</v>
      </c>
    </row>
    <row r="217" spans="1:25" x14ac:dyDescent="0.25">
      <c r="A217" s="4" t="s">
        <v>1074</v>
      </c>
      <c r="B217" s="7" t="s">
        <v>559</v>
      </c>
      <c r="C217" s="2" t="s">
        <v>1075</v>
      </c>
      <c r="D217">
        <f>VLOOKUP(B217,'Model allocations'!$A$1:$L$317,5,FALSE)</f>
        <v>49696.431169756048</v>
      </c>
      <c r="E217" s="31">
        <f>VLOOKUP(B217,'Initial adjusted formula count'!$A$1:$P$317,12,FALSE)</f>
        <v>0.19512195121951201</v>
      </c>
      <c r="F217">
        <f>VLOOKUP(B217,'Model allocations'!$A$1:$L$317,10,FALSE)</f>
        <v>57926.338722710592</v>
      </c>
      <c r="G217" s="30">
        <f t="shared" si="64"/>
        <v>0.9</v>
      </c>
      <c r="H217">
        <f t="shared" si="65"/>
        <v>44726.788052780445</v>
      </c>
      <c r="I217">
        <f t="shared" si="57"/>
        <v>0</v>
      </c>
      <c r="J217">
        <f t="shared" si="58"/>
        <v>57926.338722710592</v>
      </c>
      <c r="K217">
        <f t="shared" si="59"/>
        <v>57893.126578029238</v>
      </c>
      <c r="L217">
        <f t="shared" si="66"/>
        <v>57893.126578029238</v>
      </c>
      <c r="M217">
        <f t="shared" si="60"/>
        <v>0</v>
      </c>
      <c r="N217" s="29">
        <f t="shared" si="67"/>
        <v>57893.126578029238</v>
      </c>
      <c r="O217" s="29">
        <f t="shared" si="61"/>
        <v>57888.938446839144</v>
      </c>
      <c r="P217" s="29">
        <f t="shared" si="68"/>
        <v>57888.938446839144</v>
      </c>
      <c r="Q217">
        <f t="shared" si="69"/>
        <v>0</v>
      </c>
      <c r="R217" s="29">
        <f t="shared" si="70"/>
        <v>57888.938446839144</v>
      </c>
      <c r="S217" s="29">
        <f t="shared" si="62"/>
        <v>57888.93844683918</v>
      </c>
      <c r="T217" s="29">
        <f t="shared" si="71"/>
        <v>57888.93844683918</v>
      </c>
      <c r="U217">
        <f t="shared" si="72"/>
        <v>0</v>
      </c>
      <c r="V217" s="29">
        <f t="shared" si="73"/>
        <v>57888.93844683918</v>
      </c>
      <c r="W217" s="29">
        <f t="shared" si="63"/>
        <v>57888.938446839187</v>
      </c>
      <c r="X217" s="29">
        <f t="shared" si="74"/>
        <v>57888.938446839187</v>
      </c>
      <c r="Y217">
        <f t="shared" si="75"/>
        <v>0</v>
      </c>
    </row>
    <row r="218" spans="1:25" x14ac:dyDescent="0.25">
      <c r="A218" s="4" t="s">
        <v>1076</v>
      </c>
      <c r="B218" s="7" t="s">
        <v>561</v>
      </c>
      <c r="C218" s="2" t="s">
        <v>1077</v>
      </c>
      <c r="D218">
        <f>VLOOKUP(B218,'Model allocations'!$A$1:$L$317,5,FALSE)</f>
        <v>52679.685897745847</v>
      </c>
      <c r="E218" s="31">
        <f>VLOOKUP(B218,'Initial adjusted formula count'!$A$1:$P$317,12,FALSE)</f>
        <v>7.9000000000000001E-2</v>
      </c>
      <c r="F218">
        <f>VLOOKUP(B218,'Model allocations'!$A$1:$L$317,10,FALSE)</f>
        <v>44777.733013083969</v>
      </c>
      <c r="G218" s="30">
        <f t="shared" si="64"/>
        <v>0.85</v>
      </c>
      <c r="H218">
        <f t="shared" si="65"/>
        <v>44777.733013083969</v>
      </c>
      <c r="I218">
        <f t="shared" si="57"/>
        <v>0</v>
      </c>
      <c r="J218">
        <f t="shared" si="58"/>
        <v>44777.733013083969</v>
      </c>
      <c r="K218">
        <f t="shared" si="59"/>
        <v>44752.059639276376</v>
      </c>
      <c r="L218">
        <f t="shared" si="66"/>
        <v>44752.059639276376</v>
      </c>
      <c r="M218">
        <f t="shared" si="60"/>
        <v>44777.733013083969</v>
      </c>
      <c r="N218" s="29">
        <f t="shared" si="67"/>
        <v>0</v>
      </c>
      <c r="O218" s="29">
        <f t="shared" si="61"/>
        <v>0</v>
      </c>
      <c r="P218" s="29">
        <f t="shared" si="68"/>
        <v>44777.733013083969</v>
      </c>
      <c r="Q218">
        <f t="shared" si="69"/>
        <v>0</v>
      </c>
      <c r="R218" s="29">
        <f t="shared" si="70"/>
        <v>0</v>
      </c>
      <c r="S218" s="29">
        <f t="shared" si="62"/>
        <v>0</v>
      </c>
      <c r="T218" s="29">
        <f t="shared" si="71"/>
        <v>44777.733013083969</v>
      </c>
      <c r="U218">
        <f t="shared" si="72"/>
        <v>0</v>
      </c>
      <c r="V218" s="29">
        <f t="shared" si="73"/>
        <v>0</v>
      </c>
      <c r="W218" s="29">
        <f t="shared" si="63"/>
        <v>0</v>
      </c>
      <c r="X218" s="29">
        <f t="shared" si="74"/>
        <v>44777.733013083969</v>
      </c>
      <c r="Y218">
        <f t="shared" si="75"/>
        <v>0</v>
      </c>
    </row>
    <row r="219" spans="1:25" x14ac:dyDescent="0.25">
      <c r="A219" s="4" t="s">
        <v>1078</v>
      </c>
      <c r="B219" s="7" t="s">
        <v>563</v>
      </c>
      <c r="C219" s="2" t="s">
        <v>1079</v>
      </c>
      <c r="D219">
        <f>VLOOKUP(B219,'Model allocations'!$A$1:$L$317,5,FALSE)</f>
        <v>1286170.1336722556</v>
      </c>
      <c r="E219" s="31">
        <f>VLOOKUP(B219,'Initial adjusted formula count'!$A$1:$P$317,12,FALSE)</f>
        <v>0.13325835521341101</v>
      </c>
      <c r="F219">
        <f>VLOOKUP(B219,'Model allocations'!$A$1:$L$317,10,FALSE)</f>
        <v>1346882.7901725648</v>
      </c>
      <c r="G219" s="30">
        <f t="shared" si="64"/>
        <v>0.85</v>
      </c>
      <c r="H219">
        <f t="shared" si="65"/>
        <v>1093244.6136214172</v>
      </c>
      <c r="I219">
        <f t="shared" si="57"/>
        <v>0</v>
      </c>
      <c r="J219">
        <f t="shared" si="58"/>
        <v>1346882.7901725648</v>
      </c>
      <c r="K219">
        <f t="shared" si="59"/>
        <v>1346110.5531024789</v>
      </c>
      <c r="L219">
        <f t="shared" si="66"/>
        <v>1346110.5531024789</v>
      </c>
      <c r="M219">
        <f t="shared" si="60"/>
        <v>0</v>
      </c>
      <c r="N219" s="29">
        <f t="shared" si="67"/>
        <v>1346110.5531024789</v>
      </c>
      <c r="O219" s="29">
        <f t="shared" si="61"/>
        <v>1346013.1721537202</v>
      </c>
      <c r="P219" s="29">
        <f t="shared" si="68"/>
        <v>1346013.1721537202</v>
      </c>
      <c r="Q219">
        <f t="shared" si="69"/>
        <v>0</v>
      </c>
      <c r="R219" s="29">
        <f t="shared" si="70"/>
        <v>1346013.1721537202</v>
      </c>
      <c r="S219" s="29">
        <f t="shared" si="62"/>
        <v>1346013.1721537209</v>
      </c>
      <c r="T219" s="29">
        <f t="shared" si="71"/>
        <v>1346013.1721537209</v>
      </c>
      <c r="U219">
        <f t="shared" si="72"/>
        <v>0</v>
      </c>
      <c r="V219" s="29">
        <f t="shared" si="73"/>
        <v>1346013.1721537209</v>
      </c>
      <c r="W219" s="29">
        <f t="shared" si="63"/>
        <v>1346013.1721537209</v>
      </c>
      <c r="X219" s="29">
        <f t="shared" si="74"/>
        <v>1346013.1721537209</v>
      </c>
      <c r="Y219">
        <f t="shared" si="75"/>
        <v>0</v>
      </c>
    </row>
    <row r="220" spans="1:25" x14ac:dyDescent="0.25">
      <c r="A220" s="4" t="s">
        <v>1080</v>
      </c>
      <c r="B220" s="7" t="s">
        <v>564</v>
      </c>
      <c r="C220" s="2" t="s">
        <v>1081</v>
      </c>
      <c r="D220">
        <f>VLOOKUP(B220,'Model allocations'!$A$1:$L$317,5,FALSE)</f>
        <v>49806.863019119402</v>
      </c>
      <c r="E220" s="31">
        <f>VLOOKUP(B220,'Initial adjusted formula count'!$A$1:$P$317,12,FALSE)</f>
        <v>0.25333333333333302</v>
      </c>
      <c r="F220">
        <f>VLOOKUP(B220,'Model allocations'!$A$1:$L$317,10,FALSE)</f>
        <v>55141.770393054278</v>
      </c>
      <c r="G220" s="30">
        <f t="shared" si="64"/>
        <v>0.9</v>
      </c>
      <c r="H220">
        <f t="shared" si="65"/>
        <v>44826.176717207461</v>
      </c>
      <c r="I220">
        <f t="shared" si="57"/>
        <v>0</v>
      </c>
      <c r="J220">
        <f t="shared" si="58"/>
        <v>55141.770393054278</v>
      </c>
      <c r="K220">
        <f t="shared" si="59"/>
        <v>55110.154784392267</v>
      </c>
      <c r="L220">
        <f t="shared" si="66"/>
        <v>55110.154784392267</v>
      </c>
      <c r="M220">
        <f t="shared" si="60"/>
        <v>0</v>
      </c>
      <c r="N220" s="29">
        <f t="shared" si="67"/>
        <v>55110.154784392267</v>
      </c>
      <c r="O220" s="29">
        <f t="shared" si="61"/>
        <v>55106.167980227663</v>
      </c>
      <c r="P220" s="29">
        <f t="shared" si="68"/>
        <v>55106.167980227663</v>
      </c>
      <c r="Q220">
        <f t="shared" si="69"/>
        <v>0</v>
      </c>
      <c r="R220" s="29">
        <f t="shared" si="70"/>
        <v>55106.167980227663</v>
      </c>
      <c r="S220" s="29">
        <f t="shared" si="62"/>
        <v>55106.167980227699</v>
      </c>
      <c r="T220" s="29">
        <f t="shared" si="71"/>
        <v>55106.167980227699</v>
      </c>
      <c r="U220">
        <f t="shared" si="72"/>
        <v>0</v>
      </c>
      <c r="V220" s="29">
        <f t="shared" si="73"/>
        <v>55106.167980227699</v>
      </c>
      <c r="W220" s="29">
        <f t="shared" si="63"/>
        <v>55106.167980227707</v>
      </c>
      <c r="X220" s="29">
        <f t="shared" si="74"/>
        <v>55106.167980227707</v>
      </c>
      <c r="Y220">
        <f t="shared" si="75"/>
        <v>0</v>
      </c>
    </row>
    <row r="221" spans="1:25" x14ac:dyDescent="0.25">
      <c r="A221" s="4" t="s">
        <v>1082</v>
      </c>
      <c r="B221" s="7" t="s">
        <v>199</v>
      </c>
      <c r="C221" s="2" t="s">
        <v>1083</v>
      </c>
      <c r="D221">
        <f>VLOOKUP(B221,'Model allocations'!$A$1:$L$317,5,FALSE)</f>
        <v>687511.05697019096</v>
      </c>
      <c r="E221" s="31">
        <f>VLOOKUP(B221,'Initial adjusted formula count'!$A$1:$P$317,12,FALSE)</f>
        <v>9.6311345311408794E-2</v>
      </c>
      <c r="F221">
        <f>VLOOKUP(B221,'Model allocations'!$A$1:$L$317,10,FALSE)</f>
        <v>809324.30416003952</v>
      </c>
      <c r="G221" s="30">
        <f t="shared" si="64"/>
        <v>0.85</v>
      </c>
      <c r="H221">
        <f t="shared" si="65"/>
        <v>584384.3984246623</v>
      </c>
      <c r="I221">
        <f t="shared" si="57"/>
        <v>0</v>
      </c>
      <c r="J221">
        <f t="shared" si="58"/>
        <v>809324.30416003952</v>
      </c>
      <c r="K221">
        <f t="shared" si="59"/>
        <v>808860.27697522868</v>
      </c>
      <c r="L221">
        <f t="shared" si="66"/>
        <v>808860.27697522868</v>
      </c>
      <c r="M221">
        <f t="shared" si="60"/>
        <v>0</v>
      </c>
      <c r="N221" s="29">
        <f t="shared" si="67"/>
        <v>808860.27697522868</v>
      </c>
      <c r="O221" s="29">
        <f t="shared" si="61"/>
        <v>808801.76203304704</v>
      </c>
      <c r="P221" s="29">
        <f t="shared" si="68"/>
        <v>808801.76203304704</v>
      </c>
      <c r="Q221">
        <f t="shared" si="69"/>
        <v>0</v>
      </c>
      <c r="R221" s="29">
        <f t="shared" si="70"/>
        <v>808801.76203304704</v>
      </c>
      <c r="S221" s="29">
        <f t="shared" si="62"/>
        <v>808801.76203304739</v>
      </c>
      <c r="T221" s="29">
        <f t="shared" si="71"/>
        <v>808801.76203304739</v>
      </c>
      <c r="U221">
        <f t="shared" si="72"/>
        <v>0</v>
      </c>
      <c r="V221" s="29">
        <f t="shared" si="73"/>
        <v>808801.76203304739</v>
      </c>
      <c r="W221" s="29">
        <f t="shared" si="63"/>
        <v>808801.76203304739</v>
      </c>
      <c r="X221" s="29">
        <f t="shared" si="74"/>
        <v>808801.76203304739</v>
      </c>
      <c r="Y221">
        <f t="shared" si="75"/>
        <v>0</v>
      </c>
    </row>
    <row r="222" spans="1:25" x14ac:dyDescent="0.25">
      <c r="A222" s="4" t="s">
        <v>1084</v>
      </c>
      <c r="B222" s="7" t="s">
        <v>201</v>
      </c>
      <c r="C222" s="2" t="s">
        <v>1085</v>
      </c>
      <c r="D222">
        <f>VLOOKUP(B222,'Model allocations'!$A$1:$L$317,5,FALSE)</f>
        <v>0</v>
      </c>
      <c r="E222" s="31">
        <f>VLOOKUP(B222,'Initial adjusted formula count'!$A$1:$P$317,12,FALSE)</f>
        <v>3.9135654261704698E-2</v>
      </c>
      <c r="F222">
        <f>VLOOKUP(B222,'Model allocations'!$A$1:$L$317,10,FALSE)</f>
        <v>0</v>
      </c>
      <c r="G222" s="30">
        <f t="shared" si="64"/>
        <v>0.85</v>
      </c>
      <c r="H222">
        <f t="shared" si="65"/>
        <v>0</v>
      </c>
      <c r="I222">
        <f t="shared" si="57"/>
        <v>0</v>
      </c>
      <c r="J222">
        <f t="shared" si="58"/>
        <v>0</v>
      </c>
      <c r="K222">
        <f t="shared" si="59"/>
        <v>0</v>
      </c>
      <c r="L222">
        <f t="shared" si="66"/>
        <v>0</v>
      </c>
      <c r="M222">
        <f t="shared" si="60"/>
        <v>0</v>
      </c>
      <c r="N222" s="29">
        <f t="shared" si="67"/>
        <v>0</v>
      </c>
      <c r="O222" s="29">
        <f t="shared" si="61"/>
        <v>0</v>
      </c>
      <c r="P222" s="29">
        <f t="shared" si="68"/>
        <v>0</v>
      </c>
      <c r="Q222">
        <f t="shared" si="69"/>
        <v>0</v>
      </c>
      <c r="R222" s="29">
        <f t="shared" si="70"/>
        <v>0</v>
      </c>
      <c r="S222" s="29">
        <f t="shared" si="62"/>
        <v>0</v>
      </c>
      <c r="T222" s="29">
        <f t="shared" si="71"/>
        <v>0</v>
      </c>
      <c r="U222">
        <f t="shared" si="72"/>
        <v>0</v>
      </c>
      <c r="V222" s="29">
        <f t="shared" si="73"/>
        <v>0</v>
      </c>
      <c r="W222" s="29">
        <f t="shared" si="63"/>
        <v>0</v>
      </c>
      <c r="X222" s="29">
        <f t="shared" si="74"/>
        <v>0</v>
      </c>
      <c r="Y222">
        <f t="shared" si="75"/>
        <v>0</v>
      </c>
    </row>
    <row r="223" spans="1:25" x14ac:dyDescent="0.25">
      <c r="A223" s="4" t="s">
        <v>1086</v>
      </c>
      <c r="B223" s="7" t="s">
        <v>203</v>
      </c>
      <c r="C223" s="2" t="s">
        <v>1087</v>
      </c>
      <c r="D223">
        <f>VLOOKUP(B223,'Model allocations'!$A$1:$L$317,5,FALSE)</f>
        <v>24282.04271849223</v>
      </c>
      <c r="E223" s="31">
        <f>VLOOKUP(B223,'Initial adjusted formula count'!$A$1:$P$317,12,FALSE)</f>
        <v>0.115942028985507</v>
      </c>
      <c r="F223">
        <f>VLOOKUP(B223,'Model allocations'!$A$1:$L$317,10,FALSE)</f>
        <v>20639.736310718396</v>
      </c>
      <c r="G223" s="30">
        <f t="shared" si="64"/>
        <v>0.85</v>
      </c>
      <c r="H223">
        <f t="shared" si="65"/>
        <v>20639.736310718396</v>
      </c>
      <c r="I223">
        <f t="shared" si="57"/>
        <v>0</v>
      </c>
      <c r="J223">
        <f t="shared" si="58"/>
        <v>20639.736310718396</v>
      </c>
      <c r="K223">
        <f t="shared" si="59"/>
        <v>20627.902489978955</v>
      </c>
      <c r="L223">
        <f t="shared" si="66"/>
        <v>20627.902489978955</v>
      </c>
      <c r="M223">
        <f t="shared" si="60"/>
        <v>20639.736310718396</v>
      </c>
      <c r="N223" s="29">
        <f t="shared" si="67"/>
        <v>0</v>
      </c>
      <c r="O223" s="29">
        <f t="shared" si="61"/>
        <v>0</v>
      </c>
      <c r="P223" s="29">
        <f t="shared" si="68"/>
        <v>20639.736310718396</v>
      </c>
      <c r="Q223">
        <f t="shared" si="69"/>
        <v>0</v>
      </c>
      <c r="R223" s="29">
        <f t="shared" si="70"/>
        <v>0</v>
      </c>
      <c r="S223" s="29">
        <f t="shared" si="62"/>
        <v>0</v>
      </c>
      <c r="T223" s="29">
        <f t="shared" si="71"/>
        <v>20639.736310718396</v>
      </c>
      <c r="U223">
        <f t="shared" si="72"/>
        <v>0</v>
      </c>
      <c r="V223" s="29">
        <f t="shared" si="73"/>
        <v>0</v>
      </c>
      <c r="W223" s="29">
        <f t="shared" si="63"/>
        <v>0</v>
      </c>
      <c r="X223" s="29">
        <f t="shared" si="74"/>
        <v>20639.736310718396</v>
      </c>
      <c r="Y223">
        <f t="shared" si="75"/>
        <v>0</v>
      </c>
    </row>
    <row r="224" spans="1:25" x14ac:dyDescent="0.25">
      <c r="A224" s="4" t="s">
        <v>1088</v>
      </c>
      <c r="B224" s="7" t="s">
        <v>296</v>
      </c>
      <c r="C224" s="2" t="s">
        <v>1089</v>
      </c>
      <c r="D224">
        <f>VLOOKUP(B224,'Model allocations'!$A$1:$L$317,5,FALSE)</f>
        <v>112355.89257878606</v>
      </c>
      <c r="E224" s="31">
        <f>VLOOKUP(B224,'Initial adjusted formula count'!$A$1:$P$317,12,FALSE)</f>
        <v>0.11764705882352899</v>
      </c>
      <c r="F224">
        <f>VLOOKUP(B224,'Model allocations'!$A$1:$L$317,10,FALSE)</f>
        <v>101480.04228327957</v>
      </c>
      <c r="G224" s="30">
        <f t="shared" si="64"/>
        <v>0.85</v>
      </c>
      <c r="H224">
        <f t="shared" si="65"/>
        <v>95502.508691968149</v>
      </c>
      <c r="I224">
        <f t="shared" si="57"/>
        <v>0</v>
      </c>
      <c r="J224">
        <f t="shared" si="58"/>
        <v>101480.04228327957</v>
      </c>
      <c r="K224">
        <f t="shared" si="59"/>
        <v>101421.85856373335</v>
      </c>
      <c r="L224">
        <f t="shared" si="66"/>
        <v>101421.85856373335</v>
      </c>
      <c r="M224">
        <f t="shared" si="60"/>
        <v>0</v>
      </c>
      <c r="N224" s="29">
        <f t="shared" si="67"/>
        <v>101421.85856373335</v>
      </c>
      <c r="O224" s="29">
        <f t="shared" si="61"/>
        <v>101414.52145699348</v>
      </c>
      <c r="P224" s="29">
        <f t="shared" si="68"/>
        <v>101414.52145699348</v>
      </c>
      <c r="Q224">
        <f t="shared" si="69"/>
        <v>0</v>
      </c>
      <c r="R224" s="29">
        <f t="shared" si="70"/>
        <v>101414.52145699348</v>
      </c>
      <c r="S224" s="29">
        <f t="shared" si="62"/>
        <v>101414.52145699353</v>
      </c>
      <c r="T224" s="29">
        <f t="shared" si="71"/>
        <v>101414.52145699353</v>
      </c>
      <c r="U224">
        <f t="shared" si="72"/>
        <v>0</v>
      </c>
      <c r="V224" s="29">
        <f t="shared" si="73"/>
        <v>101414.52145699353</v>
      </c>
      <c r="W224" s="29">
        <f t="shared" si="63"/>
        <v>101414.52145699353</v>
      </c>
      <c r="X224" s="29">
        <f t="shared" si="74"/>
        <v>101414.52145699353</v>
      </c>
      <c r="Y224">
        <f t="shared" si="75"/>
        <v>0</v>
      </c>
    </row>
    <row r="225" spans="1:25" x14ac:dyDescent="0.25">
      <c r="A225" s="4" t="s">
        <v>1090</v>
      </c>
      <c r="B225" s="7" t="s">
        <v>205</v>
      </c>
      <c r="C225" s="2" t="s">
        <v>1091</v>
      </c>
      <c r="D225">
        <f>VLOOKUP(B225,'Model allocations'!$A$1:$L$317,5,FALSE)</f>
        <v>0</v>
      </c>
      <c r="E225" s="31">
        <f>VLOOKUP(B225,'Initial adjusted formula count'!$A$1:$P$317,12,FALSE)</f>
        <v>3.3472803347280297E-2</v>
      </c>
      <c r="F225">
        <f>VLOOKUP(B225,'Model allocations'!$A$1:$L$317,10,FALSE)</f>
        <v>0</v>
      </c>
      <c r="G225" s="30">
        <f t="shared" si="64"/>
        <v>0.85</v>
      </c>
      <c r="H225">
        <f t="shared" si="65"/>
        <v>0</v>
      </c>
      <c r="I225">
        <f t="shared" si="57"/>
        <v>0</v>
      </c>
      <c r="J225">
        <f t="shared" si="58"/>
        <v>0</v>
      </c>
      <c r="K225">
        <f t="shared" si="59"/>
        <v>0</v>
      </c>
      <c r="L225">
        <f t="shared" si="66"/>
        <v>0</v>
      </c>
      <c r="M225">
        <f t="shared" si="60"/>
        <v>0</v>
      </c>
      <c r="N225" s="29">
        <f t="shared" si="67"/>
        <v>0</v>
      </c>
      <c r="O225" s="29">
        <f t="shared" si="61"/>
        <v>0</v>
      </c>
      <c r="P225" s="29">
        <f t="shared" si="68"/>
        <v>0</v>
      </c>
      <c r="Q225">
        <f t="shared" si="69"/>
        <v>0</v>
      </c>
      <c r="R225" s="29">
        <f t="shared" si="70"/>
        <v>0</v>
      </c>
      <c r="S225" s="29">
        <f t="shared" si="62"/>
        <v>0</v>
      </c>
      <c r="T225" s="29">
        <f t="shared" si="71"/>
        <v>0</v>
      </c>
      <c r="U225">
        <f t="shared" si="72"/>
        <v>0</v>
      </c>
      <c r="V225" s="29">
        <f t="shared" si="73"/>
        <v>0</v>
      </c>
      <c r="W225" s="29">
        <f t="shared" si="63"/>
        <v>0</v>
      </c>
      <c r="X225" s="29">
        <f t="shared" si="74"/>
        <v>0</v>
      </c>
      <c r="Y225">
        <f t="shared" si="75"/>
        <v>0</v>
      </c>
    </row>
    <row r="226" spans="1:25" x14ac:dyDescent="0.25">
      <c r="A226" s="4" t="s">
        <v>1092</v>
      </c>
      <c r="B226" s="7" t="s">
        <v>566</v>
      </c>
      <c r="C226" s="2" t="s">
        <v>1093</v>
      </c>
      <c r="D226">
        <f>VLOOKUP(B226,'Model allocations'!$A$1:$L$317,5,FALSE)</f>
        <v>121508.94486406796</v>
      </c>
      <c r="E226" s="31">
        <f>VLOOKUP(B226,'Initial adjusted formula count'!$A$1:$P$317,12,FALSE)</f>
        <v>0.103629032258065</v>
      </c>
      <c r="F226">
        <f>VLOOKUP(B226,'Model allocations'!$A$1:$L$317,10,FALSE)</f>
        <v>107770.12754877211</v>
      </c>
      <c r="G226" s="30">
        <f t="shared" si="64"/>
        <v>0.85</v>
      </c>
      <c r="H226">
        <f t="shared" si="65"/>
        <v>103282.60313445776</v>
      </c>
      <c r="I226">
        <f t="shared" si="57"/>
        <v>0</v>
      </c>
      <c r="J226">
        <f t="shared" si="58"/>
        <v>107770.12754877211</v>
      </c>
      <c r="K226">
        <f t="shared" si="59"/>
        <v>107708.3374003284</v>
      </c>
      <c r="L226">
        <f t="shared" si="66"/>
        <v>107708.3374003284</v>
      </c>
      <c r="M226">
        <f t="shared" si="60"/>
        <v>0</v>
      </c>
      <c r="N226" s="29">
        <f t="shared" si="67"/>
        <v>107708.3374003284</v>
      </c>
      <c r="O226" s="29">
        <f t="shared" si="61"/>
        <v>107700.54551424514</v>
      </c>
      <c r="P226" s="29">
        <f t="shared" si="68"/>
        <v>107700.54551424514</v>
      </c>
      <c r="Q226">
        <f t="shared" si="69"/>
        <v>0</v>
      </c>
      <c r="R226" s="29">
        <f t="shared" si="70"/>
        <v>107700.54551424514</v>
      </c>
      <c r="S226" s="29">
        <f t="shared" si="62"/>
        <v>107700.5455142452</v>
      </c>
      <c r="T226" s="29">
        <f t="shared" si="71"/>
        <v>107700.5455142452</v>
      </c>
      <c r="U226">
        <f t="shared" si="72"/>
        <v>0</v>
      </c>
      <c r="V226" s="29">
        <f t="shared" si="73"/>
        <v>107700.5455142452</v>
      </c>
      <c r="W226" s="29">
        <f t="shared" si="63"/>
        <v>107700.54551424521</v>
      </c>
      <c r="X226" s="29">
        <f t="shared" si="74"/>
        <v>107700.54551424521</v>
      </c>
      <c r="Y226">
        <f t="shared" si="75"/>
        <v>0</v>
      </c>
    </row>
    <row r="227" spans="1:25" x14ac:dyDescent="0.25">
      <c r="A227" s="4" t="s">
        <v>1094</v>
      </c>
      <c r="B227" s="7" t="s">
        <v>298</v>
      </c>
      <c r="C227" s="2" t="s">
        <v>1095</v>
      </c>
      <c r="D227">
        <f>VLOOKUP(B227,'Model allocations'!$A$1:$L$317,5,FALSE)</f>
        <v>0</v>
      </c>
      <c r="E227" s="31">
        <f>VLOOKUP(B227,'Initial adjusted formula count'!$A$1:$P$317,12,FALSE)</f>
        <v>9.3023255813953501E-2</v>
      </c>
      <c r="F227">
        <f>VLOOKUP(B227,'Model allocations'!$A$1:$L$317,10,FALSE)</f>
        <v>0</v>
      </c>
      <c r="G227" s="30">
        <f t="shared" si="64"/>
        <v>0.85</v>
      </c>
      <c r="H227">
        <f t="shared" si="65"/>
        <v>0</v>
      </c>
      <c r="I227">
        <f t="shared" si="57"/>
        <v>0</v>
      </c>
      <c r="J227">
        <f t="shared" si="58"/>
        <v>0</v>
      </c>
      <c r="K227">
        <f t="shared" si="59"/>
        <v>0</v>
      </c>
      <c r="L227">
        <f t="shared" si="66"/>
        <v>0</v>
      </c>
      <c r="M227">
        <f t="shared" si="60"/>
        <v>0</v>
      </c>
      <c r="N227" s="29">
        <f t="shared" si="67"/>
        <v>0</v>
      </c>
      <c r="O227" s="29">
        <f t="shared" si="61"/>
        <v>0</v>
      </c>
      <c r="P227" s="29">
        <f t="shared" si="68"/>
        <v>0</v>
      </c>
      <c r="Q227">
        <f t="shared" si="69"/>
        <v>0</v>
      </c>
      <c r="R227" s="29">
        <f t="shared" si="70"/>
        <v>0</v>
      </c>
      <c r="S227" s="29">
        <f t="shared" si="62"/>
        <v>0</v>
      </c>
      <c r="T227" s="29">
        <f t="shared" si="71"/>
        <v>0</v>
      </c>
      <c r="U227">
        <f t="shared" si="72"/>
        <v>0</v>
      </c>
      <c r="V227" s="29">
        <f t="shared" si="73"/>
        <v>0</v>
      </c>
      <c r="W227" s="29">
        <f t="shared" si="63"/>
        <v>0</v>
      </c>
      <c r="X227" s="29">
        <f t="shared" si="74"/>
        <v>0</v>
      </c>
      <c r="Y227">
        <f t="shared" si="75"/>
        <v>0</v>
      </c>
    </row>
    <row r="228" spans="1:25" x14ac:dyDescent="0.25">
      <c r="A228" s="4" t="s">
        <v>1096</v>
      </c>
      <c r="B228" s="7" t="s">
        <v>568</v>
      </c>
      <c r="C228" s="2" t="s">
        <v>1097</v>
      </c>
      <c r="D228">
        <f>VLOOKUP(B228,'Model allocations'!$A$1:$L$317,5,FALSE)</f>
        <v>13581.4815205126</v>
      </c>
      <c r="E228" s="31">
        <f>VLOOKUP(B228,'Initial adjusted formula count'!$A$1:$P$317,12,FALSE)</f>
        <v>0.19028340080971701</v>
      </c>
      <c r="F228">
        <f>VLOOKUP(B228,'Model allocations'!$A$1:$L$317,10,FALSE)</f>
        <v>22387.692443891916</v>
      </c>
      <c r="G228" s="30">
        <f t="shared" si="64"/>
        <v>0.9</v>
      </c>
      <c r="H228">
        <f t="shared" si="65"/>
        <v>12223.333368461341</v>
      </c>
      <c r="I228">
        <f t="shared" si="57"/>
        <v>0</v>
      </c>
      <c r="J228">
        <f t="shared" si="58"/>
        <v>22387.692443891916</v>
      </c>
      <c r="K228">
        <f t="shared" si="59"/>
        <v>22374.856430138527</v>
      </c>
      <c r="L228">
        <f t="shared" si="66"/>
        <v>22374.856430138527</v>
      </c>
      <c r="M228">
        <f t="shared" si="60"/>
        <v>0</v>
      </c>
      <c r="N228" s="29">
        <f t="shared" si="67"/>
        <v>22374.856430138527</v>
      </c>
      <c r="O228" s="29">
        <f t="shared" si="61"/>
        <v>22373.237777983635</v>
      </c>
      <c r="P228" s="29">
        <f t="shared" si="68"/>
        <v>22373.237777983635</v>
      </c>
      <c r="Q228">
        <f t="shared" si="69"/>
        <v>0</v>
      </c>
      <c r="R228" s="29">
        <f t="shared" si="70"/>
        <v>22373.237777983635</v>
      </c>
      <c r="S228" s="29">
        <f t="shared" si="62"/>
        <v>22373.237777983646</v>
      </c>
      <c r="T228" s="29">
        <f t="shared" si="71"/>
        <v>22373.237777983646</v>
      </c>
      <c r="U228">
        <f t="shared" si="72"/>
        <v>0</v>
      </c>
      <c r="V228" s="29">
        <f t="shared" si="73"/>
        <v>22373.237777983646</v>
      </c>
      <c r="W228" s="29">
        <f t="shared" si="63"/>
        <v>22373.23777798365</v>
      </c>
      <c r="X228" s="29">
        <f t="shared" si="74"/>
        <v>22373.23777798365</v>
      </c>
      <c r="Y228">
        <f t="shared" si="75"/>
        <v>0</v>
      </c>
    </row>
    <row r="229" spans="1:25" x14ac:dyDescent="0.25">
      <c r="A229" s="4" t="s">
        <v>1098</v>
      </c>
      <c r="B229" s="7" t="s">
        <v>570</v>
      </c>
      <c r="C229" s="2" t="s">
        <v>1099</v>
      </c>
      <c r="D229">
        <f>VLOOKUP(B229,'Model allocations'!$A$1:$L$317,5,FALSE)</f>
        <v>123006.16527041039</v>
      </c>
      <c r="E229" s="31">
        <f>VLOOKUP(B229,'Initial adjusted formula count'!$A$1:$P$317,12,FALSE)</f>
        <v>0.14450516089860399</v>
      </c>
      <c r="F229">
        <f>VLOOKUP(B229,'Model allocations'!$A$1:$L$317,10,FALSE)</f>
        <v>104555.24047984883</v>
      </c>
      <c r="G229" s="30">
        <f t="shared" si="64"/>
        <v>0.85</v>
      </c>
      <c r="H229">
        <f t="shared" si="65"/>
        <v>104555.24047984883</v>
      </c>
      <c r="I229">
        <f t="shared" si="57"/>
        <v>0</v>
      </c>
      <c r="J229">
        <f t="shared" si="58"/>
        <v>104555.24047984883</v>
      </c>
      <c r="K229">
        <f t="shared" si="59"/>
        <v>104495.29359125583</v>
      </c>
      <c r="L229">
        <f t="shared" si="66"/>
        <v>104495.29359125583</v>
      </c>
      <c r="M229">
        <f t="shared" si="60"/>
        <v>104555.24047984883</v>
      </c>
      <c r="N229" s="29">
        <f t="shared" si="67"/>
        <v>0</v>
      </c>
      <c r="O229" s="29">
        <f t="shared" si="61"/>
        <v>0</v>
      </c>
      <c r="P229" s="29">
        <f t="shared" si="68"/>
        <v>104555.24047984883</v>
      </c>
      <c r="Q229">
        <f t="shared" si="69"/>
        <v>0</v>
      </c>
      <c r="R229" s="29">
        <f t="shared" si="70"/>
        <v>0</v>
      </c>
      <c r="S229" s="29">
        <f t="shared" si="62"/>
        <v>0</v>
      </c>
      <c r="T229" s="29">
        <f t="shared" si="71"/>
        <v>104555.24047984883</v>
      </c>
      <c r="U229">
        <f t="shared" si="72"/>
        <v>0</v>
      </c>
      <c r="V229" s="29">
        <f t="shared" si="73"/>
        <v>0</v>
      </c>
      <c r="W229" s="29">
        <f t="shared" si="63"/>
        <v>0</v>
      </c>
      <c r="X229" s="29">
        <f t="shared" si="74"/>
        <v>104555.24047984883</v>
      </c>
      <c r="Y229">
        <f t="shared" si="75"/>
        <v>0</v>
      </c>
    </row>
    <row r="230" spans="1:25" x14ac:dyDescent="0.25">
      <c r="A230" s="4" t="s">
        <v>1100</v>
      </c>
      <c r="B230" s="7" t="s">
        <v>207</v>
      </c>
      <c r="C230" s="2" t="s">
        <v>1101</v>
      </c>
      <c r="D230">
        <f>VLOOKUP(B230,'Model allocations'!$A$1:$L$317,5,FALSE)</f>
        <v>40057.893911231185</v>
      </c>
      <c r="E230" s="31">
        <f>VLOOKUP(B230,'Initial adjusted formula count'!$A$1:$P$317,12,FALSE)</f>
        <v>9.8850574712643705E-2</v>
      </c>
      <c r="F230">
        <f>VLOOKUP(B230,'Model allocations'!$A$1:$L$317,10,FALSE)</f>
        <v>36063.155522157191</v>
      </c>
      <c r="G230" s="30">
        <f t="shared" si="64"/>
        <v>0.85</v>
      </c>
      <c r="H230">
        <f t="shared" si="65"/>
        <v>34049.209824546509</v>
      </c>
      <c r="I230">
        <f t="shared" si="57"/>
        <v>0</v>
      </c>
      <c r="J230">
        <f t="shared" si="58"/>
        <v>36063.155522157191</v>
      </c>
      <c r="K230">
        <f t="shared" si="59"/>
        <v>36042.478663144895</v>
      </c>
      <c r="L230">
        <f t="shared" si="66"/>
        <v>36042.478663144895</v>
      </c>
      <c r="M230">
        <f t="shared" si="60"/>
        <v>0</v>
      </c>
      <c r="N230" s="29">
        <f t="shared" si="67"/>
        <v>36042.478663144895</v>
      </c>
      <c r="O230" s="29">
        <f t="shared" si="61"/>
        <v>36039.871261576183</v>
      </c>
      <c r="P230" s="29">
        <f t="shared" si="68"/>
        <v>36039.871261576183</v>
      </c>
      <c r="Q230">
        <f t="shared" si="69"/>
        <v>0</v>
      </c>
      <c r="R230" s="29">
        <f t="shared" si="70"/>
        <v>36039.871261576183</v>
      </c>
      <c r="S230" s="29">
        <f t="shared" si="62"/>
        <v>36039.871261576205</v>
      </c>
      <c r="T230" s="29">
        <f t="shared" si="71"/>
        <v>36039.871261576205</v>
      </c>
      <c r="U230">
        <f t="shared" si="72"/>
        <v>0</v>
      </c>
      <c r="V230" s="29">
        <f t="shared" si="73"/>
        <v>36039.871261576205</v>
      </c>
      <c r="W230" s="29">
        <f t="shared" si="63"/>
        <v>36039.871261576212</v>
      </c>
      <c r="X230" s="29">
        <f t="shared" si="74"/>
        <v>36039.871261576212</v>
      </c>
      <c r="Y230">
        <f t="shared" si="75"/>
        <v>0</v>
      </c>
    </row>
    <row r="231" spans="1:25" x14ac:dyDescent="0.25">
      <c r="A231" s="4" t="s">
        <v>1102</v>
      </c>
      <c r="B231" s="7" t="s">
        <v>572</v>
      </c>
      <c r="C231" s="2" t="s">
        <v>1103</v>
      </c>
      <c r="D231">
        <f>VLOOKUP(B231,'Model allocations'!$A$1:$L$317,5,FALSE)</f>
        <v>8982.2051151823744</v>
      </c>
      <c r="E231" s="31">
        <f>VLOOKUP(B231,'Initial adjusted formula count'!$A$1:$P$317,12,FALSE)</f>
        <v>0.13636363636363599</v>
      </c>
      <c r="F231">
        <f>VLOOKUP(B231,'Model allocations'!$A$1:$L$317,10,FALSE)</f>
        <v>7634.8743479050181</v>
      </c>
      <c r="G231" s="30">
        <f t="shared" si="64"/>
        <v>0.85</v>
      </c>
      <c r="H231">
        <f t="shared" si="65"/>
        <v>7634.8743479050181</v>
      </c>
      <c r="I231">
        <f t="shared" si="57"/>
        <v>0</v>
      </c>
      <c r="J231">
        <f t="shared" si="58"/>
        <v>7634.8743479050181</v>
      </c>
      <c r="K231">
        <f t="shared" si="59"/>
        <v>7630.4968823676154</v>
      </c>
      <c r="L231">
        <f t="shared" si="66"/>
        <v>7630.4968823676154</v>
      </c>
      <c r="M231">
        <f t="shared" si="60"/>
        <v>7634.8743479050181</v>
      </c>
      <c r="N231" s="29">
        <f t="shared" si="67"/>
        <v>0</v>
      </c>
      <c r="O231" s="29">
        <f t="shared" si="61"/>
        <v>0</v>
      </c>
      <c r="P231" s="29">
        <f t="shared" si="68"/>
        <v>7634.8743479050181</v>
      </c>
      <c r="Q231">
        <f t="shared" si="69"/>
        <v>0</v>
      </c>
      <c r="R231" s="29">
        <f t="shared" si="70"/>
        <v>0</v>
      </c>
      <c r="S231" s="29">
        <f t="shared" si="62"/>
        <v>0</v>
      </c>
      <c r="T231" s="29">
        <f t="shared" si="71"/>
        <v>7634.8743479050181</v>
      </c>
      <c r="U231">
        <f t="shared" si="72"/>
        <v>0</v>
      </c>
      <c r="V231" s="29">
        <f t="shared" si="73"/>
        <v>0</v>
      </c>
      <c r="W231" s="29">
        <f t="shared" si="63"/>
        <v>0</v>
      </c>
      <c r="X231" s="29">
        <f t="shared" si="74"/>
        <v>7634.8743479050181</v>
      </c>
      <c r="Y231">
        <f t="shared" si="75"/>
        <v>0</v>
      </c>
    </row>
    <row r="232" spans="1:25" x14ac:dyDescent="0.25">
      <c r="A232" s="8" t="s">
        <v>50</v>
      </c>
      <c r="B232" s="7" t="s">
        <v>82</v>
      </c>
      <c r="C232" s="2" t="s">
        <v>1104</v>
      </c>
      <c r="D232">
        <f>VLOOKUP(B232,'Model allocations'!$A$1:$L$317,5,FALSE)</f>
        <v>13334.963331012223</v>
      </c>
      <c r="E232" s="31">
        <f>VLOOKUP(B232,'Initial adjusted formula count'!$A$1:$P$317,12,FALSE)</f>
        <v>0.13887299293747199</v>
      </c>
      <c r="F232">
        <f>VLOOKUP(B232,'Model allocations'!$A$1:$L$317,10,FALSE)</f>
        <v>12286.900430336536</v>
      </c>
      <c r="G232" s="30">
        <f t="shared" si="64"/>
        <v>0.85</v>
      </c>
      <c r="H232">
        <f t="shared" si="65"/>
        <v>11334.718831360389</v>
      </c>
      <c r="I232">
        <f t="shared" si="57"/>
        <v>0</v>
      </c>
      <c r="J232">
        <f t="shared" si="58"/>
        <v>12286.900430336536</v>
      </c>
      <c r="K232">
        <f t="shared" si="59"/>
        <v>12279.855719350551</v>
      </c>
      <c r="L232">
        <f t="shared" si="66"/>
        <v>12279.855719350551</v>
      </c>
      <c r="M232">
        <f t="shared" si="60"/>
        <v>0</v>
      </c>
      <c r="N232" s="29">
        <f t="shared" si="67"/>
        <v>12279.855719350551</v>
      </c>
      <c r="O232" s="29">
        <f t="shared" si="61"/>
        <v>12278.967364380142</v>
      </c>
      <c r="P232" s="29">
        <f t="shared" si="68"/>
        <v>12278.967364380142</v>
      </c>
      <c r="Q232">
        <f t="shared" si="69"/>
        <v>0</v>
      </c>
      <c r="R232" s="29">
        <f t="shared" si="70"/>
        <v>12278.967364380142</v>
      </c>
      <c r="S232" s="29">
        <f t="shared" si="62"/>
        <v>12278.967364380149</v>
      </c>
      <c r="T232" s="29">
        <f t="shared" si="71"/>
        <v>12278.967364380149</v>
      </c>
      <c r="U232">
        <f t="shared" si="72"/>
        <v>0</v>
      </c>
      <c r="V232" s="29">
        <f t="shared" si="73"/>
        <v>12278.967364380149</v>
      </c>
      <c r="W232" s="29">
        <f t="shared" si="63"/>
        <v>12278.967364380151</v>
      </c>
      <c r="X232" s="29">
        <f t="shared" si="74"/>
        <v>12278.967364380151</v>
      </c>
      <c r="Y232">
        <f t="shared" si="75"/>
        <v>0</v>
      </c>
    </row>
    <row r="233" spans="1:25" x14ac:dyDescent="0.25">
      <c r="A233" s="4" t="s">
        <v>46</v>
      </c>
      <c r="B233" s="7" t="s">
        <v>81</v>
      </c>
      <c r="C233" s="2" t="s">
        <v>1105</v>
      </c>
      <c r="D233">
        <f>VLOOKUP(B233,'Model allocations'!$A$1:$L$317,5,FALSE)</f>
        <v>0</v>
      </c>
      <c r="E233" s="31">
        <f>VLOOKUP(B233,'Initial adjusted formula count'!$A$1:$P$317,12,FALSE)</f>
        <v>6.8532985430347401E-2</v>
      </c>
      <c r="F233">
        <f>VLOOKUP(B233,'Model allocations'!$A$1:$L$317,10,FALSE)</f>
        <v>0</v>
      </c>
      <c r="G233" s="30">
        <f t="shared" si="64"/>
        <v>0.85</v>
      </c>
      <c r="H233">
        <f t="shared" si="65"/>
        <v>0</v>
      </c>
      <c r="I233">
        <f t="shared" si="57"/>
        <v>0</v>
      </c>
      <c r="J233">
        <f t="shared" si="58"/>
        <v>0</v>
      </c>
      <c r="K233">
        <f t="shared" si="59"/>
        <v>0</v>
      </c>
      <c r="L233">
        <f t="shared" si="66"/>
        <v>0</v>
      </c>
      <c r="M233">
        <f t="shared" si="60"/>
        <v>0</v>
      </c>
      <c r="N233" s="29">
        <f t="shared" si="67"/>
        <v>0</v>
      </c>
      <c r="O233" s="29">
        <f t="shared" si="61"/>
        <v>0</v>
      </c>
      <c r="P233" s="29">
        <f t="shared" si="68"/>
        <v>0</v>
      </c>
      <c r="Q233">
        <f t="shared" si="69"/>
        <v>0</v>
      </c>
      <c r="R233" s="29">
        <f t="shared" si="70"/>
        <v>0</v>
      </c>
      <c r="S233" s="29">
        <f t="shared" si="62"/>
        <v>0</v>
      </c>
      <c r="T233" s="29">
        <f t="shared" si="71"/>
        <v>0</v>
      </c>
      <c r="U233">
        <f t="shared" si="72"/>
        <v>0</v>
      </c>
      <c r="V233" s="29">
        <f t="shared" si="73"/>
        <v>0</v>
      </c>
      <c r="W233" s="29">
        <f t="shared" si="63"/>
        <v>0</v>
      </c>
      <c r="X233" s="29">
        <f t="shared" si="74"/>
        <v>0</v>
      </c>
      <c r="Y233">
        <f t="shared" si="75"/>
        <v>0</v>
      </c>
    </row>
    <row r="234" spans="1:25" x14ac:dyDescent="0.25">
      <c r="A234" s="4" t="s">
        <v>24</v>
      </c>
      <c r="B234" s="7" t="s">
        <v>59</v>
      </c>
      <c r="C234" s="2" t="s">
        <v>1106</v>
      </c>
      <c r="D234">
        <f>VLOOKUP(B234,'Model allocations'!$A$1:$L$317,5,FALSE)</f>
        <v>4317425.8108944101</v>
      </c>
      <c r="E234" s="31">
        <f>VLOOKUP(B234,'Initial adjusted formula count'!$A$1:$P$317,12,FALSE)</f>
        <v>9.5002912490484606E-2</v>
      </c>
      <c r="F234">
        <f>VLOOKUP(B234,'Model allocations'!$A$1:$L$317,10,FALSE)</f>
        <v>4848782.6602997938</v>
      </c>
      <c r="G234" s="30">
        <f t="shared" si="64"/>
        <v>0.85</v>
      </c>
      <c r="H234">
        <f t="shared" si="65"/>
        <v>3669811.9392602486</v>
      </c>
      <c r="I234">
        <f t="shared" si="57"/>
        <v>0</v>
      </c>
      <c r="J234">
        <f t="shared" si="58"/>
        <v>4848782.6602997938</v>
      </c>
      <c r="K234">
        <f t="shared" si="59"/>
        <v>4846002.6042010784</v>
      </c>
      <c r="L234">
        <f t="shared" si="66"/>
        <v>4846002.6042010784</v>
      </c>
      <c r="M234">
        <f t="shared" si="60"/>
        <v>0</v>
      </c>
      <c r="N234" s="29">
        <f t="shared" si="67"/>
        <v>4846002.6042010784</v>
      </c>
      <c r="O234" s="29">
        <f t="shared" si="61"/>
        <v>4845652.0324518299</v>
      </c>
      <c r="P234" s="29">
        <f t="shared" si="68"/>
        <v>4845652.0324518299</v>
      </c>
      <c r="Q234">
        <f t="shared" si="69"/>
        <v>0</v>
      </c>
      <c r="R234" s="29">
        <f t="shared" si="70"/>
        <v>4845652.0324518299</v>
      </c>
      <c r="S234" s="29">
        <f t="shared" si="62"/>
        <v>4845652.0324518327</v>
      </c>
      <c r="T234" s="29">
        <f t="shared" si="71"/>
        <v>4845652.0324518327</v>
      </c>
      <c r="U234">
        <f t="shared" si="72"/>
        <v>0</v>
      </c>
      <c r="V234" s="29">
        <f t="shared" si="73"/>
        <v>4845652.0324518327</v>
      </c>
      <c r="W234" s="29">
        <f t="shared" si="63"/>
        <v>4845652.0324518336</v>
      </c>
      <c r="X234" s="29">
        <f t="shared" si="74"/>
        <v>4845652.0324518336</v>
      </c>
      <c r="Y234">
        <f t="shared" si="75"/>
        <v>0</v>
      </c>
    </row>
    <row r="235" spans="1:25" x14ac:dyDescent="0.25">
      <c r="A235" s="4" t="s">
        <v>1107</v>
      </c>
      <c r="B235" s="7" t="s">
        <v>300</v>
      </c>
      <c r="C235" s="2" t="s">
        <v>1108</v>
      </c>
      <c r="D235">
        <f>VLOOKUP(B235,'Model allocations'!$A$1:$L$317,5,FALSE)</f>
        <v>253109.42833682575</v>
      </c>
      <c r="E235" s="31">
        <f>VLOOKUP(B235,'Initial adjusted formula count'!$A$1:$P$317,12,FALSE)</f>
        <v>0.112776025236593</v>
      </c>
      <c r="F235">
        <f>VLOOKUP(B235,'Model allocations'!$A$1:$L$317,10,FALSE)</f>
        <v>239861.91812411536</v>
      </c>
      <c r="G235" s="30">
        <f t="shared" si="64"/>
        <v>0.85</v>
      </c>
      <c r="H235">
        <f t="shared" si="65"/>
        <v>215143.01408630188</v>
      </c>
      <c r="I235">
        <f t="shared" si="57"/>
        <v>0</v>
      </c>
      <c r="J235">
        <f t="shared" si="58"/>
        <v>239861.91812411536</v>
      </c>
      <c r="K235">
        <f t="shared" si="59"/>
        <v>239724.39296882425</v>
      </c>
      <c r="L235">
        <f t="shared" si="66"/>
        <v>239724.39296882425</v>
      </c>
      <c r="M235">
        <f t="shared" si="60"/>
        <v>0</v>
      </c>
      <c r="N235" s="29">
        <f t="shared" si="67"/>
        <v>239724.39296882425</v>
      </c>
      <c r="O235" s="29">
        <f t="shared" si="61"/>
        <v>239707.05071653001</v>
      </c>
      <c r="P235" s="29">
        <f t="shared" si="68"/>
        <v>239707.05071653001</v>
      </c>
      <c r="Q235">
        <f t="shared" si="69"/>
        <v>0</v>
      </c>
      <c r="R235" s="29">
        <f t="shared" si="70"/>
        <v>239707.05071653001</v>
      </c>
      <c r="S235" s="29">
        <f t="shared" si="62"/>
        <v>239707.05071653015</v>
      </c>
      <c r="T235" s="29">
        <f t="shared" si="71"/>
        <v>239707.05071653015</v>
      </c>
      <c r="U235">
        <f t="shared" si="72"/>
        <v>0</v>
      </c>
      <c r="V235" s="29">
        <f t="shared" si="73"/>
        <v>239707.05071653015</v>
      </c>
      <c r="W235" s="29">
        <f t="shared" si="63"/>
        <v>239707.05071653018</v>
      </c>
      <c r="X235" s="29">
        <f t="shared" si="74"/>
        <v>239707.05071653018</v>
      </c>
      <c r="Y235">
        <f t="shared" si="75"/>
        <v>0</v>
      </c>
    </row>
    <row r="236" spans="1:25" x14ac:dyDescent="0.25">
      <c r="A236" s="4" t="s">
        <v>1109</v>
      </c>
      <c r="B236" s="7" t="s">
        <v>574</v>
      </c>
      <c r="C236" s="2" t="s">
        <v>1110</v>
      </c>
      <c r="D236">
        <f>VLOOKUP(B236,'Model allocations'!$A$1:$L$317,5,FALSE)</f>
        <v>192610.10156363324</v>
      </c>
      <c r="E236" s="31">
        <f>VLOOKUP(B236,'Initial adjusted formula count'!$A$1:$P$317,12,FALSE)</f>
        <v>0.121110579224509</v>
      </c>
      <c r="F236">
        <f>VLOOKUP(B236,'Model allocations'!$A$1:$L$317,10,FALSE)</f>
        <v>212185.54295594821</v>
      </c>
      <c r="G236" s="30">
        <f t="shared" si="64"/>
        <v>0.85</v>
      </c>
      <c r="H236">
        <f t="shared" si="65"/>
        <v>163718.58632908826</v>
      </c>
      <c r="I236">
        <f t="shared" si="57"/>
        <v>0</v>
      </c>
      <c r="J236">
        <f t="shared" si="58"/>
        <v>212185.54295594821</v>
      </c>
      <c r="K236">
        <f t="shared" si="59"/>
        <v>212063.88608780611</v>
      </c>
      <c r="L236">
        <f t="shared" si="66"/>
        <v>212063.88608780611</v>
      </c>
      <c r="M236">
        <f t="shared" si="60"/>
        <v>0</v>
      </c>
      <c r="N236" s="29">
        <f t="shared" si="67"/>
        <v>212063.88608780611</v>
      </c>
      <c r="O236" s="29">
        <f t="shared" si="61"/>
        <v>212048.54486462273</v>
      </c>
      <c r="P236" s="29">
        <f t="shared" si="68"/>
        <v>212048.54486462273</v>
      </c>
      <c r="Q236">
        <f t="shared" si="69"/>
        <v>0</v>
      </c>
      <c r="R236" s="29">
        <f t="shared" si="70"/>
        <v>212048.54486462273</v>
      </c>
      <c r="S236" s="29">
        <f t="shared" si="62"/>
        <v>212048.54486462285</v>
      </c>
      <c r="T236" s="29">
        <f t="shared" si="71"/>
        <v>212048.54486462285</v>
      </c>
      <c r="U236">
        <f t="shared" si="72"/>
        <v>0</v>
      </c>
      <c r="V236" s="29">
        <f t="shared" si="73"/>
        <v>212048.54486462285</v>
      </c>
      <c r="W236" s="29">
        <f t="shared" si="63"/>
        <v>212048.54486462288</v>
      </c>
      <c r="X236" s="29">
        <f t="shared" si="74"/>
        <v>212048.54486462288</v>
      </c>
      <c r="Y236">
        <f t="shared" si="75"/>
        <v>0</v>
      </c>
    </row>
    <row r="237" spans="1:25" x14ac:dyDescent="0.25">
      <c r="A237" s="4" t="s">
        <v>1111</v>
      </c>
      <c r="B237" s="7" t="s">
        <v>576</v>
      </c>
      <c r="C237" s="2" t="s">
        <v>1112</v>
      </c>
      <c r="D237">
        <f>VLOOKUP(B237,'Model allocations'!$A$1:$L$317,5,FALSE)</f>
        <v>52188.036266703297</v>
      </c>
      <c r="E237" s="31">
        <f>VLOOKUP(B237,'Initial adjusted formula count'!$A$1:$P$317,12,FALSE)</f>
        <v>0.25937500000000002</v>
      </c>
      <c r="F237">
        <f>VLOOKUP(B237,'Model allocations'!$A$1:$L$317,10,FALSE)</f>
        <v>49081.115987620557</v>
      </c>
      <c r="G237" s="30">
        <f t="shared" si="64"/>
        <v>0.9</v>
      </c>
      <c r="H237">
        <f t="shared" si="65"/>
        <v>46969.232640032969</v>
      </c>
      <c r="I237">
        <f t="shared" si="57"/>
        <v>0</v>
      </c>
      <c r="J237">
        <f t="shared" si="58"/>
        <v>49081.115987620557</v>
      </c>
      <c r="K237">
        <f t="shared" si="59"/>
        <v>49052.975263362008</v>
      </c>
      <c r="L237">
        <f t="shared" si="66"/>
        <v>49052.975263362008</v>
      </c>
      <c r="M237">
        <f t="shared" si="60"/>
        <v>0</v>
      </c>
      <c r="N237" s="29">
        <f t="shared" si="67"/>
        <v>49052.975263362008</v>
      </c>
      <c r="O237" s="29">
        <f t="shared" si="61"/>
        <v>49049.426650464229</v>
      </c>
      <c r="P237" s="29">
        <f t="shared" si="68"/>
        <v>49049.426650464229</v>
      </c>
      <c r="Q237">
        <f t="shared" si="69"/>
        <v>0</v>
      </c>
      <c r="R237" s="29">
        <f t="shared" si="70"/>
        <v>49049.426650464229</v>
      </c>
      <c r="S237" s="29">
        <f t="shared" si="62"/>
        <v>49049.426650464258</v>
      </c>
      <c r="T237" s="29">
        <f t="shared" si="71"/>
        <v>49049.426650464258</v>
      </c>
      <c r="U237">
        <f t="shared" si="72"/>
        <v>0</v>
      </c>
      <c r="V237" s="29">
        <f t="shared" si="73"/>
        <v>49049.426650464258</v>
      </c>
      <c r="W237" s="29">
        <f t="shared" si="63"/>
        <v>49049.426650464266</v>
      </c>
      <c r="X237" s="29">
        <f t="shared" si="74"/>
        <v>49049.426650464266</v>
      </c>
      <c r="Y237">
        <f t="shared" si="75"/>
        <v>0</v>
      </c>
    </row>
    <row r="238" spans="1:25" x14ac:dyDescent="0.25">
      <c r="A238" s="4" t="s">
        <v>1113</v>
      </c>
      <c r="B238" s="7" t="s">
        <v>578</v>
      </c>
      <c r="C238" s="2" t="s">
        <v>1114</v>
      </c>
      <c r="D238">
        <f>VLOOKUP(B238,'Model allocations'!$A$1:$L$317,5,FALSE)</f>
        <v>174501.45953628313</v>
      </c>
      <c r="E238" s="31">
        <f>VLOOKUP(B238,'Initial adjusted formula count'!$A$1:$P$317,12,FALSE)</f>
        <v>0.14715291106845799</v>
      </c>
      <c r="F238">
        <f>VLOOKUP(B238,'Model allocations'!$A$1:$L$317,10,FALSE)</f>
        <v>192895.94814177114</v>
      </c>
      <c r="G238" s="30">
        <f t="shared" si="64"/>
        <v>0.85</v>
      </c>
      <c r="H238">
        <f t="shared" si="65"/>
        <v>148326.24060584066</v>
      </c>
      <c r="I238">
        <f t="shared" si="57"/>
        <v>0</v>
      </c>
      <c r="J238">
        <f t="shared" si="58"/>
        <v>192895.94814177114</v>
      </c>
      <c r="K238">
        <f t="shared" si="59"/>
        <v>192785.35098891467</v>
      </c>
      <c r="L238">
        <f t="shared" si="66"/>
        <v>192785.35098891467</v>
      </c>
      <c r="M238">
        <f t="shared" si="60"/>
        <v>0</v>
      </c>
      <c r="N238" s="29">
        <f t="shared" si="67"/>
        <v>192785.35098891467</v>
      </c>
      <c r="O238" s="29">
        <f t="shared" si="61"/>
        <v>192771.40442238434</v>
      </c>
      <c r="P238" s="29">
        <f t="shared" si="68"/>
        <v>192771.40442238434</v>
      </c>
      <c r="Q238">
        <f t="shared" si="69"/>
        <v>0</v>
      </c>
      <c r="R238" s="29">
        <f t="shared" si="70"/>
        <v>192771.40442238434</v>
      </c>
      <c r="S238" s="29">
        <f t="shared" si="62"/>
        <v>192771.40442238445</v>
      </c>
      <c r="T238" s="29">
        <f t="shared" si="71"/>
        <v>192771.40442238445</v>
      </c>
      <c r="U238">
        <f t="shared" si="72"/>
        <v>0</v>
      </c>
      <c r="V238" s="29">
        <f t="shared" si="73"/>
        <v>192771.40442238445</v>
      </c>
      <c r="W238" s="29">
        <f t="shared" si="63"/>
        <v>192771.40442238448</v>
      </c>
      <c r="X238" s="29">
        <f t="shared" si="74"/>
        <v>192771.40442238448</v>
      </c>
      <c r="Y238">
        <f t="shared" si="75"/>
        <v>0</v>
      </c>
    </row>
    <row r="239" spans="1:25" x14ac:dyDescent="0.25">
      <c r="A239" s="4" t="s">
        <v>1115</v>
      </c>
      <c r="B239" s="7" t="s">
        <v>209</v>
      </c>
      <c r="C239" s="2" t="s">
        <v>1116</v>
      </c>
      <c r="D239">
        <f>VLOOKUP(B239,'Model allocations'!$A$1:$L$317,5,FALSE)</f>
        <v>0</v>
      </c>
      <c r="E239" s="31">
        <f>VLOOKUP(B239,'Initial adjusted formula count'!$A$1:$P$317,12,FALSE)</f>
        <v>0.18181818181818199</v>
      </c>
      <c r="F239">
        <f>VLOOKUP(B239,'Model allocations'!$A$1:$L$317,10,FALSE)</f>
        <v>0</v>
      </c>
      <c r="G239" s="30">
        <f t="shared" si="64"/>
        <v>0.9</v>
      </c>
      <c r="H239">
        <f t="shared" si="65"/>
        <v>0</v>
      </c>
      <c r="I239">
        <f t="shared" si="57"/>
        <v>0</v>
      </c>
      <c r="J239">
        <f t="shared" si="58"/>
        <v>0</v>
      </c>
      <c r="K239">
        <f t="shared" si="59"/>
        <v>0</v>
      </c>
      <c r="L239">
        <f t="shared" si="66"/>
        <v>0</v>
      </c>
      <c r="M239">
        <f t="shared" si="60"/>
        <v>0</v>
      </c>
      <c r="N239" s="29">
        <f t="shared" si="67"/>
        <v>0</v>
      </c>
      <c r="O239" s="29">
        <f t="shared" si="61"/>
        <v>0</v>
      </c>
      <c r="P239" s="29">
        <f t="shared" si="68"/>
        <v>0</v>
      </c>
      <c r="Q239">
        <f t="shared" si="69"/>
        <v>0</v>
      </c>
      <c r="R239" s="29">
        <f t="shared" si="70"/>
        <v>0</v>
      </c>
      <c r="S239" s="29">
        <f t="shared" si="62"/>
        <v>0</v>
      </c>
      <c r="T239" s="29">
        <f t="shared" si="71"/>
        <v>0</v>
      </c>
      <c r="U239">
        <f t="shared" si="72"/>
        <v>0</v>
      </c>
      <c r="V239" s="29">
        <f t="shared" si="73"/>
        <v>0</v>
      </c>
      <c r="W239" s="29">
        <f t="shared" si="63"/>
        <v>0</v>
      </c>
      <c r="X239" s="29">
        <f t="shared" si="74"/>
        <v>0</v>
      </c>
      <c r="Y239">
        <f t="shared" si="75"/>
        <v>0</v>
      </c>
    </row>
    <row r="240" spans="1:25" x14ac:dyDescent="0.25">
      <c r="A240" s="4" t="s">
        <v>1117</v>
      </c>
      <c r="B240" s="7" t="s">
        <v>580</v>
      </c>
      <c r="C240" s="2" t="s">
        <v>1118</v>
      </c>
      <c r="D240">
        <f>VLOOKUP(B240,'Model allocations'!$A$1:$L$317,5,FALSE)</f>
        <v>357509.21125617286</v>
      </c>
      <c r="E240" s="31">
        <f>VLOOKUP(B240,'Initial adjusted formula count'!$A$1:$P$317,12,FALSE)</f>
        <v>0.18101386896221899</v>
      </c>
      <c r="F240">
        <f>VLOOKUP(B240,'Model allocations'!$A$1:$L$317,10,FALSE)</f>
        <v>350602.34973695839</v>
      </c>
      <c r="G240" s="30">
        <f t="shared" si="64"/>
        <v>0.9</v>
      </c>
      <c r="H240">
        <f t="shared" si="65"/>
        <v>321758.29013055557</v>
      </c>
      <c r="I240">
        <f t="shared" si="57"/>
        <v>0</v>
      </c>
      <c r="J240">
        <f t="shared" si="58"/>
        <v>350602.34973695839</v>
      </c>
      <c r="K240">
        <f t="shared" si="59"/>
        <v>350401.33140536962</v>
      </c>
      <c r="L240">
        <f t="shared" si="66"/>
        <v>350401.33140536962</v>
      </c>
      <c r="M240">
        <f t="shared" si="60"/>
        <v>0</v>
      </c>
      <c r="N240" s="29">
        <f t="shared" si="67"/>
        <v>350401.33140536962</v>
      </c>
      <c r="O240" s="29">
        <f t="shared" si="61"/>
        <v>350375.98251109058</v>
      </c>
      <c r="P240" s="29">
        <f t="shared" si="68"/>
        <v>350375.98251109058</v>
      </c>
      <c r="Q240">
        <f t="shared" si="69"/>
        <v>0</v>
      </c>
      <c r="R240" s="29">
        <f t="shared" si="70"/>
        <v>350375.98251109058</v>
      </c>
      <c r="S240" s="29">
        <f t="shared" si="62"/>
        <v>350375.98251109075</v>
      </c>
      <c r="T240" s="29">
        <f t="shared" si="71"/>
        <v>350375.98251109075</v>
      </c>
      <c r="U240">
        <f t="shared" si="72"/>
        <v>0</v>
      </c>
      <c r="V240" s="29">
        <f t="shared" si="73"/>
        <v>350375.98251109075</v>
      </c>
      <c r="W240" s="29">
        <f t="shared" si="63"/>
        <v>350375.98251109081</v>
      </c>
      <c r="X240" s="29">
        <f t="shared" si="74"/>
        <v>350375.98251109081</v>
      </c>
      <c r="Y240">
        <f t="shared" si="75"/>
        <v>0</v>
      </c>
    </row>
    <row r="241" spans="1:25" x14ac:dyDescent="0.25">
      <c r="A241" s="4" t="s">
        <v>1119</v>
      </c>
      <c r="B241" s="7" t="s">
        <v>211</v>
      </c>
      <c r="C241" s="2" t="s">
        <v>1120</v>
      </c>
      <c r="D241">
        <f>VLOOKUP(B241,'Model allocations'!$A$1:$L$317,5,FALSE)</f>
        <v>290252.82296512934</v>
      </c>
      <c r="E241" s="31">
        <f>VLOOKUP(B241,'Initial adjusted formula count'!$A$1:$P$317,12,FALSE)</f>
        <v>6.5039081347100305E-2</v>
      </c>
      <c r="F241">
        <f>VLOOKUP(B241,'Model allocations'!$A$1:$L$317,10,FALSE)</f>
        <v>282634.49792946456</v>
      </c>
      <c r="G241" s="30">
        <f t="shared" si="64"/>
        <v>0.85</v>
      </c>
      <c r="H241">
        <f t="shared" si="65"/>
        <v>246714.89952035993</v>
      </c>
      <c r="I241">
        <f t="shared" si="57"/>
        <v>0</v>
      </c>
      <c r="J241">
        <f t="shared" si="58"/>
        <v>282634.49792946456</v>
      </c>
      <c r="K241">
        <f t="shared" si="59"/>
        <v>282472.44905767048</v>
      </c>
      <c r="L241">
        <f t="shared" si="66"/>
        <v>282472.44905767048</v>
      </c>
      <c r="M241">
        <f t="shared" si="60"/>
        <v>0</v>
      </c>
      <c r="N241" s="29">
        <f t="shared" si="67"/>
        <v>282472.44905767048</v>
      </c>
      <c r="O241" s="29">
        <f t="shared" si="61"/>
        <v>282452.01430584124</v>
      </c>
      <c r="P241" s="29">
        <f t="shared" si="68"/>
        <v>282452.01430584124</v>
      </c>
      <c r="Q241">
        <f t="shared" si="69"/>
        <v>0</v>
      </c>
      <c r="R241" s="29">
        <f t="shared" si="70"/>
        <v>282452.01430584124</v>
      </c>
      <c r="S241" s="29">
        <f t="shared" si="62"/>
        <v>282452.01430584141</v>
      </c>
      <c r="T241" s="29">
        <f t="shared" si="71"/>
        <v>282452.01430584141</v>
      </c>
      <c r="U241">
        <f t="shared" si="72"/>
        <v>0</v>
      </c>
      <c r="V241" s="29">
        <f t="shared" si="73"/>
        <v>282452.01430584141</v>
      </c>
      <c r="W241" s="29">
        <f t="shared" si="63"/>
        <v>282452.01430584147</v>
      </c>
      <c r="X241" s="29">
        <f t="shared" si="74"/>
        <v>282452.01430584147</v>
      </c>
      <c r="Y241">
        <f t="shared" si="75"/>
        <v>0</v>
      </c>
    </row>
    <row r="242" spans="1:25" x14ac:dyDescent="0.25">
      <c r="A242" s="4" t="s">
        <v>1121</v>
      </c>
      <c r="B242" s="7" t="s">
        <v>302</v>
      </c>
      <c r="C242" s="2" t="s">
        <v>1122</v>
      </c>
      <c r="D242">
        <f>VLOOKUP(B242,'Model allocations'!$A$1:$L$317,5,FALSE)</f>
        <v>5350.2805989898143</v>
      </c>
      <c r="E242" s="31">
        <f>VLOOKUP(B242,'Initial adjusted formula count'!$A$1:$P$317,12,FALSE)</f>
        <v>0.126984126984127</v>
      </c>
      <c r="F242">
        <f>VLOOKUP(B242,'Model allocations'!$A$1:$L$317,10,FALSE)</f>
        <v>6709.4242831920374</v>
      </c>
      <c r="G242" s="30">
        <f t="shared" si="64"/>
        <v>0.85</v>
      </c>
      <c r="H242">
        <f t="shared" si="65"/>
        <v>4547.7385091413416</v>
      </c>
      <c r="I242">
        <f t="shared" si="57"/>
        <v>0</v>
      </c>
      <c r="J242">
        <f t="shared" si="58"/>
        <v>6709.4242831920374</v>
      </c>
      <c r="K242">
        <f t="shared" si="59"/>
        <v>6705.5774257013773</v>
      </c>
      <c r="L242">
        <f t="shared" si="66"/>
        <v>6705.5774257013773</v>
      </c>
      <c r="M242">
        <f t="shared" si="60"/>
        <v>0</v>
      </c>
      <c r="N242" s="29">
        <f t="shared" si="67"/>
        <v>6705.5774257013773</v>
      </c>
      <c r="O242" s="29">
        <f t="shared" si="61"/>
        <v>6705.0923277351048</v>
      </c>
      <c r="P242" s="29">
        <f t="shared" si="68"/>
        <v>6705.0923277351048</v>
      </c>
      <c r="Q242">
        <f t="shared" si="69"/>
        <v>0</v>
      </c>
      <c r="R242" s="29">
        <f t="shared" si="70"/>
        <v>6705.0923277351048</v>
      </c>
      <c r="S242" s="29">
        <f t="shared" si="62"/>
        <v>6705.0923277351085</v>
      </c>
      <c r="T242" s="29">
        <f t="shared" si="71"/>
        <v>6705.0923277351085</v>
      </c>
      <c r="U242">
        <f t="shared" si="72"/>
        <v>0</v>
      </c>
      <c r="V242" s="29">
        <f t="shared" si="73"/>
        <v>6705.0923277351085</v>
      </c>
      <c r="W242" s="29">
        <f t="shared" si="63"/>
        <v>6705.0923277351094</v>
      </c>
      <c r="X242" s="29">
        <f t="shared" si="74"/>
        <v>6705.0923277351094</v>
      </c>
      <c r="Y242">
        <f t="shared" si="75"/>
        <v>0</v>
      </c>
    </row>
    <row r="243" spans="1:25" x14ac:dyDescent="0.25">
      <c r="A243" s="4" t="s">
        <v>1123</v>
      </c>
      <c r="B243" s="7" t="s">
        <v>213</v>
      </c>
      <c r="C243" s="2" t="s">
        <v>1124</v>
      </c>
      <c r="D243">
        <f>VLOOKUP(B243,'Model allocations'!$A$1:$L$317,5,FALSE)</f>
        <v>0</v>
      </c>
      <c r="E243" s="31">
        <f>VLOOKUP(B243,'Initial adjusted formula count'!$A$1:$P$317,12,FALSE)</f>
        <v>7.3529411764705899E-2</v>
      </c>
      <c r="F243">
        <f>VLOOKUP(B243,'Model allocations'!$A$1:$L$317,10,FALSE)</f>
        <v>0</v>
      </c>
      <c r="G243" s="30">
        <f t="shared" si="64"/>
        <v>0.85</v>
      </c>
      <c r="H243">
        <f t="shared" si="65"/>
        <v>0</v>
      </c>
      <c r="I243">
        <f t="shared" si="57"/>
        <v>0</v>
      </c>
      <c r="J243">
        <f t="shared" si="58"/>
        <v>0</v>
      </c>
      <c r="K243">
        <f t="shared" si="59"/>
        <v>0</v>
      </c>
      <c r="L243">
        <f t="shared" si="66"/>
        <v>0</v>
      </c>
      <c r="M243">
        <f t="shared" si="60"/>
        <v>0</v>
      </c>
      <c r="N243" s="29">
        <f t="shared" si="67"/>
        <v>0</v>
      </c>
      <c r="O243" s="29">
        <f t="shared" si="61"/>
        <v>0</v>
      </c>
      <c r="P243" s="29">
        <f t="shared" si="68"/>
        <v>0</v>
      </c>
      <c r="Q243">
        <f t="shared" si="69"/>
        <v>0</v>
      </c>
      <c r="R243" s="29">
        <f t="shared" si="70"/>
        <v>0</v>
      </c>
      <c r="S243" s="29">
        <f t="shared" si="62"/>
        <v>0</v>
      </c>
      <c r="T243" s="29">
        <f t="shared" si="71"/>
        <v>0</v>
      </c>
      <c r="U243">
        <f t="shared" si="72"/>
        <v>0</v>
      </c>
      <c r="V243" s="29">
        <f t="shared" si="73"/>
        <v>0</v>
      </c>
      <c r="W243" s="29">
        <f t="shared" si="63"/>
        <v>0</v>
      </c>
      <c r="X243" s="29">
        <f t="shared" si="74"/>
        <v>0</v>
      </c>
      <c r="Y243">
        <f t="shared" si="75"/>
        <v>0</v>
      </c>
    </row>
    <row r="244" spans="1:25" x14ac:dyDescent="0.25">
      <c r="A244" s="4" t="s">
        <v>1125</v>
      </c>
      <c r="B244" s="7" t="s">
        <v>215</v>
      </c>
      <c r="C244" s="2" t="s">
        <v>1126</v>
      </c>
      <c r="D244">
        <f>VLOOKUP(B244,'Model allocations'!$A$1:$L$317,5,FALSE)</f>
        <v>228415.82557225734</v>
      </c>
      <c r="E244" s="31">
        <f>VLOOKUP(B244,'Initial adjusted formula count'!$A$1:$P$317,12,FALSE)</f>
        <v>5.33778148457048E-2</v>
      </c>
      <c r="F244">
        <f>VLOOKUP(B244,'Model allocations'!$A$1:$L$317,10,FALSE)</f>
        <v>241539.27419491336</v>
      </c>
      <c r="G244" s="30">
        <f t="shared" si="64"/>
        <v>0.85</v>
      </c>
      <c r="H244">
        <f t="shared" si="65"/>
        <v>194153.45173641873</v>
      </c>
      <c r="I244">
        <f t="shared" si="57"/>
        <v>0</v>
      </c>
      <c r="J244">
        <f t="shared" si="58"/>
        <v>241539.27419491336</v>
      </c>
      <c r="K244">
        <f t="shared" si="59"/>
        <v>241400.78732524961</v>
      </c>
      <c r="L244">
        <f t="shared" si="66"/>
        <v>241400.78732524961</v>
      </c>
      <c r="M244">
        <f t="shared" si="60"/>
        <v>0</v>
      </c>
      <c r="N244" s="29">
        <f t="shared" si="67"/>
        <v>241400.78732524961</v>
      </c>
      <c r="O244" s="29">
        <f t="shared" si="61"/>
        <v>241383.3237984638</v>
      </c>
      <c r="P244" s="29">
        <f t="shared" si="68"/>
        <v>241383.3237984638</v>
      </c>
      <c r="Q244">
        <f t="shared" si="69"/>
        <v>0</v>
      </c>
      <c r="R244" s="29">
        <f t="shared" si="70"/>
        <v>241383.3237984638</v>
      </c>
      <c r="S244" s="29">
        <f t="shared" si="62"/>
        <v>241383.32379846391</v>
      </c>
      <c r="T244" s="29">
        <f t="shared" si="71"/>
        <v>241383.32379846391</v>
      </c>
      <c r="U244">
        <f t="shared" si="72"/>
        <v>0</v>
      </c>
      <c r="V244" s="29">
        <f t="shared" si="73"/>
        <v>241383.32379846391</v>
      </c>
      <c r="W244" s="29">
        <f t="shared" si="63"/>
        <v>241383.32379846394</v>
      </c>
      <c r="X244" s="29">
        <f t="shared" si="74"/>
        <v>241383.32379846394</v>
      </c>
      <c r="Y244">
        <f t="shared" si="75"/>
        <v>0</v>
      </c>
    </row>
    <row r="245" spans="1:25" x14ac:dyDescent="0.25">
      <c r="A245" s="8" t="s">
        <v>1127</v>
      </c>
      <c r="B245" s="7" t="s">
        <v>217</v>
      </c>
      <c r="C245" s="2" t="s">
        <v>1128</v>
      </c>
      <c r="D245">
        <f>VLOOKUP(B245,'Model allocations'!$A$1:$L$317,5,FALSE)</f>
        <v>0</v>
      </c>
      <c r="E245" s="31">
        <f>VLOOKUP(B245,'Initial adjusted formula count'!$A$1:$P$317,12,FALSE)</f>
        <v>3.1929960087549898E-2</v>
      </c>
      <c r="F245">
        <f>VLOOKUP(B245,'Model allocations'!$A$1:$L$317,10,FALSE)</f>
        <v>0</v>
      </c>
      <c r="G245" s="30">
        <f t="shared" si="64"/>
        <v>0.85</v>
      </c>
      <c r="H245">
        <f t="shared" si="65"/>
        <v>0</v>
      </c>
      <c r="I245">
        <f t="shared" si="57"/>
        <v>0</v>
      </c>
      <c r="J245">
        <f t="shared" si="58"/>
        <v>0</v>
      </c>
      <c r="K245">
        <f t="shared" si="59"/>
        <v>0</v>
      </c>
      <c r="L245">
        <f t="shared" si="66"/>
        <v>0</v>
      </c>
      <c r="M245">
        <f t="shared" si="60"/>
        <v>0</v>
      </c>
      <c r="N245" s="29">
        <f t="shared" si="67"/>
        <v>0</v>
      </c>
      <c r="O245" s="29">
        <f t="shared" si="61"/>
        <v>0</v>
      </c>
      <c r="P245" s="29">
        <f t="shared" si="68"/>
        <v>0</v>
      </c>
      <c r="Q245">
        <f t="shared" si="69"/>
        <v>0</v>
      </c>
      <c r="R245" s="29">
        <f t="shared" si="70"/>
        <v>0</v>
      </c>
      <c r="S245" s="29">
        <f t="shared" si="62"/>
        <v>0</v>
      </c>
      <c r="T245" s="29">
        <f t="shared" si="71"/>
        <v>0</v>
      </c>
      <c r="U245">
        <f t="shared" si="72"/>
        <v>0</v>
      </c>
      <c r="V245" s="29">
        <f t="shared" si="73"/>
        <v>0</v>
      </c>
      <c r="W245" s="29">
        <f t="shared" si="63"/>
        <v>0</v>
      </c>
      <c r="X245" s="29">
        <f t="shared" si="74"/>
        <v>0</v>
      </c>
      <c r="Y245">
        <f t="shared" si="75"/>
        <v>0</v>
      </c>
    </row>
    <row r="246" spans="1:25" x14ac:dyDescent="0.25">
      <c r="A246" s="4" t="s">
        <v>1129</v>
      </c>
      <c r="B246" s="7" t="s">
        <v>582</v>
      </c>
      <c r="C246" s="2" t="s">
        <v>1130</v>
      </c>
      <c r="D246">
        <f>VLOOKUP(B246,'Model allocations'!$A$1:$L$317,5,FALSE)</f>
        <v>89658.736730729623</v>
      </c>
      <c r="E246" s="31">
        <f>VLOOKUP(B246,'Initial adjusted formula count'!$A$1:$P$317,12,FALSE)</f>
        <v>0.33606557377049201</v>
      </c>
      <c r="F246">
        <f>VLOOKUP(B246,'Model allocations'!$A$1:$L$317,10,FALSE)</f>
        <v>149216.02353687456</v>
      </c>
      <c r="G246" s="30">
        <f t="shared" si="64"/>
        <v>0.95</v>
      </c>
      <c r="H246">
        <f t="shared" si="65"/>
        <v>85175.799894193144</v>
      </c>
      <c r="I246">
        <f t="shared" si="57"/>
        <v>0</v>
      </c>
      <c r="J246">
        <f t="shared" si="58"/>
        <v>149216.02353687456</v>
      </c>
      <c r="K246">
        <f t="shared" si="59"/>
        <v>149130.47032788952</v>
      </c>
      <c r="L246">
        <f t="shared" si="66"/>
        <v>149130.47032788952</v>
      </c>
      <c r="M246">
        <f t="shared" si="60"/>
        <v>0</v>
      </c>
      <c r="N246" s="29">
        <f t="shared" si="67"/>
        <v>149130.47032788952</v>
      </c>
      <c r="O246" s="29">
        <f t="shared" si="61"/>
        <v>149119.68186281444</v>
      </c>
      <c r="P246" s="29">
        <f t="shared" si="68"/>
        <v>149119.68186281444</v>
      </c>
      <c r="Q246">
        <f t="shared" si="69"/>
        <v>0</v>
      </c>
      <c r="R246" s="29">
        <f t="shared" si="70"/>
        <v>149119.68186281444</v>
      </c>
      <c r="S246" s="29">
        <f t="shared" si="62"/>
        <v>149119.68186281453</v>
      </c>
      <c r="T246" s="29">
        <f t="shared" si="71"/>
        <v>149119.68186281453</v>
      </c>
      <c r="U246">
        <f t="shared" si="72"/>
        <v>0</v>
      </c>
      <c r="V246" s="29">
        <f t="shared" si="73"/>
        <v>149119.68186281453</v>
      </c>
      <c r="W246" s="29">
        <f t="shared" si="63"/>
        <v>149119.68186281456</v>
      </c>
      <c r="X246" s="29">
        <f t="shared" si="74"/>
        <v>149119.68186281456</v>
      </c>
      <c r="Y246">
        <f t="shared" si="75"/>
        <v>0</v>
      </c>
    </row>
    <row r="247" spans="1:25" x14ac:dyDescent="0.25">
      <c r="A247" s="4" t="s">
        <v>1131</v>
      </c>
      <c r="B247" s="7" t="s">
        <v>584</v>
      </c>
      <c r="C247" s="2" t="s">
        <v>1132</v>
      </c>
      <c r="D247">
        <f>VLOOKUP(B247,'Model allocations'!$A$1:$L$317,5,FALSE)</f>
        <v>49985.119964076155</v>
      </c>
      <c r="E247" s="31">
        <f>VLOOKUP(B247,'Initial adjusted formula count'!$A$1:$P$317,12,FALSE)</f>
        <v>0.18133333333333301</v>
      </c>
      <c r="F247">
        <f>VLOOKUP(B247,'Model allocations'!$A$1:$L$317,10,FALSE)</f>
        <v>44986.60796766854</v>
      </c>
      <c r="G247" s="30">
        <f t="shared" si="64"/>
        <v>0.9</v>
      </c>
      <c r="H247">
        <f t="shared" si="65"/>
        <v>44986.60796766854</v>
      </c>
      <c r="I247">
        <f t="shared" si="57"/>
        <v>0</v>
      </c>
      <c r="J247">
        <f t="shared" si="58"/>
        <v>44986.60796766854</v>
      </c>
      <c r="K247">
        <f t="shared" si="59"/>
        <v>44960.814835123121</v>
      </c>
      <c r="L247">
        <f t="shared" si="66"/>
        <v>44960.814835123121</v>
      </c>
      <c r="M247">
        <f t="shared" si="60"/>
        <v>44986.60796766854</v>
      </c>
      <c r="N247" s="29">
        <f t="shared" si="67"/>
        <v>0</v>
      </c>
      <c r="O247" s="29">
        <f t="shared" si="61"/>
        <v>0</v>
      </c>
      <c r="P247" s="29">
        <f t="shared" si="68"/>
        <v>44986.60796766854</v>
      </c>
      <c r="Q247">
        <f t="shared" si="69"/>
        <v>0</v>
      </c>
      <c r="R247" s="29">
        <f t="shared" si="70"/>
        <v>0</v>
      </c>
      <c r="S247" s="29">
        <f t="shared" si="62"/>
        <v>0</v>
      </c>
      <c r="T247" s="29">
        <f t="shared" si="71"/>
        <v>44986.60796766854</v>
      </c>
      <c r="U247">
        <f t="shared" si="72"/>
        <v>0</v>
      </c>
      <c r="V247" s="29">
        <f t="shared" si="73"/>
        <v>0</v>
      </c>
      <c r="W247" s="29">
        <f t="shared" si="63"/>
        <v>0</v>
      </c>
      <c r="X247" s="29">
        <f t="shared" si="74"/>
        <v>44986.60796766854</v>
      </c>
      <c r="Y247">
        <f t="shared" si="75"/>
        <v>0</v>
      </c>
    </row>
    <row r="248" spans="1:25" x14ac:dyDescent="0.25">
      <c r="A248" s="4" t="s">
        <v>1133</v>
      </c>
      <c r="B248" s="7" t="s">
        <v>219</v>
      </c>
      <c r="C248" s="2" t="s">
        <v>1134</v>
      </c>
      <c r="D248">
        <f>VLOOKUP(B248,'Model allocations'!$A$1:$L$317,5,FALSE)</f>
        <v>568364.42363114853</v>
      </c>
      <c r="E248" s="31">
        <f>VLOOKUP(B248,'Initial adjusted formula count'!$A$1:$P$317,12,FALSE)</f>
        <v>8.4976847882010001E-2</v>
      </c>
      <c r="F248">
        <f>VLOOKUP(B248,'Model allocations'!$A$1:$L$317,10,FALSE)</f>
        <v>483109.76008647622</v>
      </c>
      <c r="G248" s="30">
        <f t="shared" si="64"/>
        <v>0.85</v>
      </c>
      <c r="H248">
        <f t="shared" si="65"/>
        <v>483109.76008647622</v>
      </c>
      <c r="I248">
        <f t="shared" si="57"/>
        <v>0</v>
      </c>
      <c r="J248">
        <f t="shared" si="58"/>
        <v>483109.76008647622</v>
      </c>
      <c r="K248">
        <f t="shared" si="59"/>
        <v>482832.7684518802</v>
      </c>
      <c r="L248">
        <f t="shared" si="66"/>
        <v>482832.7684518802</v>
      </c>
      <c r="M248">
        <f t="shared" si="60"/>
        <v>483109.76008647622</v>
      </c>
      <c r="N248" s="29">
        <f t="shared" si="67"/>
        <v>0</v>
      </c>
      <c r="O248" s="29">
        <f t="shared" si="61"/>
        <v>0</v>
      </c>
      <c r="P248" s="29">
        <f t="shared" si="68"/>
        <v>483109.76008647622</v>
      </c>
      <c r="Q248">
        <f t="shared" si="69"/>
        <v>0</v>
      </c>
      <c r="R248" s="29">
        <f t="shared" si="70"/>
        <v>0</v>
      </c>
      <c r="S248" s="29">
        <f t="shared" si="62"/>
        <v>0</v>
      </c>
      <c r="T248" s="29">
        <f t="shared" si="71"/>
        <v>483109.76008647622</v>
      </c>
      <c r="U248">
        <f t="shared" si="72"/>
        <v>0</v>
      </c>
      <c r="V248" s="29">
        <f t="shared" si="73"/>
        <v>0</v>
      </c>
      <c r="W248" s="29">
        <f t="shared" si="63"/>
        <v>0</v>
      </c>
      <c r="X248" s="29">
        <f t="shared" si="74"/>
        <v>483109.76008647622</v>
      </c>
      <c r="Y248">
        <f t="shared" si="75"/>
        <v>0</v>
      </c>
    </row>
    <row r="249" spans="1:25" x14ac:dyDescent="0.25">
      <c r="A249" s="4" t="s">
        <v>1135</v>
      </c>
      <c r="B249" s="7" t="s">
        <v>221</v>
      </c>
      <c r="C249" s="2" t="s">
        <v>1136</v>
      </c>
      <c r="D249">
        <f>VLOOKUP(B249,'Model allocations'!$A$1:$L$317,5,FALSE)</f>
        <v>59753.025084253168</v>
      </c>
      <c r="E249" s="31">
        <f>VLOOKUP(B249,'Initial adjusted formula count'!$A$1:$P$317,12,FALSE)</f>
        <v>8.6107921928817402E-2</v>
      </c>
      <c r="F249">
        <f>VLOOKUP(B249,'Model allocations'!$A$1:$L$317,10,FALSE)</f>
        <v>62900.852654925358</v>
      </c>
      <c r="G249" s="30">
        <f t="shared" si="64"/>
        <v>0.85</v>
      </c>
      <c r="H249">
        <f t="shared" si="65"/>
        <v>50790.071321615193</v>
      </c>
      <c r="I249">
        <f t="shared" si="57"/>
        <v>0</v>
      </c>
      <c r="J249">
        <f t="shared" si="58"/>
        <v>62900.852654925358</v>
      </c>
      <c r="K249">
        <f t="shared" si="59"/>
        <v>62864.788365950422</v>
      </c>
      <c r="L249">
        <f t="shared" si="66"/>
        <v>62864.788365950422</v>
      </c>
      <c r="M249">
        <f t="shared" si="60"/>
        <v>0</v>
      </c>
      <c r="N249" s="29">
        <f t="shared" si="67"/>
        <v>62864.788365950422</v>
      </c>
      <c r="O249" s="29">
        <f t="shared" si="61"/>
        <v>62860.240572516617</v>
      </c>
      <c r="P249" s="29">
        <f t="shared" si="68"/>
        <v>62860.240572516617</v>
      </c>
      <c r="Q249">
        <f t="shared" si="69"/>
        <v>0</v>
      </c>
      <c r="R249" s="29">
        <f t="shared" si="70"/>
        <v>62860.240572516617</v>
      </c>
      <c r="S249" s="29">
        <f t="shared" si="62"/>
        <v>62860.240572516654</v>
      </c>
      <c r="T249" s="29">
        <f t="shared" si="71"/>
        <v>62860.240572516654</v>
      </c>
      <c r="U249">
        <f t="shared" si="72"/>
        <v>0</v>
      </c>
      <c r="V249" s="29">
        <f t="shared" si="73"/>
        <v>62860.240572516654</v>
      </c>
      <c r="W249" s="29">
        <f t="shared" si="63"/>
        <v>62860.240572516661</v>
      </c>
      <c r="X249" s="29">
        <f t="shared" si="74"/>
        <v>62860.240572516661</v>
      </c>
      <c r="Y249">
        <f t="shared" si="75"/>
        <v>0</v>
      </c>
    </row>
    <row r="250" spans="1:25" x14ac:dyDescent="0.25">
      <c r="A250" s="4" t="s">
        <v>1137</v>
      </c>
      <c r="B250" s="7" t="s">
        <v>586</v>
      </c>
      <c r="C250" s="2" t="s">
        <v>1138</v>
      </c>
      <c r="D250">
        <f>VLOOKUP(B250,'Model allocations'!$A$1:$L$317,5,FALSE)</f>
        <v>26285.846270827726</v>
      </c>
      <c r="E250" s="31">
        <f>VLOOKUP(B250,'Initial adjusted formula count'!$A$1:$P$317,12,FALSE)</f>
        <v>0.19327731092437</v>
      </c>
      <c r="F250">
        <f>VLOOKUP(B250,'Model allocations'!$A$1:$L$317,10,FALSE)</f>
        <v>33142.270561322213</v>
      </c>
      <c r="G250" s="30">
        <f t="shared" si="64"/>
        <v>0.9</v>
      </c>
      <c r="H250">
        <f t="shared" si="65"/>
        <v>23657.261643744954</v>
      </c>
      <c r="I250">
        <f t="shared" si="57"/>
        <v>0</v>
      </c>
      <c r="J250">
        <f t="shared" si="58"/>
        <v>33142.270561322213</v>
      </c>
      <c r="K250">
        <f t="shared" si="59"/>
        <v>33123.268395654188</v>
      </c>
      <c r="L250">
        <f t="shared" si="66"/>
        <v>33123.268395654188</v>
      </c>
      <c r="M250">
        <f t="shared" si="60"/>
        <v>0</v>
      </c>
      <c r="N250" s="29">
        <f t="shared" si="67"/>
        <v>33123.268395654188</v>
      </c>
      <c r="O250" s="29">
        <f t="shared" si="61"/>
        <v>33120.872176937293</v>
      </c>
      <c r="P250" s="29">
        <f t="shared" si="68"/>
        <v>33120.872176937293</v>
      </c>
      <c r="Q250">
        <f t="shared" si="69"/>
        <v>0</v>
      </c>
      <c r="R250" s="29">
        <f t="shared" si="70"/>
        <v>33120.872176937293</v>
      </c>
      <c r="S250" s="29">
        <f t="shared" si="62"/>
        <v>33120.872176937315</v>
      </c>
      <c r="T250" s="29">
        <f t="shared" si="71"/>
        <v>33120.872176937315</v>
      </c>
      <c r="U250">
        <f t="shared" si="72"/>
        <v>0</v>
      </c>
      <c r="V250" s="29">
        <f t="shared" si="73"/>
        <v>33120.872176937315</v>
      </c>
      <c r="W250" s="29">
        <f t="shared" si="63"/>
        <v>33120.872176937322</v>
      </c>
      <c r="X250" s="29">
        <f t="shared" si="74"/>
        <v>33120.872176937322</v>
      </c>
      <c r="Y250">
        <f t="shared" si="75"/>
        <v>0</v>
      </c>
    </row>
    <row r="251" spans="1:25" x14ac:dyDescent="0.25">
      <c r="A251" s="4" t="s">
        <v>32</v>
      </c>
      <c r="B251" s="7" t="s">
        <v>61</v>
      </c>
      <c r="C251" s="2" t="s">
        <v>1139</v>
      </c>
      <c r="D251">
        <f>VLOOKUP(B251,'Model allocations'!$A$1:$L$317,5,FALSE)</f>
        <v>4358323.6994189294</v>
      </c>
      <c r="E251" s="31">
        <f>VLOOKUP(B251,'Initial adjusted formula count'!$A$1:$P$317,12,FALSE)</f>
        <v>0.14178376698008699</v>
      </c>
      <c r="F251">
        <f>VLOOKUP(B251,'Model allocations'!$A$1:$L$317,10,FALSE)</f>
        <v>3722259.9611100042</v>
      </c>
      <c r="G251" s="30">
        <f t="shared" si="64"/>
        <v>0.85</v>
      </c>
      <c r="H251">
        <f t="shared" si="65"/>
        <v>3704575.1445060899</v>
      </c>
      <c r="I251">
        <f t="shared" si="57"/>
        <v>0</v>
      </c>
      <c r="J251">
        <f t="shared" si="58"/>
        <v>3722259.9611100042</v>
      </c>
      <c r="K251">
        <f t="shared" si="59"/>
        <v>3720125.7983250613</v>
      </c>
      <c r="L251">
        <f t="shared" si="66"/>
        <v>3720125.7983250613</v>
      </c>
      <c r="M251">
        <f t="shared" si="60"/>
        <v>0</v>
      </c>
      <c r="N251" s="29">
        <f t="shared" si="67"/>
        <v>3720125.7983250613</v>
      </c>
      <c r="O251" s="29">
        <f t="shared" si="61"/>
        <v>3719856.6752735358</v>
      </c>
      <c r="P251" s="29">
        <f t="shared" si="68"/>
        <v>3719856.6752735358</v>
      </c>
      <c r="Q251">
        <f t="shared" si="69"/>
        <v>0</v>
      </c>
      <c r="R251" s="29">
        <f t="shared" si="70"/>
        <v>3719856.6752735358</v>
      </c>
      <c r="S251" s="29">
        <f t="shared" si="62"/>
        <v>3719856.6752735381</v>
      </c>
      <c r="T251" s="29">
        <f t="shared" si="71"/>
        <v>3719856.6752735381</v>
      </c>
      <c r="U251">
        <f t="shared" si="72"/>
        <v>0</v>
      </c>
      <c r="V251" s="29">
        <f t="shared" si="73"/>
        <v>3719856.6752735381</v>
      </c>
      <c r="W251" s="29">
        <f t="shared" si="63"/>
        <v>3719856.6752735386</v>
      </c>
      <c r="X251" s="29">
        <f t="shared" si="74"/>
        <v>3719856.6752735386</v>
      </c>
      <c r="Y251">
        <f t="shared" si="75"/>
        <v>0</v>
      </c>
    </row>
    <row r="252" spans="1:25" x14ac:dyDescent="0.25">
      <c r="A252" s="4" t="s">
        <v>35</v>
      </c>
      <c r="B252" s="7" t="s">
        <v>78</v>
      </c>
      <c r="C252" s="2" t="s">
        <v>1140</v>
      </c>
      <c r="D252">
        <f>VLOOKUP(B252,'Model allocations'!$A$1:$L$317,5,FALSE)</f>
        <v>83773.819184184438</v>
      </c>
      <c r="E252" s="31">
        <f>VLOOKUP(B252,'Initial adjusted formula count'!$A$1:$P$317,12,FALSE)</f>
        <v>9.8287212688936795E-2</v>
      </c>
      <c r="F252">
        <f>VLOOKUP(B252,'Model allocations'!$A$1:$L$317,10,FALSE)</f>
        <v>73291.662232231276</v>
      </c>
      <c r="G252" s="30">
        <f t="shared" si="64"/>
        <v>0.85</v>
      </c>
      <c r="H252">
        <f t="shared" si="65"/>
        <v>71207.746306556772</v>
      </c>
      <c r="I252">
        <f t="shared" si="57"/>
        <v>0</v>
      </c>
      <c r="J252">
        <f t="shared" si="58"/>
        <v>73291.662232231276</v>
      </c>
      <c r="K252">
        <f t="shared" si="59"/>
        <v>73249.640358526362</v>
      </c>
      <c r="L252">
        <f t="shared" si="66"/>
        <v>73249.640358526362</v>
      </c>
      <c r="M252">
        <f t="shared" si="60"/>
        <v>0</v>
      </c>
      <c r="N252" s="29">
        <f t="shared" si="67"/>
        <v>73249.640358526362</v>
      </c>
      <c r="O252" s="29">
        <f t="shared" si="61"/>
        <v>73244.341299353342</v>
      </c>
      <c r="P252" s="29">
        <f t="shared" si="68"/>
        <v>73244.341299353342</v>
      </c>
      <c r="Q252">
        <f t="shared" si="69"/>
        <v>0</v>
      </c>
      <c r="R252" s="29">
        <f t="shared" si="70"/>
        <v>73244.341299353342</v>
      </c>
      <c r="S252" s="29">
        <f t="shared" si="62"/>
        <v>73244.341299353386</v>
      </c>
      <c r="T252" s="29">
        <f t="shared" si="71"/>
        <v>73244.341299353386</v>
      </c>
      <c r="U252">
        <f t="shared" si="72"/>
        <v>0</v>
      </c>
      <c r="V252" s="29">
        <f t="shared" si="73"/>
        <v>73244.341299353386</v>
      </c>
      <c r="W252" s="29">
        <f t="shared" si="63"/>
        <v>73244.3412993534</v>
      </c>
      <c r="X252" s="29">
        <f t="shared" si="74"/>
        <v>73244.3412993534</v>
      </c>
      <c r="Y252">
        <f t="shared" si="75"/>
        <v>0</v>
      </c>
    </row>
    <row r="253" spans="1:25" x14ac:dyDescent="0.25">
      <c r="A253" s="4" t="s">
        <v>1141</v>
      </c>
      <c r="B253" s="7" t="s">
        <v>588</v>
      </c>
      <c r="C253" s="2" t="s">
        <v>1142</v>
      </c>
      <c r="D253">
        <f>VLOOKUP(B253,'Model allocations'!$A$1:$L$317,5,FALSE)</f>
        <v>9641.3496853957658</v>
      </c>
      <c r="E253" s="31">
        <f>VLOOKUP(B253,'Initial adjusted formula count'!$A$1:$P$317,12,FALSE)</f>
        <v>0.15503875968992201</v>
      </c>
      <c r="F253">
        <f>VLOOKUP(B253,'Model allocations'!$A$1:$L$317,10,FALSE)</f>
        <v>8677.2147168561896</v>
      </c>
      <c r="G253" s="30">
        <f t="shared" si="64"/>
        <v>0.9</v>
      </c>
      <c r="H253">
        <f t="shared" si="65"/>
        <v>8677.2147168561896</v>
      </c>
      <c r="I253">
        <f t="shared" si="57"/>
        <v>0</v>
      </c>
      <c r="J253">
        <f t="shared" si="58"/>
        <v>8677.2147168561896</v>
      </c>
      <c r="K253">
        <f t="shared" si="59"/>
        <v>8672.2396240579565</v>
      </c>
      <c r="L253">
        <f t="shared" si="66"/>
        <v>8672.2396240579565</v>
      </c>
      <c r="M253">
        <f t="shared" si="60"/>
        <v>8677.2147168561896</v>
      </c>
      <c r="N253" s="29">
        <f t="shared" si="67"/>
        <v>0</v>
      </c>
      <c r="O253" s="29">
        <f t="shared" si="61"/>
        <v>0</v>
      </c>
      <c r="P253" s="29">
        <f t="shared" si="68"/>
        <v>8677.2147168561896</v>
      </c>
      <c r="Q253">
        <f t="shared" si="69"/>
        <v>0</v>
      </c>
      <c r="R253" s="29">
        <f t="shared" si="70"/>
        <v>0</v>
      </c>
      <c r="S253" s="29">
        <f t="shared" si="62"/>
        <v>0</v>
      </c>
      <c r="T253" s="29">
        <f t="shared" si="71"/>
        <v>8677.2147168561896</v>
      </c>
      <c r="U253">
        <f t="shared" si="72"/>
        <v>0</v>
      </c>
      <c r="V253" s="29">
        <f t="shared" si="73"/>
        <v>0</v>
      </c>
      <c r="W253" s="29">
        <f t="shared" si="63"/>
        <v>0</v>
      </c>
      <c r="X253" s="29">
        <f t="shared" si="74"/>
        <v>8677.2147168561896</v>
      </c>
      <c r="Y253">
        <f t="shared" si="75"/>
        <v>0</v>
      </c>
    </row>
    <row r="254" spans="1:25" x14ac:dyDescent="0.25">
      <c r="A254" s="4" t="s">
        <v>1143</v>
      </c>
      <c r="B254" s="7" t="s">
        <v>590</v>
      </c>
      <c r="C254" s="2" t="s">
        <v>1144</v>
      </c>
      <c r="D254">
        <f>VLOOKUP(B254,'Model allocations'!$A$1:$L$317,5,FALSE)</f>
        <v>7408.0808293705113</v>
      </c>
      <c r="E254" s="31">
        <f>VLOOKUP(B254,'Initial adjusted formula count'!$A$1:$P$317,12,FALSE)</f>
        <v>0.148148148148148</v>
      </c>
      <c r="F254">
        <f>VLOOKUP(B254,'Model allocations'!$A$1:$L$317,10,FALSE)</f>
        <v>10064.136424788057</v>
      </c>
      <c r="G254" s="30">
        <f t="shared" si="64"/>
        <v>0.85</v>
      </c>
      <c r="H254">
        <f t="shared" si="65"/>
        <v>6296.8687049649343</v>
      </c>
      <c r="I254">
        <f t="shared" si="57"/>
        <v>0</v>
      </c>
      <c r="J254">
        <f t="shared" si="58"/>
        <v>10064.136424788057</v>
      </c>
      <c r="K254">
        <f t="shared" si="59"/>
        <v>10058.366138552066</v>
      </c>
      <c r="L254">
        <f t="shared" si="66"/>
        <v>10058.366138552066</v>
      </c>
      <c r="M254">
        <f t="shared" si="60"/>
        <v>0</v>
      </c>
      <c r="N254" s="29">
        <f t="shared" si="67"/>
        <v>10058.366138552066</v>
      </c>
      <c r="O254" s="29">
        <f t="shared" si="61"/>
        <v>10057.638491602658</v>
      </c>
      <c r="P254" s="29">
        <f t="shared" si="68"/>
        <v>10057.638491602658</v>
      </c>
      <c r="Q254">
        <f t="shared" si="69"/>
        <v>0</v>
      </c>
      <c r="R254" s="29">
        <f t="shared" si="70"/>
        <v>10057.638491602658</v>
      </c>
      <c r="S254" s="29">
        <f t="shared" si="62"/>
        <v>10057.638491602665</v>
      </c>
      <c r="T254" s="29">
        <f t="shared" si="71"/>
        <v>10057.638491602665</v>
      </c>
      <c r="U254">
        <f t="shared" si="72"/>
        <v>0</v>
      </c>
      <c r="V254" s="29">
        <f t="shared" si="73"/>
        <v>10057.638491602665</v>
      </c>
      <c r="W254" s="29">
        <f t="shared" si="63"/>
        <v>10057.638491602667</v>
      </c>
      <c r="X254" s="29">
        <f t="shared" si="74"/>
        <v>10057.638491602667</v>
      </c>
      <c r="Y254">
        <f t="shared" si="75"/>
        <v>0</v>
      </c>
    </row>
    <row r="255" spans="1:25" x14ac:dyDescent="0.25">
      <c r="A255" s="4" t="s">
        <v>1145</v>
      </c>
      <c r="B255" s="7" t="s">
        <v>223</v>
      </c>
      <c r="C255" s="2" t="s">
        <v>1146</v>
      </c>
      <c r="D255">
        <f>VLOOKUP(B255,'Model allocations'!$A$1:$L$317,5,FALSE)</f>
        <v>168328.05884514103</v>
      </c>
      <c r="E255" s="31">
        <f>VLOOKUP(B255,'Initial adjusted formula count'!$A$1:$P$317,12,FALSE)</f>
        <v>7.8952222837114894E-2</v>
      </c>
      <c r="F255">
        <f>VLOOKUP(B255,'Model allocations'!$A$1:$L$317,10,FALSE)</f>
        <v>179477.09957538705</v>
      </c>
      <c r="G255" s="30">
        <f t="shared" si="64"/>
        <v>0.85</v>
      </c>
      <c r="H255">
        <f t="shared" si="65"/>
        <v>143078.85001836988</v>
      </c>
      <c r="I255">
        <f t="shared" si="57"/>
        <v>0</v>
      </c>
      <c r="J255">
        <f t="shared" si="58"/>
        <v>179477.09957538705</v>
      </c>
      <c r="K255">
        <f t="shared" si="59"/>
        <v>179374.1961375119</v>
      </c>
      <c r="L255">
        <f t="shared" si="66"/>
        <v>179374.1961375119</v>
      </c>
      <c r="M255">
        <f t="shared" si="60"/>
        <v>0</v>
      </c>
      <c r="N255" s="29">
        <f t="shared" si="67"/>
        <v>179374.1961375119</v>
      </c>
      <c r="O255" s="29">
        <f t="shared" si="61"/>
        <v>179361.21976691412</v>
      </c>
      <c r="P255" s="29">
        <f t="shared" si="68"/>
        <v>179361.21976691412</v>
      </c>
      <c r="Q255">
        <f t="shared" si="69"/>
        <v>0</v>
      </c>
      <c r="R255" s="29">
        <f t="shared" si="70"/>
        <v>179361.21976691412</v>
      </c>
      <c r="S255" s="29">
        <f t="shared" si="62"/>
        <v>179361.21976691423</v>
      </c>
      <c r="T255" s="29">
        <f t="shared" si="71"/>
        <v>179361.21976691423</v>
      </c>
      <c r="U255">
        <f t="shared" si="72"/>
        <v>0</v>
      </c>
      <c r="V255" s="29">
        <f t="shared" si="73"/>
        <v>179361.21976691423</v>
      </c>
      <c r="W255" s="29">
        <f t="shared" si="63"/>
        <v>179361.21976691426</v>
      </c>
      <c r="X255" s="29">
        <f t="shared" si="74"/>
        <v>179361.21976691426</v>
      </c>
      <c r="Y255">
        <f t="shared" si="75"/>
        <v>0</v>
      </c>
    </row>
    <row r="256" spans="1:25" x14ac:dyDescent="0.25">
      <c r="A256" s="4" t="s">
        <v>1147</v>
      </c>
      <c r="B256" s="7" t="s">
        <v>225</v>
      </c>
      <c r="C256" s="2" t="s">
        <v>1148</v>
      </c>
      <c r="D256">
        <f>VLOOKUP(B256,'Model allocations'!$A$1:$L$317,5,FALSE)</f>
        <v>0</v>
      </c>
      <c r="E256" s="31">
        <f>VLOOKUP(B256,'Initial adjusted formula count'!$A$1:$P$317,12,FALSE)</f>
        <v>0.04</v>
      </c>
      <c r="F256">
        <f>VLOOKUP(B256,'Model allocations'!$A$1:$L$317,10,FALSE)</f>
        <v>0</v>
      </c>
      <c r="G256" s="30">
        <f t="shared" si="64"/>
        <v>0.85</v>
      </c>
      <c r="H256">
        <f t="shared" si="65"/>
        <v>0</v>
      </c>
      <c r="I256">
        <f t="shared" si="57"/>
        <v>0</v>
      </c>
      <c r="J256">
        <f t="shared" si="58"/>
        <v>0</v>
      </c>
      <c r="K256">
        <f t="shared" si="59"/>
        <v>0</v>
      </c>
      <c r="L256">
        <f t="shared" si="66"/>
        <v>0</v>
      </c>
      <c r="M256">
        <f t="shared" si="60"/>
        <v>0</v>
      </c>
      <c r="N256" s="29">
        <f t="shared" si="67"/>
        <v>0</v>
      </c>
      <c r="O256" s="29">
        <f t="shared" si="61"/>
        <v>0</v>
      </c>
      <c r="P256" s="29">
        <f t="shared" si="68"/>
        <v>0</v>
      </c>
      <c r="Q256">
        <f t="shared" si="69"/>
        <v>0</v>
      </c>
      <c r="R256" s="29">
        <f t="shared" si="70"/>
        <v>0</v>
      </c>
      <c r="S256" s="29">
        <f t="shared" si="62"/>
        <v>0</v>
      </c>
      <c r="T256" s="29">
        <f t="shared" si="71"/>
        <v>0</v>
      </c>
      <c r="U256">
        <f t="shared" si="72"/>
        <v>0</v>
      </c>
      <c r="V256" s="29">
        <f t="shared" si="73"/>
        <v>0</v>
      </c>
      <c r="W256" s="29">
        <f t="shared" si="63"/>
        <v>0</v>
      </c>
      <c r="X256" s="29">
        <f t="shared" si="74"/>
        <v>0</v>
      </c>
      <c r="Y256">
        <f t="shared" si="75"/>
        <v>0</v>
      </c>
    </row>
    <row r="257" spans="1:25" x14ac:dyDescent="0.25">
      <c r="A257" s="4" t="s">
        <v>1149</v>
      </c>
      <c r="B257" s="7" t="s">
        <v>592</v>
      </c>
      <c r="C257" s="2" t="s">
        <v>1150</v>
      </c>
      <c r="D257">
        <f>VLOOKUP(B257,'Model allocations'!$A$1:$L$317,5,FALSE)</f>
        <v>19781.58216964388</v>
      </c>
      <c r="E257" s="31">
        <f>VLOOKUP(B257,'Initial adjusted formula count'!$A$1:$P$317,12,FALSE)</f>
        <v>0.3125</v>
      </c>
      <c r="F257">
        <f>VLOOKUP(B257,'Model allocations'!$A$1:$L$317,10,FALSE)</f>
        <v>0</v>
      </c>
      <c r="G257" s="30">
        <f t="shared" si="64"/>
        <v>0.95</v>
      </c>
      <c r="H257">
        <f t="shared" si="65"/>
        <v>0</v>
      </c>
      <c r="I257">
        <f t="shared" si="57"/>
        <v>0</v>
      </c>
      <c r="J257">
        <f t="shared" si="58"/>
        <v>0</v>
      </c>
      <c r="K257">
        <f t="shared" si="59"/>
        <v>0</v>
      </c>
      <c r="L257">
        <f t="shared" si="66"/>
        <v>0</v>
      </c>
      <c r="M257">
        <f t="shared" si="60"/>
        <v>0</v>
      </c>
      <c r="N257" s="29">
        <f t="shared" si="67"/>
        <v>0</v>
      </c>
      <c r="O257" s="29">
        <f t="shared" si="61"/>
        <v>0</v>
      </c>
      <c r="P257" s="29">
        <f t="shared" si="68"/>
        <v>0</v>
      </c>
      <c r="Q257">
        <f t="shared" si="69"/>
        <v>0</v>
      </c>
      <c r="R257" s="29">
        <f t="shared" si="70"/>
        <v>0</v>
      </c>
      <c r="S257" s="29">
        <f t="shared" si="62"/>
        <v>0</v>
      </c>
      <c r="T257" s="29">
        <f t="shared" si="71"/>
        <v>0</v>
      </c>
      <c r="U257">
        <f t="shared" si="72"/>
        <v>0</v>
      </c>
      <c r="V257" s="29">
        <f t="shared" si="73"/>
        <v>0</v>
      </c>
      <c r="W257" s="29">
        <f t="shared" si="63"/>
        <v>0</v>
      </c>
      <c r="X257" s="29">
        <f t="shared" si="74"/>
        <v>0</v>
      </c>
      <c r="Y257">
        <f t="shared" si="75"/>
        <v>0</v>
      </c>
    </row>
    <row r="258" spans="1:25" x14ac:dyDescent="0.25">
      <c r="A258" s="4" t="s">
        <v>1151</v>
      </c>
      <c r="B258" s="7" t="s">
        <v>227</v>
      </c>
      <c r="C258" s="2" t="s">
        <v>1152</v>
      </c>
      <c r="D258">
        <f>VLOOKUP(B258,'Model allocations'!$A$1:$L$317,5,FALSE)</f>
        <v>0</v>
      </c>
      <c r="E258" s="31">
        <f>VLOOKUP(B258,'Initial adjusted formula count'!$A$1:$P$317,12,FALSE)</f>
        <v>0.133333333333333</v>
      </c>
      <c r="F258">
        <f>VLOOKUP(B258,'Model allocations'!$A$1:$L$317,10,FALSE)</f>
        <v>0</v>
      </c>
      <c r="G258" s="30">
        <f t="shared" si="64"/>
        <v>0.85</v>
      </c>
      <c r="H258">
        <f t="shared" si="65"/>
        <v>0</v>
      </c>
      <c r="I258">
        <f t="shared" si="57"/>
        <v>0</v>
      </c>
      <c r="J258">
        <f t="shared" si="58"/>
        <v>0</v>
      </c>
      <c r="K258">
        <f t="shared" si="59"/>
        <v>0</v>
      </c>
      <c r="L258">
        <f t="shared" si="66"/>
        <v>0</v>
      </c>
      <c r="M258">
        <f t="shared" si="60"/>
        <v>0</v>
      </c>
      <c r="N258" s="29">
        <f t="shared" si="67"/>
        <v>0</v>
      </c>
      <c r="O258" s="29">
        <f t="shared" si="61"/>
        <v>0</v>
      </c>
      <c r="P258" s="29">
        <f t="shared" si="68"/>
        <v>0</v>
      </c>
      <c r="Q258">
        <f t="shared" si="69"/>
        <v>0</v>
      </c>
      <c r="R258" s="29">
        <f t="shared" si="70"/>
        <v>0</v>
      </c>
      <c r="S258" s="29">
        <f t="shared" si="62"/>
        <v>0</v>
      </c>
      <c r="T258" s="29">
        <f t="shared" si="71"/>
        <v>0</v>
      </c>
      <c r="U258">
        <f t="shared" si="72"/>
        <v>0</v>
      </c>
      <c r="V258" s="29">
        <f t="shared" si="73"/>
        <v>0</v>
      </c>
      <c r="W258" s="29">
        <f t="shared" si="63"/>
        <v>0</v>
      </c>
      <c r="X258" s="29">
        <f t="shared" si="74"/>
        <v>0</v>
      </c>
      <c r="Y258">
        <f t="shared" si="75"/>
        <v>0</v>
      </c>
    </row>
    <row r="259" spans="1:25" x14ac:dyDescent="0.25">
      <c r="A259" s="4" t="s">
        <v>1153</v>
      </c>
      <c r="B259" s="7" t="s">
        <v>229</v>
      </c>
      <c r="C259" s="2" t="s">
        <v>1154</v>
      </c>
      <c r="D259">
        <f>VLOOKUP(B259,'Model allocations'!$A$1:$L$317,5,FALSE)</f>
        <v>110709.6523944815</v>
      </c>
      <c r="E259" s="31">
        <f>VLOOKUP(B259,'Initial adjusted formula count'!$A$1:$P$317,12,FALSE)</f>
        <v>6.2751004016064302E-2</v>
      </c>
      <c r="F259">
        <f>VLOOKUP(B259,'Model allocations'!$A$1:$L$317,10,FALSE)</f>
        <v>104834.7544248756</v>
      </c>
      <c r="G259" s="30">
        <f t="shared" si="64"/>
        <v>0.85</v>
      </c>
      <c r="H259">
        <f t="shared" si="65"/>
        <v>94103.204535309269</v>
      </c>
      <c r="I259">
        <f t="shared" ref="I259:I316" si="76">IF(F259&lt;H259,H259,0)</f>
        <v>0</v>
      </c>
      <c r="J259">
        <f t="shared" ref="J259:J316" si="77">IF(I259=0,F259,0)</f>
        <v>104834.7544248756</v>
      </c>
      <c r="K259">
        <f t="shared" ref="K259:K316" si="78">(J259/$J$3)*($F$3-$I$3)</f>
        <v>104774.64727658403</v>
      </c>
      <c r="L259">
        <f t="shared" si="66"/>
        <v>104774.64727658403</v>
      </c>
      <c r="M259">
        <f t="shared" ref="M259:M316" si="79">IF(L259&lt;H259,H259,0)</f>
        <v>0</v>
      </c>
      <c r="N259" s="29">
        <f t="shared" si="67"/>
        <v>104774.64727658403</v>
      </c>
      <c r="O259" s="29">
        <f t="shared" ref="O259:O316" si="80">((N259/$N$3)*($F$3-$I$3-$M$3))</f>
        <v>104767.06762086101</v>
      </c>
      <c r="P259" s="29">
        <f t="shared" si="68"/>
        <v>104767.06762086101</v>
      </c>
      <c r="Q259">
        <f t="shared" si="69"/>
        <v>0</v>
      </c>
      <c r="R259" s="29">
        <f t="shared" si="70"/>
        <v>104767.06762086101</v>
      </c>
      <c r="S259" s="29">
        <f t="shared" ref="S259:S316" si="81">((R259/$R$3)*($F$3-$I$3-$M$3-$Q$3))</f>
        <v>104767.06762086107</v>
      </c>
      <c r="T259" s="29">
        <f t="shared" si="71"/>
        <v>104767.06762086107</v>
      </c>
      <c r="U259">
        <f t="shared" si="72"/>
        <v>0</v>
      </c>
      <c r="V259" s="29">
        <f t="shared" si="73"/>
        <v>104767.06762086107</v>
      </c>
      <c r="W259" s="29">
        <f t="shared" ref="W259:W316" si="82">((V259/$V$3)*($F$3-$I$3-$M$3-$Q$3-$U$3))</f>
        <v>104767.06762086108</v>
      </c>
      <c r="X259" s="29">
        <f t="shared" si="74"/>
        <v>104767.06762086108</v>
      </c>
      <c r="Y259">
        <f t="shared" si="75"/>
        <v>0</v>
      </c>
    </row>
    <row r="260" spans="1:25" x14ac:dyDescent="0.25">
      <c r="A260" s="4" t="s">
        <v>1155</v>
      </c>
      <c r="B260" s="7" t="s">
        <v>594</v>
      </c>
      <c r="C260" s="2" t="s">
        <v>1156</v>
      </c>
      <c r="D260">
        <f>VLOOKUP(B260,'Model allocations'!$A$1:$L$317,5,FALSE)</f>
        <v>0</v>
      </c>
      <c r="E260" s="31">
        <f>VLOOKUP(B260,'Initial adjusted formula count'!$A$1:$P$317,12,FALSE)</f>
        <v>0.15094339622641501</v>
      </c>
      <c r="F260">
        <f>VLOOKUP(B260,'Model allocations'!$A$1:$L$317,10,FALSE)</f>
        <v>0</v>
      </c>
      <c r="G260" s="30">
        <f t="shared" ref="G260:G316" si="83">IF(E260&lt;0.15,0.85,IF(AND(E260&gt;=0.15,E260&lt;0.3),0.9,0.95))</f>
        <v>0.9</v>
      </c>
      <c r="H260">
        <f t="shared" ref="H260:H316" si="84">IF(F260 = 0, 0, D260*G260)</f>
        <v>0</v>
      </c>
      <c r="I260">
        <f t="shared" si="76"/>
        <v>0</v>
      </c>
      <c r="J260">
        <f t="shared" si="77"/>
        <v>0</v>
      </c>
      <c r="K260">
        <f t="shared" si="78"/>
        <v>0</v>
      </c>
      <c r="L260">
        <f t="shared" ref="L260:L316" si="85">I260+K260</f>
        <v>0</v>
      </c>
      <c r="M260">
        <f t="shared" si="79"/>
        <v>0</v>
      </c>
      <c r="N260" s="29">
        <f t="shared" ref="N260:N316" si="86">IF($I260+$M260=0,L260,0)</f>
        <v>0</v>
      </c>
      <c r="O260" s="29">
        <f t="shared" si="80"/>
        <v>0</v>
      </c>
      <c r="P260" s="29">
        <f t="shared" ref="P260:P316" si="87">$I260+$M260+O260</f>
        <v>0</v>
      </c>
      <c r="Q260">
        <f t="shared" ref="Q260:Q316" si="88">IF(P260&lt;H260,H260,0)</f>
        <v>0</v>
      </c>
      <c r="R260" s="29">
        <f t="shared" ref="R260:R316" si="89">IF($I260+$M260+$Q260=0,P260,0)</f>
        <v>0</v>
      </c>
      <c r="S260" s="29">
        <f t="shared" si="81"/>
        <v>0</v>
      </c>
      <c r="T260" s="29">
        <f t="shared" ref="T260:T316" si="90">$I260+$M260+$Q260+S260</f>
        <v>0</v>
      </c>
      <c r="U260">
        <f t="shared" ref="U260:U316" si="91">IF(T260&lt;H260,H260,0)</f>
        <v>0</v>
      </c>
      <c r="V260" s="29">
        <f t="shared" ref="V260:V316" si="92">IF($I260+$M260+$Q260+U260=0,T260,0)</f>
        <v>0</v>
      </c>
      <c r="W260" s="29">
        <f t="shared" si="82"/>
        <v>0</v>
      </c>
      <c r="X260" s="29">
        <f t="shared" ref="X260:X316" si="93">$I260+$M260+$Q260+$U260+W260</f>
        <v>0</v>
      </c>
      <c r="Y260">
        <f t="shared" ref="Y260:Y316" si="94">IF(X260&lt;H260,H260,0)</f>
        <v>0</v>
      </c>
    </row>
    <row r="261" spans="1:25" x14ac:dyDescent="0.25">
      <c r="A261" s="4" t="s">
        <v>1157</v>
      </c>
      <c r="B261" s="7" t="s">
        <v>596</v>
      </c>
      <c r="C261" s="2" t="s">
        <v>1158</v>
      </c>
      <c r="D261">
        <f>VLOOKUP(B261,'Model allocations'!$A$1:$L$317,5,FALSE)</f>
        <v>52268.125851669705</v>
      </c>
      <c r="E261" s="31">
        <f>VLOOKUP(B261,'Initial adjusted formula count'!$A$1:$P$317,12,FALSE)</f>
        <v>0.15604395604395599</v>
      </c>
      <c r="F261">
        <f>VLOOKUP(B261,'Model allocations'!$A$1:$L$317,10,FALSE)</f>
        <v>59615.96045977631</v>
      </c>
      <c r="G261" s="30">
        <f t="shared" si="83"/>
        <v>0.9</v>
      </c>
      <c r="H261">
        <f t="shared" si="84"/>
        <v>47041.313266502737</v>
      </c>
      <c r="I261">
        <f t="shared" si="76"/>
        <v>0</v>
      </c>
      <c r="J261">
        <f t="shared" si="77"/>
        <v>59615.96045977631</v>
      </c>
      <c r="K261">
        <f t="shared" si="78"/>
        <v>59581.779568185942</v>
      </c>
      <c r="L261">
        <f t="shared" si="85"/>
        <v>59581.779568185942</v>
      </c>
      <c r="M261">
        <f t="shared" si="79"/>
        <v>0</v>
      </c>
      <c r="N261" s="29">
        <f t="shared" si="86"/>
        <v>59581.779568185942</v>
      </c>
      <c r="O261" s="29">
        <f t="shared" si="80"/>
        <v>59577.469275684562</v>
      </c>
      <c r="P261" s="29">
        <f t="shared" si="87"/>
        <v>59577.469275684562</v>
      </c>
      <c r="Q261">
        <f t="shared" si="88"/>
        <v>0</v>
      </c>
      <c r="R261" s="29">
        <f t="shared" si="89"/>
        <v>59577.469275684562</v>
      </c>
      <c r="S261" s="29">
        <f t="shared" si="81"/>
        <v>59577.469275684591</v>
      </c>
      <c r="T261" s="29">
        <f t="shared" si="90"/>
        <v>59577.469275684591</v>
      </c>
      <c r="U261">
        <f t="shared" si="91"/>
        <v>0</v>
      </c>
      <c r="V261" s="29">
        <f t="shared" si="92"/>
        <v>59577.469275684591</v>
      </c>
      <c r="W261" s="29">
        <f t="shared" si="82"/>
        <v>59577.469275684598</v>
      </c>
      <c r="X261" s="29">
        <f t="shared" si="93"/>
        <v>59577.469275684598</v>
      </c>
      <c r="Y261">
        <f t="shared" si="94"/>
        <v>0</v>
      </c>
    </row>
    <row r="262" spans="1:25" x14ac:dyDescent="0.25">
      <c r="A262" s="4" t="s">
        <v>1159</v>
      </c>
      <c r="B262" s="7" t="s">
        <v>231</v>
      </c>
      <c r="C262" s="2" t="s">
        <v>1160</v>
      </c>
      <c r="D262">
        <f>VLOOKUP(B262,'Model allocations'!$A$1:$L$317,5,FALSE)</f>
        <v>89720.090044598444</v>
      </c>
      <c r="E262" s="31">
        <f>VLOOKUP(B262,'Initial adjusted formula count'!$A$1:$P$317,12,FALSE)</f>
        <v>8.5884691848906597E-2</v>
      </c>
      <c r="F262">
        <f>VLOOKUP(B262,'Model allocations'!$A$1:$L$317,10,FALSE)</f>
        <v>90577.227823092529</v>
      </c>
      <c r="G262" s="30">
        <f t="shared" si="83"/>
        <v>0.85</v>
      </c>
      <c r="H262">
        <f t="shared" si="84"/>
        <v>76262.076537908681</v>
      </c>
      <c r="I262">
        <f t="shared" si="76"/>
        <v>0</v>
      </c>
      <c r="J262">
        <f t="shared" si="77"/>
        <v>90577.227823092529</v>
      </c>
      <c r="K262">
        <f t="shared" si="78"/>
        <v>90525.295246968613</v>
      </c>
      <c r="L262">
        <f t="shared" si="85"/>
        <v>90525.295246968613</v>
      </c>
      <c r="M262">
        <f t="shared" si="79"/>
        <v>0</v>
      </c>
      <c r="N262" s="29">
        <f t="shared" si="86"/>
        <v>90525.295246968613</v>
      </c>
      <c r="O262" s="29">
        <f t="shared" si="80"/>
        <v>90518.746424423938</v>
      </c>
      <c r="P262" s="29">
        <f t="shared" si="87"/>
        <v>90518.746424423938</v>
      </c>
      <c r="Q262">
        <f t="shared" si="88"/>
        <v>0</v>
      </c>
      <c r="R262" s="29">
        <f t="shared" si="89"/>
        <v>90518.746424423938</v>
      </c>
      <c r="S262" s="29">
        <f t="shared" si="81"/>
        <v>90518.746424423996</v>
      </c>
      <c r="T262" s="29">
        <f t="shared" si="90"/>
        <v>90518.746424423996</v>
      </c>
      <c r="U262">
        <f t="shared" si="91"/>
        <v>0</v>
      </c>
      <c r="V262" s="29">
        <f t="shared" si="92"/>
        <v>90518.746424423996</v>
      </c>
      <c r="W262" s="29">
        <f t="shared" si="82"/>
        <v>90518.746424424011</v>
      </c>
      <c r="X262" s="29">
        <f t="shared" si="93"/>
        <v>90518.746424424011</v>
      </c>
      <c r="Y262">
        <f t="shared" si="94"/>
        <v>0</v>
      </c>
    </row>
    <row r="263" spans="1:25" x14ac:dyDescent="0.25">
      <c r="A263" s="4" t="s">
        <v>25</v>
      </c>
      <c r="B263" s="7" t="s">
        <v>72</v>
      </c>
      <c r="C263" s="2" t="s">
        <v>1161</v>
      </c>
      <c r="D263">
        <f>VLOOKUP(B263,'Model allocations'!$A$1:$L$317,5,FALSE)</f>
        <v>81139.740704588505</v>
      </c>
      <c r="E263" s="31">
        <f>VLOOKUP(B263,'Initial adjusted formula count'!$A$1:$P$317,12,FALSE)</f>
        <v>0.131424483967399</v>
      </c>
      <c r="F263">
        <f>VLOOKUP(B263,'Model allocations'!$A$1:$L$317,10,FALSE)</f>
        <v>75422.34951364735</v>
      </c>
      <c r="G263" s="30">
        <f t="shared" si="83"/>
        <v>0.85</v>
      </c>
      <c r="H263">
        <f t="shared" si="84"/>
        <v>68968.779598900233</v>
      </c>
      <c r="I263">
        <f t="shared" si="76"/>
        <v>0</v>
      </c>
      <c r="J263">
        <f t="shared" si="77"/>
        <v>75422.34951364735</v>
      </c>
      <c r="K263">
        <f t="shared" si="78"/>
        <v>75379.106007506809</v>
      </c>
      <c r="L263">
        <f t="shared" si="85"/>
        <v>75379.106007506809</v>
      </c>
      <c r="M263">
        <f t="shared" si="79"/>
        <v>0</v>
      </c>
      <c r="N263" s="29">
        <f t="shared" si="86"/>
        <v>75379.106007506809</v>
      </c>
      <c r="O263" s="29">
        <f t="shared" si="80"/>
        <v>75373.65289755039</v>
      </c>
      <c r="P263" s="29">
        <f t="shared" si="87"/>
        <v>75373.65289755039</v>
      </c>
      <c r="Q263">
        <f t="shared" si="88"/>
        <v>0</v>
      </c>
      <c r="R263" s="29">
        <f t="shared" si="89"/>
        <v>75373.65289755039</v>
      </c>
      <c r="S263" s="29">
        <f t="shared" si="81"/>
        <v>75373.652897550419</v>
      </c>
      <c r="T263" s="29">
        <f t="shared" si="90"/>
        <v>75373.652897550419</v>
      </c>
      <c r="U263">
        <f t="shared" si="91"/>
        <v>0</v>
      </c>
      <c r="V263" s="29">
        <f t="shared" si="92"/>
        <v>75373.652897550419</v>
      </c>
      <c r="W263" s="29">
        <f t="shared" si="82"/>
        <v>75373.652897550419</v>
      </c>
      <c r="X263" s="29">
        <f t="shared" si="93"/>
        <v>75373.652897550419</v>
      </c>
      <c r="Y263">
        <f t="shared" si="94"/>
        <v>0</v>
      </c>
    </row>
    <row r="264" spans="1:25" x14ac:dyDescent="0.25">
      <c r="A264" s="4" t="s">
        <v>27</v>
      </c>
      <c r="B264" s="7" t="s">
        <v>73</v>
      </c>
      <c r="C264" s="2" t="s">
        <v>1163</v>
      </c>
      <c r="D264">
        <f>VLOOKUP(B264,'Model allocations'!$A$1:$L$317,5,FALSE)</f>
        <v>31207.592578687927</v>
      </c>
      <c r="E264" s="31">
        <f>VLOOKUP(B264,'Initial adjusted formula count'!$A$1:$P$317,12,FALSE)</f>
        <v>0.121891311010182</v>
      </c>
      <c r="F264">
        <f>VLOOKUP(B264,'Model allocations'!$A$1:$L$317,10,FALSE)</f>
        <v>26601.243604398413</v>
      </c>
      <c r="G264" s="30">
        <f t="shared" si="83"/>
        <v>0.85</v>
      </c>
      <c r="H264">
        <f t="shared" si="84"/>
        <v>26526.453691884737</v>
      </c>
      <c r="I264">
        <f t="shared" si="76"/>
        <v>0</v>
      </c>
      <c r="J264">
        <f t="shared" si="77"/>
        <v>26601.243604398413</v>
      </c>
      <c r="K264">
        <f t="shared" si="78"/>
        <v>26585.991745386185</v>
      </c>
      <c r="L264">
        <f t="shared" si="85"/>
        <v>26585.991745386185</v>
      </c>
      <c r="M264">
        <f t="shared" si="79"/>
        <v>0</v>
      </c>
      <c r="N264" s="29">
        <f t="shared" si="86"/>
        <v>26585.991745386185</v>
      </c>
      <c r="O264" s="29">
        <f t="shared" si="80"/>
        <v>26584.068449343464</v>
      </c>
      <c r="P264" s="29">
        <f t="shared" si="87"/>
        <v>26584.068449343464</v>
      </c>
      <c r="Q264">
        <f t="shared" si="88"/>
        <v>0</v>
      </c>
      <c r="R264" s="29">
        <f t="shared" si="89"/>
        <v>26584.068449343464</v>
      </c>
      <c r="S264" s="29">
        <f t="shared" si="81"/>
        <v>26584.068449343482</v>
      </c>
      <c r="T264" s="29">
        <f t="shared" si="90"/>
        <v>26584.068449343482</v>
      </c>
      <c r="U264">
        <f t="shared" si="91"/>
        <v>0</v>
      </c>
      <c r="V264" s="29">
        <f t="shared" si="92"/>
        <v>26584.068449343482</v>
      </c>
      <c r="W264" s="29">
        <f t="shared" si="82"/>
        <v>26584.068449343482</v>
      </c>
      <c r="X264" s="29">
        <f t="shared" si="93"/>
        <v>26584.068449343482</v>
      </c>
      <c r="Y264">
        <f t="shared" si="94"/>
        <v>0</v>
      </c>
    </row>
    <row r="265" spans="1:25" x14ac:dyDescent="0.25">
      <c r="A265" s="4" t="s">
        <v>1164</v>
      </c>
      <c r="B265" s="7" t="s">
        <v>598</v>
      </c>
      <c r="C265" s="2" t="s">
        <v>1165</v>
      </c>
      <c r="D265">
        <f>VLOOKUP(B265,'Model allocations'!$A$1:$L$317,5,FALSE)</f>
        <v>12368.125106929569</v>
      </c>
      <c r="E265" s="31">
        <f>VLOOKUP(B265,'Initial adjusted formula count'!$A$1:$P$317,12,FALSE)</f>
        <v>0.22807017543859601</v>
      </c>
      <c r="F265">
        <f>VLOOKUP(B265,'Model allocations'!$A$1:$L$317,10,FALSE)</f>
        <v>13743.857272052071</v>
      </c>
      <c r="G265" s="30">
        <f t="shared" si="83"/>
        <v>0.9</v>
      </c>
      <c r="H265">
        <f t="shared" si="84"/>
        <v>11131.312596236612</v>
      </c>
      <c r="I265">
        <f t="shared" si="76"/>
        <v>0</v>
      </c>
      <c r="J265">
        <f t="shared" si="77"/>
        <v>13743.857272052071</v>
      </c>
      <c r="K265">
        <f t="shared" si="78"/>
        <v>13735.977212889618</v>
      </c>
      <c r="L265">
        <f t="shared" si="85"/>
        <v>13735.977212889618</v>
      </c>
      <c r="M265">
        <f t="shared" si="79"/>
        <v>0</v>
      </c>
      <c r="N265" s="29">
        <f t="shared" si="86"/>
        <v>13735.977212889618</v>
      </c>
      <c r="O265" s="29">
        <f t="shared" si="80"/>
        <v>13734.983518508399</v>
      </c>
      <c r="P265" s="29">
        <f t="shared" si="87"/>
        <v>13734.983518508399</v>
      </c>
      <c r="Q265">
        <f t="shared" si="88"/>
        <v>0</v>
      </c>
      <c r="R265" s="29">
        <f t="shared" si="89"/>
        <v>13734.983518508399</v>
      </c>
      <c r="S265" s="29">
        <f t="shared" si="81"/>
        <v>13734.983518508407</v>
      </c>
      <c r="T265" s="29">
        <f t="shared" si="90"/>
        <v>13734.983518508407</v>
      </c>
      <c r="U265">
        <f t="shared" si="91"/>
        <v>0</v>
      </c>
      <c r="V265" s="29">
        <f t="shared" si="92"/>
        <v>13734.983518508407</v>
      </c>
      <c r="W265" s="29">
        <f t="shared" si="82"/>
        <v>13734.983518508408</v>
      </c>
      <c r="X265" s="29">
        <f t="shared" si="93"/>
        <v>13734.983518508408</v>
      </c>
      <c r="Y265">
        <f t="shared" si="94"/>
        <v>0</v>
      </c>
    </row>
    <row r="266" spans="1:25" x14ac:dyDescent="0.25">
      <c r="A266" s="4" t="s">
        <v>1166</v>
      </c>
      <c r="B266" s="7" t="s">
        <v>233</v>
      </c>
      <c r="C266" s="2" t="s">
        <v>1167</v>
      </c>
      <c r="D266">
        <f>VLOOKUP(B266,'Model allocations'!$A$1:$L$317,5,FALSE)</f>
        <v>224300.22511149602</v>
      </c>
      <c r="E266" s="31">
        <f>VLOOKUP(B266,'Initial adjusted formula count'!$A$1:$P$317,12,FALSE)</f>
        <v>5.2346232940736599E-2</v>
      </c>
      <c r="F266">
        <f>VLOOKUP(B266,'Model allocations'!$A$1:$L$317,10,FALSE)</f>
        <v>234829.84991172131</v>
      </c>
      <c r="G266" s="30">
        <f t="shared" si="83"/>
        <v>0.85</v>
      </c>
      <c r="H266">
        <f t="shared" si="84"/>
        <v>190655.19134477162</v>
      </c>
      <c r="I266">
        <f t="shared" si="76"/>
        <v>0</v>
      </c>
      <c r="J266">
        <f t="shared" si="77"/>
        <v>234829.84991172131</v>
      </c>
      <c r="K266">
        <f t="shared" si="78"/>
        <v>234695.20989954821</v>
      </c>
      <c r="L266">
        <f t="shared" si="85"/>
        <v>234695.20989954821</v>
      </c>
      <c r="M266">
        <f t="shared" si="79"/>
        <v>0</v>
      </c>
      <c r="N266" s="29">
        <f t="shared" si="86"/>
        <v>234695.20989954821</v>
      </c>
      <c r="O266" s="29">
        <f t="shared" si="80"/>
        <v>234678.23147072867</v>
      </c>
      <c r="P266" s="29">
        <f t="shared" si="87"/>
        <v>234678.23147072867</v>
      </c>
      <c r="Q266">
        <f t="shared" si="88"/>
        <v>0</v>
      </c>
      <c r="R266" s="29">
        <f t="shared" si="89"/>
        <v>234678.23147072867</v>
      </c>
      <c r="S266" s="29">
        <f t="shared" si="81"/>
        <v>234678.23147072882</v>
      </c>
      <c r="T266" s="29">
        <f t="shared" si="90"/>
        <v>234678.23147072882</v>
      </c>
      <c r="U266">
        <f t="shared" si="91"/>
        <v>0</v>
      </c>
      <c r="V266" s="29">
        <f t="shared" si="92"/>
        <v>234678.23147072882</v>
      </c>
      <c r="W266" s="29">
        <f t="shared" si="82"/>
        <v>234678.23147072885</v>
      </c>
      <c r="X266" s="29">
        <f t="shared" si="93"/>
        <v>234678.23147072885</v>
      </c>
      <c r="Y266">
        <f t="shared" si="94"/>
        <v>0</v>
      </c>
    </row>
    <row r="267" spans="1:25" x14ac:dyDescent="0.25">
      <c r="A267" s="4" t="s">
        <v>1168</v>
      </c>
      <c r="B267" s="7" t="s">
        <v>600</v>
      </c>
      <c r="C267" s="2" t="s">
        <v>1169</v>
      </c>
      <c r="D267">
        <f>VLOOKUP(B267,'Model allocations'!$A$1:$L$317,5,FALSE)</f>
        <v>593675.36646483105</v>
      </c>
      <c r="E267" s="31">
        <f>VLOOKUP(B267,'Initial adjusted formula count'!$A$1:$P$317,12,FALSE)</f>
        <v>0.21151055940673899</v>
      </c>
      <c r="F267">
        <f>VLOOKUP(B267,'Model allocations'!$A$1:$L$317,10,FALSE)</f>
        <v>680377.5562174425</v>
      </c>
      <c r="G267" s="30">
        <f t="shared" si="83"/>
        <v>0.9</v>
      </c>
      <c r="H267">
        <f t="shared" si="84"/>
        <v>534307.82981834793</v>
      </c>
      <c r="I267">
        <f t="shared" si="76"/>
        <v>0</v>
      </c>
      <c r="J267">
        <f t="shared" si="77"/>
        <v>680377.5562174425</v>
      </c>
      <c r="K267">
        <f t="shared" si="78"/>
        <v>679987.46082503034</v>
      </c>
      <c r="L267">
        <f t="shared" si="85"/>
        <v>679987.46082503034</v>
      </c>
      <c r="M267">
        <f t="shared" si="79"/>
        <v>0</v>
      </c>
      <c r="N267" s="29">
        <f t="shared" si="86"/>
        <v>679987.46082503034</v>
      </c>
      <c r="O267" s="29">
        <f t="shared" si="80"/>
        <v>679938.26885938796</v>
      </c>
      <c r="P267" s="29">
        <f t="shared" si="87"/>
        <v>679938.26885938796</v>
      </c>
      <c r="Q267">
        <f t="shared" si="88"/>
        <v>0</v>
      </c>
      <c r="R267" s="29">
        <f t="shared" si="89"/>
        <v>679938.26885938796</v>
      </c>
      <c r="S267" s="29">
        <f t="shared" si="81"/>
        <v>679938.26885938831</v>
      </c>
      <c r="T267" s="29">
        <f t="shared" si="90"/>
        <v>679938.26885938831</v>
      </c>
      <c r="U267">
        <f t="shared" si="91"/>
        <v>0</v>
      </c>
      <c r="V267" s="29">
        <f t="shared" si="92"/>
        <v>679938.26885938831</v>
      </c>
      <c r="W267" s="29">
        <f t="shared" si="82"/>
        <v>679938.26885938831</v>
      </c>
      <c r="X267" s="29">
        <f t="shared" si="93"/>
        <v>679938.26885938831</v>
      </c>
      <c r="Y267">
        <f t="shared" si="94"/>
        <v>0</v>
      </c>
    </row>
    <row r="268" spans="1:25" x14ac:dyDescent="0.25">
      <c r="A268" s="4" t="s">
        <v>11</v>
      </c>
      <c r="B268" s="7" t="s">
        <v>67</v>
      </c>
      <c r="C268" s="2" t="s">
        <v>1170</v>
      </c>
      <c r="D268">
        <f>VLOOKUP(B268,'Model allocations'!$A$1:$L$317,5,FALSE)</f>
        <v>8770.4285132681543</v>
      </c>
      <c r="E268" s="31">
        <f>VLOOKUP(B268,'Initial adjusted formula count'!$A$1:$P$317,12,FALSE)</f>
        <v>0.194148516573487</v>
      </c>
      <c r="F268">
        <f>VLOOKUP(B268,'Model allocations'!$A$1:$L$317,10,FALSE)</f>
        <v>8288.5006181438384</v>
      </c>
      <c r="G268" s="30">
        <f t="shared" si="83"/>
        <v>0.9</v>
      </c>
      <c r="H268">
        <f t="shared" si="84"/>
        <v>7893.3856619413391</v>
      </c>
      <c r="I268">
        <f t="shared" si="76"/>
        <v>0</v>
      </c>
      <c r="J268">
        <f t="shared" si="77"/>
        <v>8288.5006181438384</v>
      </c>
      <c r="K268">
        <f t="shared" si="78"/>
        <v>8283.748395100034</v>
      </c>
      <c r="L268">
        <f t="shared" si="85"/>
        <v>8283.748395100034</v>
      </c>
      <c r="M268">
        <f t="shared" si="79"/>
        <v>0</v>
      </c>
      <c r="N268" s="29">
        <f t="shared" si="86"/>
        <v>8283.748395100034</v>
      </c>
      <c r="O268" s="29">
        <f t="shared" si="80"/>
        <v>8283.1491283636333</v>
      </c>
      <c r="P268" s="29">
        <f t="shared" si="87"/>
        <v>8283.1491283636333</v>
      </c>
      <c r="Q268">
        <f t="shared" si="88"/>
        <v>0</v>
      </c>
      <c r="R268" s="29">
        <f t="shared" si="89"/>
        <v>8283.1491283636333</v>
      </c>
      <c r="S268" s="29">
        <f t="shared" si="81"/>
        <v>8283.1491283636369</v>
      </c>
      <c r="T268" s="29">
        <f t="shared" si="90"/>
        <v>8283.1491283636369</v>
      </c>
      <c r="U268">
        <f t="shared" si="91"/>
        <v>0</v>
      </c>
      <c r="V268" s="29">
        <f t="shared" si="92"/>
        <v>8283.1491283636369</v>
      </c>
      <c r="W268" s="29">
        <f t="shared" si="82"/>
        <v>8283.1491283636369</v>
      </c>
      <c r="X268" s="29">
        <f t="shared" si="93"/>
        <v>8283.1491283636369</v>
      </c>
      <c r="Y268">
        <f t="shared" si="94"/>
        <v>0</v>
      </c>
    </row>
    <row r="269" spans="1:25" x14ac:dyDescent="0.25">
      <c r="A269" s="4" t="s">
        <v>39</v>
      </c>
      <c r="B269" s="7" t="s">
        <v>62</v>
      </c>
      <c r="C269" s="2" t="s">
        <v>1171</v>
      </c>
      <c r="D269">
        <f>VLOOKUP(B269,'Model allocations'!$A$1:$L$317,5,FALSE)</f>
        <v>2979465.4738897323</v>
      </c>
      <c r="E269" s="31">
        <f>VLOOKUP(B269,'Initial adjusted formula count'!$A$1:$P$317,12,FALSE)</f>
        <v>0.13322423799507099</v>
      </c>
      <c r="F269">
        <f>VLOOKUP(B269,'Model allocations'!$A$1:$L$317,10,FALSE)</f>
        <v>3082420.2346472768</v>
      </c>
      <c r="G269" s="30">
        <f t="shared" si="83"/>
        <v>0.85</v>
      </c>
      <c r="H269">
        <f t="shared" si="84"/>
        <v>2532545.6528062723</v>
      </c>
      <c r="I269">
        <f t="shared" si="76"/>
        <v>0</v>
      </c>
      <c r="J269">
        <f t="shared" si="77"/>
        <v>3082420.2346472768</v>
      </c>
      <c r="K269">
        <f t="shared" si="78"/>
        <v>3080652.9248352083</v>
      </c>
      <c r="L269">
        <f t="shared" si="85"/>
        <v>3080652.9248352083</v>
      </c>
      <c r="M269">
        <f t="shared" si="79"/>
        <v>0</v>
      </c>
      <c r="N269" s="29">
        <f t="shared" si="86"/>
        <v>3080652.9248352083</v>
      </c>
      <c r="O269" s="29">
        <f t="shared" si="80"/>
        <v>3080430.0628244136</v>
      </c>
      <c r="P269" s="29">
        <f t="shared" si="87"/>
        <v>3080430.0628244136</v>
      </c>
      <c r="Q269">
        <f t="shared" si="88"/>
        <v>0</v>
      </c>
      <c r="R269" s="29">
        <f t="shared" si="89"/>
        <v>3080430.0628244136</v>
      </c>
      <c r="S269" s="29">
        <f t="shared" si="81"/>
        <v>3080430.062824415</v>
      </c>
      <c r="T269" s="29">
        <f t="shared" si="90"/>
        <v>3080430.062824415</v>
      </c>
      <c r="U269">
        <f t="shared" si="91"/>
        <v>0</v>
      </c>
      <c r="V269" s="29">
        <f t="shared" si="92"/>
        <v>3080430.062824415</v>
      </c>
      <c r="W269" s="29">
        <f t="shared" si="82"/>
        <v>3080430.062824415</v>
      </c>
      <c r="X269" s="29">
        <f t="shared" si="93"/>
        <v>3080430.062824415</v>
      </c>
      <c r="Y269">
        <f t="shared" si="94"/>
        <v>0</v>
      </c>
    </row>
    <row r="270" spans="1:25" x14ac:dyDescent="0.25">
      <c r="A270" s="4" t="s">
        <v>1172</v>
      </c>
      <c r="B270" s="7" t="s">
        <v>602</v>
      </c>
      <c r="C270" s="2" t="s">
        <v>1173</v>
      </c>
      <c r="D270">
        <f>VLOOKUP(B270,'Model allocations'!$A$1:$L$317,5,FALSE)</f>
        <v>49261.45335705817</v>
      </c>
      <c r="E270" s="31">
        <f>VLOOKUP(B270,'Initial adjusted formula count'!$A$1:$P$317,12,FALSE)</f>
        <v>0.155619596541787</v>
      </c>
      <c r="F270">
        <f>VLOOKUP(B270,'Model allocations'!$A$1:$L$317,10,FALSE)</f>
        <v>44335.308021352357</v>
      </c>
      <c r="G270" s="30">
        <f t="shared" si="83"/>
        <v>0.9</v>
      </c>
      <c r="H270">
        <f t="shared" si="84"/>
        <v>44335.308021352357</v>
      </c>
      <c r="I270">
        <f t="shared" si="76"/>
        <v>0</v>
      </c>
      <c r="J270">
        <f t="shared" si="77"/>
        <v>44335.308021352357</v>
      </c>
      <c r="K270">
        <f t="shared" si="78"/>
        <v>44309.888312512368</v>
      </c>
      <c r="L270">
        <f t="shared" si="85"/>
        <v>44309.888312512368</v>
      </c>
      <c r="M270">
        <f t="shared" si="79"/>
        <v>44335.308021352357</v>
      </c>
      <c r="N270" s="29">
        <f t="shared" si="86"/>
        <v>0</v>
      </c>
      <c r="O270" s="29">
        <f t="shared" si="80"/>
        <v>0</v>
      </c>
      <c r="P270" s="29">
        <f t="shared" si="87"/>
        <v>44335.308021352357</v>
      </c>
      <c r="Q270">
        <f t="shared" si="88"/>
        <v>0</v>
      </c>
      <c r="R270" s="29">
        <f t="shared" si="89"/>
        <v>0</v>
      </c>
      <c r="S270" s="29">
        <f t="shared" si="81"/>
        <v>0</v>
      </c>
      <c r="T270" s="29">
        <f t="shared" si="90"/>
        <v>44335.308021352357</v>
      </c>
      <c r="U270">
        <f t="shared" si="91"/>
        <v>0</v>
      </c>
      <c r="V270" s="29">
        <f t="shared" si="92"/>
        <v>0</v>
      </c>
      <c r="W270" s="29">
        <f t="shared" si="82"/>
        <v>0</v>
      </c>
      <c r="X270" s="29">
        <f t="shared" si="93"/>
        <v>44335.308021352357</v>
      </c>
      <c r="Y270">
        <f t="shared" si="94"/>
        <v>0</v>
      </c>
    </row>
    <row r="271" spans="1:25" x14ac:dyDescent="0.25">
      <c r="A271" s="4" t="s">
        <v>1174</v>
      </c>
      <c r="B271" s="7" t="s">
        <v>235</v>
      </c>
      <c r="C271" s="2" t="s">
        <v>1175</v>
      </c>
      <c r="D271">
        <f>VLOOKUP(B271,'Model allocations'!$A$1:$L$317,5,FALSE)</f>
        <v>0</v>
      </c>
      <c r="E271" s="31">
        <f>VLOOKUP(B271,'Initial adjusted formula count'!$A$1:$P$317,12,FALSE)</f>
        <v>4.5739417262231997E-2</v>
      </c>
      <c r="F271">
        <f>VLOOKUP(B271,'Model allocations'!$A$1:$L$317,10,FALSE)</f>
        <v>0</v>
      </c>
      <c r="G271" s="30">
        <f t="shared" si="83"/>
        <v>0.85</v>
      </c>
      <c r="H271">
        <f t="shared" si="84"/>
        <v>0</v>
      </c>
      <c r="I271">
        <f t="shared" si="76"/>
        <v>0</v>
      </c>
      <c r="J271">
        <f t="shared" si="77"/>
        <v>0</v>
      </c>
      <c r="K271">
        <f t="shared" si="78"/>
        <v>0</v>
      </c>
      <c r="L271">
        <f t="shared" si="85"/>
        <v>0</v>
      </c>
      <c r="M271">
        <f t="shared" si="79"/>
        <v>0</v>
      </c>
      <c r="N271" s="29">
        <f t="shared" si="86"/>
        <v>0</v>
      </c>
      <c r="O271" s="29">
        <f t="shared" si="80"/>
        <v>0</v>
      </c>
      <c r="P271" s="29">
        <f t="shared" si="87"/>
        <v>0</v>
      </c>
      <c r="Q271">
        <f t="shared" si="88"/>
        <v>0</v>
      </c>
      <c r="R271" s="29">
        <f t="shared" si="89"/>
        <v>0</v>
      </c>
      <c r="S271" s="29">
        <f t="shared" si="81"/>
        <v>0</v>
      </c>
      <c r="T271" s="29">
        <f t="shared" si="90"/>
        <v>0</v>
      </c>
      <c r="U271">
        <f t="shared" si="91"/>
        <v>0</v>
      </c>
      <c r="V271" s="29">
        <f t="shared" si="92"/>
        <v>0</v>
      </c>
      <c r="W271" s="29">
        <f t="shared" si="82"/>
        <v>0</v>
      </c>
      <c r="X271" s="29">
        <f t="shared" si="93"/>
        <v>0</v>
      </c>
      <c r="Y271">
        <f t="shared" si="94"/>
        <v>0</v>
      </c>
    </row>
    <row r="272" spans="1:25" x14ac:dyDescent="0.25">
      <c r="A272" s="4" t="s">
        <v>1176</v>
      </c>
      <c r="B272" s="7" t="s">
        <v>237</v>
      </c>
      <c r="C272" s="2" t="s">
        <v>1177</v>
      </c>
      <c r="D272">
        <f>VLOOKUP(B272,'Model allocations'!$A$1:$L$317,5,FALSE)</f>
        <v>12327.64326213934</v>
      </c>
      <c r="E272" s="31">
        <f>VLOOKUP(B272,'Initial adjusted formula count'!$A$1:$P$317,12,FALSE)</f>
        <v>0.124260355029586</v>
      </c>
      <c r="F272">
        <f>VLOOKUP(B272,'Model allocations'!$A$1:$L$317,10,FALSE)</f>
        <v>10478.496772818438</v>
      </c>
      <c r="G272" s="30">
        <f t="shared" si="83"/>
        <v>0.85</v>
      </c>
      <c r="H272">
        <f t="shared" si="84"/>
        <v>10478.496772818438</v>
      </c>
      <c r="I272">
        <f t="shared" si="76"/>
        <v>0</v>
      </c>
      <c r="J272">
        <f t="shared" si="77"/>
        <v>10478.496772818438</v>
      </c>
      <c r="K272">
        <f t="shared" si="78"/>
        <v>10472.488912516274</v>
      </c>
      <c r="L272">
        <f t="shared" si="85"/>
        <v>10472.488912516274</v>
      </c>
      <c r="M272">
        <f t="shared" si="79"/>
        <v>10478.496772818438</v>
      </c>
      <c r="N272" s="29">
        <f t="shared" si="86"/>
        <v>0</v>
      </c>
      <c r="O272" s="29">
        <f t="shared" si="80"/>
        <v>0</v>
      </c>
      <c r="P272" s="29">
        <f t="shared" si="87"/>
        <v>10478.496772818438</v>
      </c>
      <c r="Q272">
        <f t="shared" si="88"/>
        <v>0</v>
      </c>
      <c r="R272" s="29">
        <f t="shared" si="89"/>
        <v>0</v>
      </c>
      <c r="S272" s="29">
        <f t="shared" si="81"/>
        <v>0</v>
      </c>
      <c r="T272" s="29">
        <f t="shared" si="90"/>
        <v>10478.496772818438</v>
      </c>
      <c r="U272">
        <f t="shared" si="91"/>
        <v>0</v>
      </c>
      <c r="V272" s="29">
        <f t="shared" si="92"/>
        <v>0</v>
      </c>
      <c r="W272" s="29">
        <f t="shared" si="82"/>
        <v>0</v>
      </c>
      <c r="X272" s="29">
        <f t="shared" si="93"/>
        <v>10478.496772818438</v>
      </c>
      <c r="Y272">
        <f t="shared" si="94"/>
        <v>0</v>
      </c>
    </row>
    <row r="273" spans="1:25" x14ac:dyDescent="0.25">
      <c r="A273" s="4" t="s">
        <v>1178</v>
      </c>
      <c r="B273" s="7" t="s">
        <v>304</v>
      </c>
      <c r="C273" s="2" t="s">
        <v>1179</v>
      </c>
      <c r="D273">
        <f>VLOOKUP(B273,'Model allocations'!$A$1:$L$317,5,FALSE)</f>
        <v>80254.208984847195</v>
      </c>
      <c r="E273" s="31">
        <f>VLOOKUP(B273,'Initial adjusted formula count'!$A$1:$P$317,12,FALSE)</f>
        <v>8.4050297816015904E-2</v>
      </c>
      <c r="F273">
        <f>VLOOKUP(B273,'Model allocations'!$A$1:$L$317,10,FALSE)</f>
        <v>68216.077637120121</v>
      </c>
      <c r="G273" s="30">
        <f t="shared" si="83"/>
        <v>0.85</v>
      </c>
      <c r="H273">
        <f t="shared" si="84"/>
        <v>68216.077637120121</v>
      </c>
      <c r="I273">
        <f t="shared" si="76"/>
        <v>0</v>
      </c>
      <c r="J273">
        <f t="shared" si="77"/>
        <v>68216.077637120121</v>
      </c>
      <c r="K273">
        <f t="shared" si="78"/>
        <v>68176.965856710114</v>
      </c>
      <c r="L273">
        <f t="shared" si="85"/>
        <v>68176.965856710114</v>
      </c>
      <c r="M273">
        <f t="shared" si="79"/>
        <v>68216.077637120121</v>
      </c>
      <c r="N273" s="29">
        <f t="shared" si="86"/>
        <v>0</v>
      </c>
      <c r="O273" s="29">
        <f t="shared" si="80"/>
        <v>0</v>
      </c>
      <c r="P273" s="29">
        <f t="shared" si="87"/>
        <v>68216.077637120121</v>
      </c>
      <c r="Q273">
        <f t="shared" si="88"/>
        <v>0</v>
      </c>
      <c r="R273" s="29">
        <f t="shared" si="89"/>
        <v>0</v>
      </c>
      <c r="S273" s="29">
        <f t="shared" si="81"/>
        <v>0</v>
      </c>
      <c r="T273" s="29">
        <f t="shared" si="90"/>
        <v>68216.077637120121</v>
      </c>
      <c r="U273">
        <f t="shared" si="91"/>
        <v>0</v>
      </c>
      <c r="V273" s="29">
        <f t="shared" si="92"/>
        <v>0</v>
      </c>
      <c r="W273" s="29">
        <f t="shared" si="82"/>
        <v>0</v>
      </c>
      <c r="X273" s="29">
        <f t="shared" si="93"/>
        <v>68216.077637120121</v>
      </c>
      <c r="Y273">
        <f t="shared" si="94"/>
        <v>0</v>
      </c>
    </row>
    <row r="274" spans="1:25" x14ac:dyDescent="0.25">
      <c r="A274" s="4" t="s">
        <v>1180</v>
      </c>
      <c r="B274" s="7" t="s">
        <v>239</v>
      </c>
      <c r="C274" s="2" t="s">
        <v>1181</v>
      </c>
      <c r="D274">
        <f>VLOOKUP(B274,'Model allocations'!$A$1:$L$317,5,FALSE)</f>
        <v>10348.289260401387</v>
      </c>
      <c r="E274" s="31">
        <f>VLOOKUP(B274,'Initial adjusted formula count'!$A$1:$P$317,12,FALSE)</f>
        <v>0.14903846153846201</v>
      </c>
      <c r="F274">
        <f>VLOOKUP(B274,'Model allocations'!$A$1:$L$317,10,FALSE)</f>
        <v>12999.509548684573</v>
      </c>
      <c r="G274" s="30">
        <f t="shared" si="83"/>
        <v>0.85</v>
      </c>
      <c r="H274">
        <f t="shared" si="84"/>
        <v>8796.045871341179</v>
      </c>
      <c r="I274">
        <f t="shared" si="76"/>
        <v>0</v>
      </c>
      <c r="J274">
        <f t="shared" si="77"/>
        <v>12999.509548684573</v>
      </c>
      <c r="K274">
        <f t="shared" si="78"/>
        <v>12992.056262296419</v>
      </c>
      <c r="L274">
        <f t="shared" si="85"/>
        <v>12992.056262296419</v>
      </c>
      <c r="M274">
        <f t="shared" si="79"/>
        <v>0</v>
      </c>
      <c r="N274" s="29">
        <f t="shared" si="86"/>
        <v>12992.056262296419</v>
      </c>
      <c r="O274" s="29">
        <f t="shared" si="80"/>
        <v>12991.116384986764</v>
      </c>
      <c r="P274" s="29">
        <f t="shared" si="87"/>
        <v>12991.116384986764</v>
      </c>
      <c r="Q274">
        <f t="shared" si="88"/>
        <v>0</v>
      </c>
      <c r="R274" s="29">
        <f t="shared" si="89"/>
        <v>12991.116384986764</v>
      </c>
      <c r="S274" s="29">
        <f t="shared" si="81"/>
        <v>12991.116384986772</v>
      </c>
      <c r="T274" s="29">
        <f t="shared" si="90"/>
        <v>12991.116384986772</v>
      </c>
      <c r="U274">
        <f t="shared" si="91"/>
        <v>0</v>
      </c>
      <c r="V274" s="29">
        <f t="shared" si="92"/>
        <v>12991.116384986772</v>
      </c>
      <c r="W274" s="29">
        <f t="shared" si="82"/>
        <v>12991.116384986773</v>
      </c>
      <c r="X274" s="29">
        <f t="shared" si="93"/>
        <v>12991.116384986773</v>
      </c>
      <c r="Y274">
        <f t="shared" si="94"/>
        <v>0</v>
      </c>
    </row>
    <row r="275" spans="1:25" x14ac:dyDescent="0.25">
      <c r="A275" s="4" t="s">
        <v>1182</v>
      </c>
      <c r="B275" s="7" t="s">
        <v>241</v>
      </c>
      <c r="C275" s="2" t="s">
        <v>1183</v>
      </c>
      <c r="D275">
        <f>VLOOKUP(B275,'Model allocations'!$A$1:$L$317,5,FALSE)</f>
        <v>36217.284054700278</v>
      </c>
      <c r="E275" s="31">
        <f>VLOOKUP(B275,'Initial adjusted formula count'!$A$1:$P$317,12,FALSE)</f>
        <v>8.7962962962963007E-2</v>
      </c>
      <c r="F275">
        <f>VLOOKUP(B275,'Model allocations'!$A$1:$L$317,10,FALSE)</f>
        <v>31869.765345162177</v>
      </c>
      <c r="G275" s="30">
        <f t="shared" si="83"/>
        <v>0.85</v>
      </c>
      <c r="H275">
        <f t="shared" si="84"/>
        <v>30784.691446495235</v>
      </c>
      <c r="I275">
        <f t="shared" si="76"/>
        <v>0</v>
      </c>
      <c r="J275">
        <f t="shared" si="77"/>
        <v>31869.765345162177</v>
      </c>
      <c r="K275">
        <f t="shared" si="78"/>
        <v>31851.492772081543</v>
      </c>
      <c r="L275">
        <f t="shared" si="85"/>
        <v>31851.492772081543</v>
      </c>
      <c r="M275">
        <f t="shared" si="79"/>
        <v>0</v>
      </c>
      <c r="N275" s="29">
        <f t="shared" si="86"/>
        <v>31851.492772081543</v>
      </c>
      <c r="O275" s="29">
        <f t="shared" si="80"/>
        <v>31849.188556741748</v>
      </c>
      <c r="P275" s="29">
        <f t="shared" si="87"/>
        <v>31849.188556741748</v>
      </c>
      <c r="Q275">
        <f t="shared" si="88"/>
        <v>0</v>
      </c>
      <c r="R275" s="29">
        <f t="shared" si="89"/>
        <v>31849.188556741748</v>
      </c>
      <c r="S275" s="29">
        <f t="shared" si="81"/>
        <v>31849.188556741767</v>
      </c>
      <c r="T275" s="29">
        <f t="shared" si="90"/>
        <v>31849.188556741767</v>
      </c>
      <c r="U275">
        <f t="shared" si="91"/>
        <v>0</v>
      </c>
      <c r="V275" s="29">
        <f t="shared" si="92"/>
        <v>31849.188556741767</v>
      </c>
      <c r="W275" s="29">
        <f t="shared" si="82"/>
        <v>31849.18855674177</v>
      </c>
      <c r="X275" s="29">
        <f t="shared" si="93"/>
        <v>31849.18855674177</v>
      </c>
      <c r="Y275">
        <f t="shared" si="94"/>
        <v>0</v>
      </c>
    </row>
    <row r="276" spans="1:25" x14ac:dyDescent="0.25">
      <c r="A276" s="8" t="s">
        <v>1184</v>
      </c>
      <c r="B276" s="7" t="s">
        <v>604</v>
      </c>
      <c r="C276" s="2" t="s">
        <v>1185</v>
      </c>
      <c r="D276">
        <f>VLOOKUP(B276,'Model allocations'!$A$1:$L$317,5,FALSE)</f>
        <v>190657.2837303144</v>
      </c>
      <c r="E276" s="31">
        <f>VLOOKUP(B276,'Initial adjusted formula count'!$A$1:$P$317,12,FALSE)</f>
        <v>0.24454545454545501</v>
      </c>
      <c r="F276">
        <f>VLOOKUP(B276,'Model allocations'!$A$1:$L$317,10,FALSE)</f>
        <v>171591.55535728298</v>
      </c>
      <c r="G276" s="30">
        <f t="shared" si="83"/>
        <v>0.9</v>
      </c>
      <c r="H276">
        <f t="shared" si="84"/>
        <v>171591.55535728298</v>
      </c>
      <c r="I276">
        <f t="shared" si="76"/>
        <v>0</v>
      </c>
      <c r="J276">
        <f t="shared" si="77"/>
        <v>171591.55535728298</v>
      </c>
      <c r="K276">
        <f t="shared" si="78"/>
        <v>171493.17310685449</v>
      </c>
      <c r="L276">
        <f t="shared" si="85"/>
        <v>171493.17310685449</v>
      </c>
      <c r="M276">
        <f t="shared" si="79"/>
        <v>171591.55535728298</v>
      </c>
      <c r="N276" s="29">
        <f t="shared" si="86"/>
        <v>0</v>
      </c>
      <c r="O276" s="29">
        <f t="shared" si="80"/>
        <v>0</v>
      </c>
      <c r="P276" s="29">
        <f t="shared" si="87"/>
        <v>171591.55535728298</v>
      </c>
      <c r="Q276">
        <f t="shared" si="88"/>
        <v>0</v>
      </c>
      <c r="R276" s="29">
        <f t="shared" si="89"/>
        <v>0</v>
      </c>
      <c r="S276" s="29">
        <f t="shared" si="81"/>
        <v>0</v>
      </c>
      <c r="T276" s="29">
        <f t="shared" si="90"/>
        <v>171591.55535728298</v>
      </c>
      <c r="U276">
        <f t="shared" si="91"/>
        <v>0</v>
      </c>
      <c r="V276" s="29">
        <f t="shared" si="92"/>
        <v>0</v>
      </c>
      <c r="W276" s="29">
        <f t="shared" si="82"/>
        <v>0</v>
      </c>
      <c r="X276" s="29">
        <f t="shared" si="93"/>
        <v>171591.55535728298</v>
      </c>
      <c r="Y276">
        <f t="shared" si="94"/>
        <v>0</v>
      </c>
    </row>
    <row r="277" spans="1:25" x14ac:dyDescent="0.25">
      <c r="A277" s="4" t="s">
        <v>1186</v>
      </c>
      <c r="B277" s="7" t="s">
        <v>606</v>
      </c>
      <c r="C277" s="2" t="s">
        <v>1187</v>
      </c>
      <c r="D277">
        <f>VLOOKUP(B277,'Model allocations'!$A$1:$L$317,5,FALSE)</f>
        <v>353131.07211473311</v>
      </c>
      <c r="E277" s="31">
        <f>VLOOKUP(B277,'Initial adjusted formula count'!$A$1:$P$317,12,FALSE)</f>
        <v>0.19412442396313401</v>
      </c>
      <c r="F277">
        <f>VLOOKUP(B277,'Model allocations'!$A$1:$L$317,10,FALSE)</f>
        <v>324483.19001101825</v>
      </c>
      <c r="G277" s="30">
        <f t="shared" si="83"/>
        <v>0.9</v>
      </c>
      <c r="H277">
        <f t="shared" si="84"/>
        <v>317817.96490325982</v>
      </c>
      <c r="I277">
        <f t="shared" si="76"/>
        <v>0</v>
      </c>
      <c r="J277">
        <f t="shared" si="77"/>
        <v>324483.19001101825</v>
      </c>
      <c r="K277">
        <f t="shared" si="78"/>
        <v>324297.14713499771</v>
      </c>
      <c r="L277">
        <f t="shared" si="85"/>
        <v>324297.14713499771</v>
      </c>
      <c r="M277">
        <f t="shared" si="79"/>
        <v>0</v>
      </c>
      <c r="N277" s="29">
        <f t="shared" si="86"/>
        <v>324297.14713499771</v>
      </c>
      <c r="O277" s="29">
        <f t="shared" si="80"/>
        <v>324273.68668162345</v>
      </c>
      <c r="P277" s="29">
        <f t="shared" si="87"/>
        <v>324273.68668162345</v>
      </c>
      <c r="Q277">
        <f t="shared" si="88"/>
        <v>0</v>
      </c>
      <c r="R277" s="29">
        <f t="shared" si="89"/>
        <v>324273.68668162345</v>
      </c>
      <c r="S277" s="29">
        <f t="shared" si="81"/>
        <v>324273.68668162363</v>
      </c>
      <c r="T277" s="29">
        <f t="shared" si="90"/>
        <v>324273.68668162363</v>
      </c>
      <c r="U277">
        <f t="shared" si="91"/>
        <v>0</v>
      </c>
      <c r="V277" s="29">
        <f t="shared" si="92"/>
        <v>324273.68668162363</v>
      </c>
      <c r="W277" s="29">
        <f t="shared" si="82"/>
        <v>324273.68668162363</v>
      </c>
      <c r="X277" s="29">
        <f t="shared" si="93"/>
        <v>324273.68668162363</v>
      </c>
      <c r="Y277">
        <f t="shared" si="94"/>
        <v>0</v>
      </c>
    </row>
    <row r="278" spans="1:25" x14ac:dyDescent="0.25">
      <c r="A278" s="4" t="s">
        <v>1188</v>
      </c>
      <c r="B278" s="7" t="s">
        <v>243</v>
      </c>
      <c r="C278" s="2" t="s">
        <v>1189</v>
      </c>
      <c r="D278">
        <f>VLOOKUP(B278,'Model allocations'!$A$1:$L$317,5,FALSE)</f>
        <v>11523.681290131903</v>
      </c>
      <c r="E278" s="31">
        <f>VLOOKUP(B278,'Initial adjusted formula count'!$A$1:$P$317,12,FALSE)</f>
        <v>0.10958904109589</v>
      </c>
      <c r="F278">
        <f>VLOOKUP(B278,'Model allocations'!$A$1:$L$317,10,FALSE)</f>
        <v>10064.136424788057</v>
      </c>
      <c r="G278" s="30">
        <f t="shared" si="83"/>
        <v>0.85</v>
      </c>
      <c r="H278">
        <f t="shared" si="84"/>
        <v>9795.1290966121178</v>
      </c>
      <c r="I278">
        <f t="shared" si="76"/>
        <v>0</v>
      </c>
      <c r="J278">
        <f t="shared" si="77"/>
        <v>10064.136424788057</v>
      </c>
      <c r="K278">
        <f t="shared" si="78"/>
        <v>10058.366138552066</v>
      </c>
      <c r="L278">
        <f t="shared" si="85"/>
        <v>10058.366138552066</v>
      </c>
      <c r="M278">
        <f t="shared" si="79"/>
        <v>0</v>
      </c>
      <c r="N278" s="29">
        <f t="shared" si="86"/>
        <v>10058.366138552066</v>
      </c>
      <c r="O278" s="29">
        <f t="shared" si="80"/>
        <v>10057.638491602658</v>
      </c>
      <c r="P278" s="29">
        <f t="shared" si="87"/>
        <v>10057.638491602658</v>
      </c>
      <c r="Q278">
        <f t="shared" si="88"/>
        <v>0</v>
      </c>
      <c r="R278" s="29">
        <f t="shared" si="89"/>
        <v>10057.638491602658</v>
      </c>
      <c r="S278" s="29">
        <f t="shared" si="81"/>
        <v>10057.638491602665</v>
      </c>
      <c r="T278" s="29">
        <f t="shared" si="90"/>
        <v>10057.638491602665</v>
      </c>
      <c r="U278">
        <f t="shared" si="91"/>
        <v>0</v>
      </c>
      <c r="V278" s="29">
        <f t="shared" si="92"/>
        <v>10057.638491602665</v>
      </c>
      <c r="W278" s="29">
        <f t="shared" si="82"/>
        <v>10057.638491602667</v>
      </c>
      <c r="X278" s="29">
        <f t="shared" si="93"/>
        <v>10057.638491602667</v>
      </c>
      <c r="Y278">
        <f t="shared" si="94"/>
        <v>0</v>
      </c>
    </row>
    <row r="279" spans="1:25" x14ac:dyDescent="0.25">
      <c r="A279" s="4" t="s">
        <v>1190</v>
      </c>
      <c r="B279" s="7" t="s">
        <v>245</v>
      </c>
      <c r="C279" s="2" t="s">
        <v>1191</v>
      </c>
      <c r="D279">
        <f>VLOOKUP(B279,'Model allocations'!$A$1:$L$317,5,FALSE)</f>
        <v>30867.003455710452</v>
      </c>
      <c r="E279" s="31">
        <f>VLOOKUP(B279,'Initial adjusted formula count'!$A$1:$P$317,12,FALSE)</f>
        <v>9.3589743589743604E-2</v>
      </c>
      <c r="F279">
        <f>VLOOKUP(B279,'Model allocations'!$A$1:$L$317,10,FALSE)</f>
        <v>30611.748292063672</v>
      </c>
      <c r="G279" s="30">
        <f t="shared" si="83"/>
        <v>0.85</v>
      </c>
      <c r="H279">
        <f t="shared" si="84"/>
        <v>26236.952937353883</v>
      </c>
      <c r="I279">
        <f t="shared" si="76"/>
        <v>0</v>
      </c>
      <c r="J279">
        <f t="shared" si="77"/>
        <v>30611.748292063672</v>
      </c>
      <c r="K279">
        <f t="shared" si="78"/>
        <v>30594.197004762536</v>
      </c>
      <c r="L279">
        <f t="shared" si="85"/>
        <v>30594.197004762536</v>
      </c>
      <c r="M279">
        <f t="shared" si="79"/>
        <v>0</v>
      </c>
      <c r="N279" s="29">
        <f t="shared" si="86"/>
        <v>30594.197004762536</v>
      </c>
      <c r="O279" s="29">
        <f t="shared" si="80"/>
        <v>30591.983745291414</v>
      </c>
      <c r="P279" s="29">
        <f t="shared" si="87"/>
        <v>30591.983745291414</v>
      </c>
      <c r="Q279">
        <f t="shared" si="88"/>
        <v>0</v>
      </c>
      <c r="R279" s="29">
        <f t="shared" si="89"/>
        <v>30591.983745291414</v>
      </c>
      <c r="S279" s="29">
        <f t="shared" si="81"/>
        <v>30591.983745291433</v>
      </c>
      <c r="T279" s="29">
        <f t="shared" si="90"/>
        <v>30591.983745291433</v>
      </c>
      <c r="U279">
        <f t="shared" si="91"/>
        <v>0</v>
      </c>
      <c r="V279" s="29">
        <f t="shared" si="92"/>
        <v>30591.983745291433</v>
      </c>
      <c r="W279" s="29">
        <f t="shared" si="82"/>
        <v>30591.983745291436</v>
      </c>
      <c r="X279" s="29">
        <f t="shared" si="93"/>
        <v>30591.983745291436</v>
      </c>
      <c r="Y279">
        <f t="shared" si="94"/>
        <v>0</v>
      </c>
    </row>
    <row r="280" spans="1:25" x14ac:dyDescent="0.25">
      <c r="A280" s="4" t="s">
        <v>1192</v>
      </c>
      <c r="B280" s="7" t="s">
        <v>608</v>
      </c>
      <c r="C280" s="2" t="s">
        <v>1193</v>
      </c>
      <c r="D280">
        <f>VLOOKUP(B280,'Model allocations'!$A$1:$L$317,5,FALSE)</f>
        <v>22232.007412531515</v>
      </c>
      <c r="E280" s="31">
        <f>VLOOKUP(B280,'Initial adjusted formula count'!$A$1:$P$317,12,FALSE)</f>
        <v>0.222772277227723</v>
      </c>
      <c r="F280">
        <f>VLOOKUP(B280,'Model allocations'!$A$1:$L$317,10,FALSE)</f>
        <v>23231.234811896233</v>
      </c>
      <c r="G280" s="30">
        <f t="shared" si="83"/>
        <v>0.9</v>
      </c>
      <c r="H280">
        <f t="shared" si="84"/>
        <v>20008.806671278366</v>
      </c>
      <c r="I280">
        <f t="shared" si="76"/>
        <v>0</v>
      </c>
      <c r="J280">
        <f t="shared" si="77"/>
        <v>23231.234811896233</v>
      </c>
      <c r="K280">
        <f t="shared" si="78"/>
        <v>23217.915151984827</v>
      </c>
      <c r="L280">
        <f t="shared" si="85"/>
        <v>23217.915151984827</v>
      </c>
      <c r="M280">
        <f t="shared" si="79"/>
        <v>0</v>
      </c>
      <c r="N280" s="29">
        <f t="shared" si="86"/>
        <v>23217.915151984827</v>
      </c>
      <c r="O280" s="29">
        <f t="shared" si="80"/>
        <v>23216.235510888124</v>
      </c>
      <c r="P280" s="29">
        <f t="shared" si="87"/>
        <v>23216.235510888124</v>
      </c>
      <c r="Q280">
        <f t="shared" si="88"/>
        <v>0</v>
      </c>
      <c r="R280" s="29">
        <f t="shared" si="89"/>
        <v>23216.235510888124</v>
      </c>
      <c r="S280" s="29">
        <f t="shared" si="81"/>
        <v>23216.235510888135</v>
      </c>
      <c r="T280" s="29">
        <f t="shared" si="90"/>
        <v>23216.235510888135</v>
      </c>
      <c r="U280">
        <f t="shared" si="91"/>
        <v>0</v>
      </c>
      <c r="V280" s="29">
        <f t="shared" si="92"/>
        <v>23216.235510888135</v>
      </c>
      <c r="W280" s="29">
        <f t="shared" si="82"/>
        <v>23216.235510888135</v>
      </c>
      <c r="X280" s="29">
        <f t="shared" si="93"/>
        <v>23216.235510888135</v>
      </c>
      <c r="Y280">
        <f t="shared" si="94"/>
        <v>0</v>
      </c>
    </row>
    <row r="281" spans="1:25" x14ac:dyDescent="0.25">
      <c r="A281" s="4" t="s">
        <v>43</v>
      </c>
      <c r="B281" s="7" t="s">
        <v>60</v>
      </c>
      <c r="C281" s="2" t="s">
        <v>1194</v>
      </c>
      <c r="D281">
        <f>VLOOKUP(B281,'Model allocations'!$A$1:$L$317,5,FALSE)</f>
        <v>243411.91773993953</v>
      </c>
      <c r="E281" s="31">
        <f>VLOOKUP(B281,'Initial adjusted formula count'!$A$1:$P$317,12,FALSE)</f>
        <v>0.223686849909671</v>
      </c>
      <c r="F281">
        <f>VLOOKUP(B281,'Model allocations'!$A$1:$L$317,10,FALSE)</f>
        <v>256409.00116485672</v>
      </c>
      <c r="G281" s="30">
        <f t="shared" si="83"/>
        <v>0.9</v>
      </c>
      <c r="H281">
        <f t="shared" si="84"/>
        <v>219070.72596594557</v>
      </c>
      <c r="I281">
        <f t="shared" si="76"/>
        <v>0</v>
      </c>
      <c r="J281">
        <f t="shared" si="77"/>
        <v>256409.00116485672</v>
      </c>
      <c r="K281">
        <f t="shared" si="78"/>
        <v>256261.98871711592</v>
      </c>
      <c r="L281">
        <f t="shared" si="85"/>
        <v>256261.98871711592</v>
      </c>
      <c r="M281">
        <f t="shared" si="79"/>
        <v>0</v>
      </c>
      <c r="N281" s="29">
        <f t="shared" si="86"/>
        <v>256261.98871711592</v>
      </c>
      <c r="O281" s="29">
        <f t="shared" si="80"/>
        <v>256243.45009446383</v>
      </c>
      <c r="P281" s="29">
        <f t="shared" si="87"/>
        <v>256243.45009446383</v>
      </c>
      <c r="Q281">
        <f t="shared" si="88"/>
        <v>0</v>
      </c>
      <c r="R281" s="29">
        <f t="shared" si="89"/>
        <v>256243.45009446383</v>
      </c>
      <c r="S281" s="29">
        <f t="shared" si="81"/>
        <v>256243.450094464</v>
      </c>
      <c r="T281" s="29">
        <f t="shared" si="90"/>
        <v>256243.450094464</v>
      </c>
      <c r="U281">
        <f t="shared" si="91"/>
        <v>0</v>
      </c>
      <c r="V281" s="29">
        <f t="shared" si="92"/>
        <v>256243.450094464</v>
      </c>
      <c r="W281" s="29">
        <f t="shared" si="82"/>
        <v>256243.45009446406</v>
      </c>
      <c r="X281" s="29">
        <f t="shared" si="93"/>
        <v>256243.45009446406</v>
      </c>
      <c r="Y281">
        <f t="shared" si="94"/>
        <v>0</v>
      </c>
    </row>
    <row r="282" spans="1:25" x14ac:dyDescent="0.25">
      <c r="A282" s="4" t="s">
        <v>1195</v>
      </c>
      <c r="B282" s="7" t="s">
        <v>247</v>
      </c>
      <c r="C282" s="2" t="s">
        <v>1196</v>
      </c>
      <c r="D282">
        <f>VLOOKUP(B282,'Model allocations'!$A$1:$L$317,5,FALSE)</f>
        <v>270394.95027202356</v>
      </c>
      <c r="E282" s="31">
        <f>VLOOKUP(B282,'Initial adjusted formula count'!$A$1:$P$317,12,FALSE)</f>
        <v>9.2996222028480097E-2</v>
      </c>
      <c r="F282">
        <f>VLOOKUP(B282,'Model allocations'!$A$1:$L$317,10,FALSE)</f>
        <v>268376.97132768139</v>
      </c>
      <c r="G282" s="30">
        <f t="shared" si="83"/>
        <v>0.85</v>
      </c>
      <c r="H282">
        <f t="shared" si="84"/>
        <v>229835.70773122003</v>
      </c>
      <c r="I282">
        <f t="shared" si="76"/>
        <v>0</v>
      </c>
      <c r="J282">
        <f t="shared" si="77"/>
        <v>268376.97132768139</v>
      </c>
      <c r="K282">
        <f t="shared" si="78"/>
        <v>268223.097028055</v>
      </c>
      <c r="L282">
        <f t="shared" si="85"/>
        <v>268223.097028055</v>
      </c>
      <c r="M282">
        <f t="shared" si="79"/>
        <v>0</v>
      </c>
      <c r="N282" s="29">
        <f t="shared" si="86"/>
        <v>268223.097028055</v>
      </c>
      <c r="O282" s="29">
        <f t="shared" si="80"/>
        <v>268203.69310940406</v>
      </c>
      <c r="P282" s="29">
        <f t="shared" si="87"/>
        <v>268203.69310940406</v>
      </c>
      <c r="Q282">
        <f t="shared" si="88"/>
        <v>0</v>
      </c>
      <c r="R282" s="29">
        <f t="shared" si="89"/>
        <v>268203.69310940406</v>
      </c>
      <c r="S282" s="29">
        <f t="shared" si="81"/>
        <v>268203.69310940424</v>
      </c>
      <c r="T282" s="29">
        <f t="shared" si="90"/>
        <v>268203.69310940424</v>
      </c>
      <c r="U282">
        <f t="shared" si="91"/>
        <v>0</v>
      </c>
      <c r="V282" s="29">
        <f t="shared" si="92"/>
        <v>268203.69310940424</v>
      </c>
      <c r="W282" s="29">
        <f t="shared" si="82"/>
        <v>268203.69310940424</v>
      </c>
      <c r="X282" s="29">
        <f t="shared" si="93"/>
        <v>268203.69310940424</v>
      </c>
      <c r="Y282">
        <f t="shared" si="94"/>
        <v>0</v>
      </c>
    </row>
    <row r="283" spans="1:25" x14ac:dyDescent="0.25">
      <c r="A283" s="4" t="s">
        <v>1197</v>
      </c>
      <c r="B283" s="7" t="s">
        <v>610</v>
      </c>
      <c r="C283" s="2" t="s">
        <v>1198</v>
      </c>
      <c r="D283">
        <f>VLOOKUP(B283,'Model allocations'!$A$1:$L$317,5,FALSE)</f>
        <v>113604.25708854655</v>
      </c>
      <c r="E283" s="31">
        <f>VLOOKUP(B283,'Initial adjusted formula count'!$A$1:$P$317,12,FALSE)</f>
        <v>0.31358024691358</v>
      </c>
      <c r="F283">
        <f>VLOOKUP(B283,'Model allocations'!$A$1:$L$317,10,FALSE)</f>
        <v>173317.53357915345</v>
      </c>
      <c r="G283" s="30">
        <f t="shared" si="83"/>
        <v>0.95</v>
      </c>
      <c r="H283">
        <f t="shared" si="84"/>
        <v>107924.04423411922</v>
      </c>
      <c r="I283">
        <f t="shared" si="76"/>
        <v>0</v>
      </c>
      <c r="J283">
        <f t="shared" si="77"/>
        <v>173317.53357915345</v>
      </c>
      <c r="K283">
        <f t="shared" si="78"/>
        <v>173218.16173677618</v>
      </c>
      <c r="L283">
        <f t="shared" si="85"/>
        <v>173218.16173677618</v>
      </c>
      <c r="M283">
        <f t="shared" si="79"/>
        <v>0</v>
      </c>
      <c r="N283" s="29">
        <f t="shared" si="86"/>
        <v>173218.16173677618</v>
      </c>
      <c r="O283" s="29">
        <f t="shared" si="80"/>
        <v>173205.6307088504</v>
      </c>
      <c r="P283" s="29">
        <f t="shared" si="87"/>
        <v>173205.6307088504</v>
      </c>
      <c r="Q283">
        <f t="shared" si="88"/>
        <v>0</v>
      </c>
      <c r="R283" s="29">
        <f t="shared" si="89"/>
        <v>173205.6307088504</v>
      </c>
      <c r="S283" s="29">
        <f t="shared" si="81"/>
        <v>173205.63070885048</v>
      </c>
      <c r="T283" s="29">
        <f t="shared" si="90"/>
        <v>173205.63070885048</v>
      </c>
      <c r="U283">
        <f t="shared" si="91"/>
        <v>0</v>
      </c>
      <c r="V283" s="29">
        <f t="shared" si="92"/>
        <v>173205.63070885048</v>
      </c>
      <c r="W283" s="29">
        <f t="shared" si="82"/>
        <v>173205.63070885051</v>
      </c>
      <c r="X283" s="29">
        <f t="shared" si="93"/>
        <v>173205.63070885051</v>
      </c>
      <c r="Y283">
        <f t="shared" si="94"/>
        <v>0</v>
      </c>
    </row>
    <row r="284" spans="1:25" x14ac:dyDescent="0.25">
      <c r="A284" s="4" t="s">
        <v>1199</v>
      </c>
      <c r="B284" s="7" t="s">
        <v>249</v>
      </c>
      <c r="C284" s="2" t="s">
        <v>1200</v>
      </c>
      <c r="D284">
        <f>VLOOKUP(B284,'Model allocations'!$A$1:$L$317,5,FALSE)</f>
        <v>190140.7412871765</v>
      </c>
      <c r="E284" s="31">
        <f>VLOOKUP(B284,'Initial adjusted formula count'!$A$1:$P$317,12,FALSE)</f>
        <v>8.2897033158813305E-2</v>
      </c>
      <c r="F284">
        <f>VLOOKUP(B284,'Model allocations'!$A$1:$L$317,10,FALSE)</f>
        <v>199186.03340726357</v>
      </c>
      <c r="G284" s="30">
        <f t="shared" si="83"/>
        <v>0.85</v>
      </c>
      <c r="H284">
        <f t="shared" si="84"/>
        <v>161619.63009410002</v>
      </c>
      <c r="I284">
        <f t="shared" si="76"/>
        <v>0</v>
      </c>
      <c r="J284">
        <f t="shared" si="77"/>
        <v>199186.03340726357</v>
      </c>
      <c r="K284">
        <f t="shared" si="78"/>
        <v>199071.8298255096</v>
      </c>
      <c r="L284">
        <f t="shared" si="85"/>
        <v>199071.8298255096</v>
      </c>
      <c r="M284">
        <f t="shared" si="79"/>
        <v>0</v>
      </c>
      <c r="N284" s="29">
        <f t="shared" si="86"/>
        <v>199071.8298255096</v>
      </c>
      <c r="O284" s="29">
        <f t="shared" si="80"/>
        <v>199057.42847963588</v>
      </c>
      <c r="P284" s="29">
        <f t="shared" si="87"/>
        <v>199057.42847963588</v>
      </c>
      <c r="Q284">
        <f t="shared" si="88"/>
        <v>0</v>
      </c>
      <c r="R284" s="29">
        <f t="shared" si="89"/>
        <v>199057.42847963588</v>
      </c>
      <c r="S284" s="29">
        <f t="shared" si="81"/>
        <v>199057.428479636</v>
      </c>
      <c r="T284" s="29">
        <f t="shared" si="90"/>
        <v>199057.428479636</v>
      </c>
      <c r="U284">
        <f t="shared" si="91"/>
        <v>0</v>
      </c>
      <c r="V284" s="29">
        <f t="shared" si="92"/>
        <v>199057.428479636</v>
      </c>
      <c r="W284" s="29">
        <f t="shared" si="82"/>
        <v>199057.42847963603</v>
      </c>
      <c r="X284" s="29">
        <f t="shared" si="93"/>
        <v>199057.42847963603</v>
      </c>
      <c r="Y284">
        <f t="shared" si="94"/>
        <v>0</v>
      </c>
    </row>
    <row r="285" spans="1:25" x14ac:dyDescent="0.25">
      <c r="A285" s="4" t="s">
        <v>1201</v>
      </c>
      <c r="B285" s="7" t="s">
        <v>612</v>
      </c>
      <c r="C285" s="2" t="s">
        <v>1202</v>
      </c>
      <c r="D285">
        <f>VLOOKUP(B285,'Model allocations'!$A$1:$L$317,5,FALSE)</f>
        <v>34546.955665293921</v>
      </c>
      <c r="E285" s="31">
        <f>VLOOKUP(B285,'Initial adjusted formula count'!$A$1:$P$317,12,FALSE)</f>
        <v>0.26551724137930999</v>
      </c>
      <c r="F285">
        <f>VLOOKUP(B285,'Model allocations'!$A$1:$L$317,10,FALSE)</f>
        <v>46347.130426974203</v>
      </c>
      <c r="G285" s="30">
        <f t="shared" si="83"/>
        <v>0.9</v>
      </c>
      <c r="H285">
        <f t="shared" si="84"/>
        <v>31092.260098764531</v>
      </c>
      <c r="I285">
        <f t="shared" si="76"/>
        <v>0</v>
      </c>
      <c r="J285">
        <f t="shared" si="77"/>
        <v>46347.130426974203</v>
      </c>
      <c r="K285">
        <f t="shared" si="78"/>
        <v>46320.557237035951</v>
      </c>
      <c r="L285">
        <f t="shared" si="85"/>
        <v>46320.557237035951</v>
      </c>
      <c r="M285">
        <f t="shared" si="79"/>
        <v>0</v>
      </c>
      <c r="N285" s="29">
        <f t="shared" si="86"/>
        <v>46320.557237035951</v>
      </c>
      <c r="O285" s="29">
        <f t="shared" si="80"/>
        <v>46317.206293979769</v>
      </c>
      <c r="P285" s="29">
        <f t="shared" si="87"/>
        <v>46317.206293979769</v>
      </c>
      <c r="Q285">
        <f t="shared" si="88"/>
        <v>0</v>
      </c>
      <c r="R285" s="29">
        <f t="shared" si="89"/>
        <v>46317.206293979769</v>
      </c>
      <c r="S285" s="29">
        <f t="shared" si="81"/>
        <v>46317.206293979791</v>
      </c>
      <c r="T285" s="29">
        <f t="shared" si="90"/>
        <v>46317.206293979791</v>
      </c>
      <c r="U285">
        <f t="shared" si="91"/>
        <v>0</v>
      </c>
      <c r="V285" s="29">
        <f t="shared" si="92"/>
        <v>46317.206293979791</v>
      </c>
      <c r="W285" s="29">
        <f t="shared" si="82"/>
        <v>46317.206293979791</v>
      </c>
      <c r="X285" s="29">
        <f t="shared" si="93"/>
        <v>46317.206293979791</v>
      </c>
      <c r="Y285">
        <f t="shared" si="94"/>
        <v>0</v>
      </c>
    </row>
    <row r="286" spans="1:25" x14ac:dyDescent="0.25">
      <c r="A286" s="4" t="s">
        <v>49</v>
      </c>
      <c r="B286" s="7" t="s">
        <v>63</v>
      </c>
      <c r="C286" s="2" t="s">
        <v>1203</v>
      </c>
      <c r="D286">
        <f>VLOOKUP(B286,'Model allocations'!$A$1:$L$317,5,FALSE)</f>
        <v>1708235.2358660235</v>
      </c>
      <c r="E286" s="31">
        <f>VLOOKUP(B286,'Initial adjusted formula count'!$A$1:$P$317,12,FALSE)</f>
        <v>0.11026313976987</v>
      </c>
      <c r="F286">
        <f>VLOOKUP(B286,'Model allocations'!$A$1:$L$317,10,FALSE)</f>
        <v>1667372.7351757819</v>
      </c>
      <c r="G286" s="30">
        <f t="shared" si="83"/>
        <v>0.85</v>
      </c>
      <c r="H286">
        <f t="shared" si="84"/>
        <v>1451999.9504861198</v>
      </c>
      <c r="I286">
        <f t="shared" si="76"/>
        <v>0</v>
      </c>
      <c r="J286">
        <f t="shared" si="77"/>
        <v>1667372.7351757819</v>
      </c>
      <c r="K286">
        <f t="shared" si="78"/>
        <v>1666416.7447621033</v>
      </c>
      <c r="L286">
        <f t="shared" si="85"/>
        <v>1666416.7447621033</v>
      </c>
      <c r="M286">
        <f t="shared" si="79"/>
        <v>0</v>
      </c>
      <c r="N286" s="29">
        <f t="shared" si="86"/>
        <v>1666416.7447621033</v>
      </c>
      <c r="O286" s="29">
        <f t="shared" si="80"/>
        <v>1666296.192075507</v>
      </c>
      <c r="P286" s="29">
        <f t="shared" si="87"/>
        <v>1666296.192075507</v>
      </c>
      <c r="Q286">
        <f t="shared" si="88"/>
        <v>0</v>
      </c>
      <c r="R286" s="29">
        <f t="shared" si="89"/>
        <v>1666296.192075507</v>
      </c>
      <c r="S286" s="29">
        <f t="shared" si="81"/>
        <v>1666296.1920755079</v>
      </c>
      <c r="T286" s="29">
        <f t="shared" si="90"/>
        <v>1666296.1920755079</v>
      </c>
      <c r="U286">
        <f t="shared" si="91"/>
        <v>0</v>
      </c>
      <c r="V286" s="29">
        <f t="shared" si="92"/>
        <v>1666296.1920755079</v>
      </c>
      <c r="W286" s="29">
        <f t="shared" si="82"/>
        <v>1666296.1920755082</v>
      </c>
      <c r="X286" s="29">
        <f t="shared" si="93"/>
        <v>1666296.1920755082</v>
      </c>
      <c r="Y286">
        <f t="shared" si="94"/>
        <v>0</v>
      </c>
    </row>
    <row r="287" spans="1:25" x14ac:dyDescent="0.25">
      <c r="A287" s="4" t="s">
        <v>1204</v>
      </c>
      <c r="B287" s="7" t="s">
        <v>251</v>
      </c>
      <c r="C287" s="2" t="s">
        <v>1205</v>
      </c>
      <c r="D287">
        <f>VLOOKUP(B287,'Model allocations'!$A$1:$L$317,5,FALSE)</f>
        <v>50406.183171632561</v>
      </c>
      <c r="E287" s="31">
        <f>VLOOKUP(B287,'Initial adjusted formula count'!$A$1:$P$317,12,FALSE)</f>
        <v>8.0508474576271194E-2</v>
      </c>
      <c r="F287">
        <f>VLOOKUP(B287,'Model allocations'!$A$1:$L$317,10,FALSE)</f>
        <v>47804.648017743275</v>
      </c>
      <c r="G287" s="30">
        <f t="shared" si="83"/>
        <v>0.85</v>
      </c>
      <c r="H287">
        <f t="shared" si="84"/>
        <v>42845.255695887674</v>
      </c>
      <c r="I287">
        <f t="shared" si="76"/>
        <v>0</v>
      </c>
      <c r="J287">
        <f t="shared" si="77"/>
        <v>47804.648017743275</v>
      </c>
      <c r="K287">
        <f t="shared" si="78"/>
        <v>47777.23915812232</v>
      </c>
      <c r="L287">
        <f t="shared" si="85"/>
        <v>47777.23915812232</v>
      </c>
      <c r="M287">
        <f t="shared" si="79"/>
        <v>0</v>
      </c>
      <c r="N287" s="29">
        <f t="shared" si="86"/>
        <v>47777.23915812232</v>
      </c>
      <c r="O287" s="29">
        <f t="shared" si="80"/>
        <v>47773.782835112623</v>
      </c>
      <c r="P287" s="29">
        <f t="shared" si="87"/>
        <v>47773.782835112623</v>
      </c>
      <c r="Q287">
        <f t="shared" si="88"/>
        <v>0</v>
      </c>
      <c r="R287" s="29">
        <f t="shared" si="89"/>
        <v>47773.782835112623</v>
      </c>
      <c r="S287" s="29">
        <f t="shared" si="81"/>
        <v>47773.782835112652</v>
      </c>
      <c r="T287" s="29">
        <f t="shared" si="90"/>
        <v>47773.782835112652</v>
      </c>
      <c r="U287">
        <f t="shared" si="91"/>
        <v>0</v>
      </c>
      <c r="V287" s="29">
        <f t="shared" si="92"/>
        <v>47773.782835112652</v>
      </c>
      <c r="W287" s="29">
        <f t="shared" si="82"/>
        <v>47773.782835112659</v>
      </c>
      <c r="X287" s="29">
        <f t="shared" si="93"/>
        <v>47773.782835112659</v>
      </c>
      <c r="Y287">
        <f t="shared" si="94"/>
        <v>0</v>
      </c>
    </row>
    <row r="288" spans="1:25" x14ac:dyDescent="0.25">
      <c r="A288" s="4" t="s">
        <v>1206</v>
      </c>
      <c r="B288" s="7" t="s">
        <v>614</v>
      </c>
      <c r="C288" s="2" t="s">
        <v>1207</v>
      </c>
      <c r="D288">
        <f>VLOOKUP(B288,'Model allocations'!$A$1:$L$317,5,FALSE)</f>
        <v>55591.833338774835</v>
      </c>
      <c r="E288" s="31">
        <f>VLOOKUP(B288,'Initial adjusted formula count'!$A$1:$P$317,12,FALSE)</f>
        <v>0.182539682539683</v>
      </c>
      <c r="F288">
        <f>VLOOKUP(B288,'Model allocations'!$A$1:$L$317,10,FALSE)</f>
        <v>50032.650004897354</v>
      </c>
      <c r="G288" s="30">
        <f t="shared" si="83"/>
        <v>0.9</v>
      </c>
      <c r="H288">
        <f t="shared" si="84"/>
        <v>50032.650004897354</v>
      </c>
      <c r="I288">
        <f t="shared" si="76"/>
        <v>0</v>
      </c>
      <c r="J288">
        <f t="shared" si="77"/>
        <v>50032.650004897354</v>
      </c>
      <c r="K288">
        <f t="shared" si="78"/>
        <v>50003.963717322571</v>
      </c>
      <c r="L288">
        <f t="shared" si="85"/>
        <v>50003.963717322571</v>
      </c>
      <c r="M288">
        <f t="shared" si="79"/>
        <v>50032.650004897354</v>
      </c>
      <c r="N288" s="29">
        <f t="shared" si="86"/>
        <v>0</v>
      </c>
      <c r="O288" s="29">
        <f t="shared" si="80"/>
        <v>0</v>
      </c>
      <c r="P288" s="29">
        <f t="shared" si="87"/>
        <v>50032.650004897354</v>
      </c>
      <c r="Q288">
        <f t="shared" si="88"/>
        <v>0</v>
      </c>
      <c r="R288" s="29">
        <f t="shared" si="89"/>
        <v>0</v>
      </c>
      <c r="S288" s="29">
        <f t="shared" si="81"/>
        <v>0</v>
      </c>
      <c r="T288" s="29">
        <f t="shared" si="90"/>
        <v>50032.650004897354</v>
      </c>
      <c r="U288">
        <f t="shared" si="91"/>
        <v>0</v>
      </c>
      <c r="V288" s="29">
        <f t="shared" si="92"/>
        <v>0</v>
      </c>
      <c r="W288" s="29">
        <f t="shared" si="82"/>
        <v>0</v>
      </c>
      <c r="X288" s="29">
        <f t="shared" si="93"/>
        <v>50032.650004897354</v>
      </c>
      <c r="Y288">
        <f t="shared" si="94"/>
        <v>0</v>
      </c>
    </row>
    <row r="289" spans="1:25" x14ac:dyDescent="0.25">
      <c r="A289" s="4" t="s">
        <v>1208</v>
      </c>
      <c r="B289" s="7" t="s">
        <v>616</v>
      </c>
      <c r="C289" s="2" t="s">
        <v>1209</v>
      </c>
      <c r="D289">
        <f>VLOOKUP(B289,'Model allocations'!$A$1:$L$317,5,FALSE)</f>
        <v>156042.08603766694</v>
      </c>
      <c r="E289" s="31">
        <f>VLOOKUP(B289,'Initial adjusted formula count'!$A$1:$P$317,12,FALSE)</f>
        <v>0.15193644488579899</v>
      </c>
      <c r="F289">
        <f>VLOOKUP(B289,'Model allocations'!$A$1:$L$317,10,FALSE)</f>
        <v>140437.87743390026</v>
      </c>
      <c r="G289" s="30">
        <f t="shared" si="83"/>
        <v>0.9</v>
      </c>
      <c r="H289">
        <f t="shared" si="84"/>
        <v>140437.87743390026</v>
      </c>
      <c r="I289">
        <f t="shared" si="76"/>
        <v>0</v>
      </c>
      <c r="J289">
        <f t="shared" si="77"/>
        <v>140437.87743390026</v>
      </c>
      <c r="K289">
        <f t="shared" si="78"/>
        <v>140357.35718686023</v>
      </c>
      <c r="L289">
        <f t="shared" si="85"/>
        <v>140357.35718686023</v>
      </c>
      <c r="M289">
        <f t="shared" si="79"/>
        <v>140437.87743390026</v>
      </c>
      <c r="N289" s="29">
        <f t="shared" si="86"/>
        <v>0</v>
      </c>
      <c r="O289" s="29">
        <f t="shared" si="80"/>
        <v>0</v>
      </c>
      <c r="P289" s="29">
        <f t="shared" si="87"/>
        <v>140437.87743390026</v>
      </c>
      <c r="Q289">
        <f t="shared" si="88"/>
        <v>0</v>
      </c>
      <c r="R289" s="29">
        <f t="shared" si="89"/>
        <v>0</v>
      </c>
      <c r="S289" s="29">
        <f t="shared" si="81"/>
        <v>0</v>
      </c>
      <c r="T289" s="29">
        <f t="shared" si="90"/>
        <v>140437.87743390026</v>
      </c>
      <c r="U289">
        <f t="shared" si="91"/>
        <v>0</v>
      </c>
      <c r="V289" s="29">
        <f t="shared" si="92"/>
        <v>0</v>
      </c>
      <c r="W289" s="29">
        <f t="shared" si="82"/>
        <v>0</v>
      </c>
      <c r="X289" s="29">
        <f t="shared" si="93"/>
        <v>140437.87743390026</v>
      </c>
      <c r="Y289">
        <f t="shared" si="94"/>
        <v>0</v>
      </c>
    </row>
    <row r="290" spans="1:25" x14ac:dyDescent="0.25">
      <c r="A290" s="4" t="s">
        <v>1210</v>
      </c>
      <c r="B290" s="7" t="s">
        <v>618</v>
      </c>
      <c r="C290" s="2" t="s">
        <v>1211</v>
      </c>
      <c r="D290">
        <f>VLOOKUP(B290,'Model allocations'!$A$1:$L$317,5,FALSE)</f>
        <v>12684.999738556538</v>
      </c>
      <c r="E290" s="31">
        <f>VLOOKUP(B290,'Initial adjusted formula count'!$A$1:$P$317,12,FALSE)</f>
        <v>0.134545454545455</v>
      </c>
      <c r="F290">
        <f>VLOOKUP(B290,'Model allocations'!$A$1:$L$317,10,FALSE)</f>
        <v>15515.543654881587</v>
      </c>
      <c r="G290" s="30">
        <f t="shared" si="83"/>
        <v>0.85</v>
      </c>
      <c r="H290">
        <f t="shared" si="84"/>
        <v>10782.249777773057</v>
      </c>
      <c r="I290">
        <f t="shared" si="76"/>
        <v>0</v>
      </c>
      <c r="J290">
        <f t="shared" si="77"/>
        <v>15515.543654881587</v>
      </c>
      <c r="K290">
        <f t="shared" si="78"/>
        <v>15506.647796934436</v>
      </c>
      <c r="L290">
        <f t="shared" si="85"/>
        <v>15506.647796934436</v>
      </c>
      <c r="M290">
        <f t="shared" si="79"/>
        <v>0</v>
      </c>
      <c r="N290" s="29">
        <f t="shared" si="86"/>
        <v>15506.647796934436</v>
      </c>
      <c r="O290" s="29">
        <f t="shared" si="80"/>
        <v>15505.526007887431</v>
      </c>
      <c r="P290" s="29">
        <f t="shared" si="87"/>
        <v>15505.526007887431</v>
      </c>
      <c r="Q290">
        <f t="shared" si="88"/>
        <v>0</v>
      </c>
      <c r="R290" s="29">
        <f t="shared" si="89"/>
        <v>15505.526007887431</v>
      </c>
      <c r="S290" s="29">
        <f t="shared" si="81"/>
        <v>15505.52600788744</v>
      </c>
      <c r="T290" s="29">
        <f t="shared" si="90"/>
        <v>15505.52600788744</v>
      </c>
      <c r="U290">
        <f t="shared" si="91"/>
        <v>0</v>
      </c>
      <c r="V290" s="29">
        <f t="shared" si="92"/>
        <v>15505.52600788744</v>
      </c>
      <c r="W290" s="29">
        <f t="shared" si="82"/>
        <v>15505.526007887442</v>
      </c>
      <c r="X290" s="29">
        <f t="shared" si="93"/>
        <v>15505.526007887442</v>
      </c>
      <c r="Y290">
        <f t="shared" si="94"/>
        <v>0</v>
      </c>
    </row>
    <row r="291" spans="1:25" x14ac:dyDescent="0.25">
      <c r="A291" s="4" t="s">
        <v>1212</v>
      </c>
      <c r="B291" s="7" t="s">
        <v>620</v>
      </c>
      <c r="C291" s="2" t="s">
        <v>1213</v>
      </c>
      <c r="D291">
        <f>VLOOKUP(B291,'Model allocations'!$A$1:$L$317,5,FALSE)</f>
        <v>365876.88096168806</v>
      </c>
      <c r="E291" s="31">
        <f>VLOOKUP(B291,'Initial adjusted formula count'!$A$1:$P$317,12,FALSE)</f>
        <v>0.17915473985519401</v>
      </c>
      <c r="F291">
        <f>VLOOKUP(B291,'Model allocations'!$A$1:$L$317,10,FALSE)</f>
        <v>524383.44163322763</v>
      </c>
      <c r="G291" s="30">
        <f t="shared" si="83"/>
        <v>0.9</v>
      </c>
      <c r="H291">
        <f t="shared" si="84"/>
        <v>329289.19286551926</v>
      </c>
      <c r="I291">
        <f t="shared" si="76"/>
        <v>0</v>
      </c>
      <c r="J291">
        <f t="shared" si="77"/>
        <v>524383.44163322763</v>
      </c>
      <c r="K291">
        <f t="shared" si="78"/>
        <v>524082.78567747329</v>
      </c>
      <c r="L291">
        <f t="shared" si="85"/>
        <v>524082.78567747329</v>
      </c>
      <c r="M291">
        <f t="shared" si="79"/>
        <v>0</v>
      </c>
      <c r="N291" s="29">
        <f t="shared" si="86"/>
        <v>524082.78567747329</v>
      </c>
      <c r="O291" s="29">
        <f t="shared" si="80"/>
        <v>524044.87223954679</v>
      </c>
      <c r="P291" s="29">
        <f t="shared" si="87"/>
        <v>524044.87223954679</v>
      </c>
      <c r="Q291">
        <f t="shared" si="88"/>
        <v>0</v>
      </c>
      <c r="R291" s="29">
        <f t="shared" si="89"/>
        <v>524044.87223954679</v>
      </c>
      <c r="S291" s="29">
        <f t="shared" si="81"/>
        <v>524044.87223954714</v>
      </c>
      <c r="T291" s="29">
        <f t="shared" si="90"/>
        <v>524044.87223954714</v>
      </c>
      <c r="U291">
        <f t="shared" si="91"/>
        <v>0</v>
      </c>
      <c r="V291" s="29">
        <f t="shared" si="92"/>
        <v>524044.87223954714</v>
      </c>
      <c r="W291" s="29">
        <f t="shared" si="82"/>
        <v>524044.87223954726</v>
      </c>
      <c r="X291" s="29">
        <f t="shared" si="93"/>
        <v>524044.87223954726</v>
      </c>
      <c r="Y291">
        <f t="shared" si="94"/>
        <v>0</v>
      </c>
    </row>
    <row r="292" spans="1:25" x14ac:dyDescent="0.25">
      <c r="A292" s="4" t="s">
        <v>1214</v>
      </c>
      <c r="B292" s="7" t="s">
        <v>621</v>
      </c>
      <c r="C292" s="2" t="s">
        <v>1215</v>
      </c>
      <c r="D292">
        <f>VLOOKUP(B292,'Model allocations'!$A$1:$L$317,5,FALSE)</f>
        <v>472661.99964679894</v>
      </c>
      <c r="E292" s="31">
        <f>VLOOKUP(B292,'Initial adjusted formula count'!$A$1:$P$317,12,FALSE)</f>
        <v>0.21455170438269799</v>
      </c>
      <c r="F292">
        <f>VLOOKUP(B292,'Model allocations'!$A$1:$L$317,10,FALSE)</f>
        <v>425395.79968211905</v>
      </c>
      <c r="G292" s="30">
        <f t="shared" si="83"/>
        <v>0.9</v>
      </c>
      <c r="H292">
        <f t="shared" si="84"/>
        <v>425395.79968211905</v>
      </c>
      <c r="I292">
        <f t="shared" si="76"/>
        <v>0</v>
      </c>
      <c r="J292">
        <f t="shared" si="77"/>
        <v>425395.79968211905</v>
      </c>
      <c r="K292">
        <f t="shared" si="78"/>
        <v>425151.89842480823</v>
      </c>
      <c r="L292">
        <f t="shared" si="85"/>
        <v>425151.89842480823</v>
      </c>
      <c r="M292">
        <f t="shared" si="79"/>
        <v>425395.79968211905</v>
      </c>
      <c r="N292" s="29">
        <f t="shared" si="86"/>
        <v>0</v>
      </c>
      <c r="O292" s="29">
        <f t="shared" si="80"/>
        <v>0</v>
      </c>
      <c r="P292" s="29">
        <f t="shared" si="87"/>
        <v>425395.79968211905</v>
      </c>
      <c r="Q292">
        <f t="shared" si="88"/>
        <v>0</v>
      </c>
      <c r="R292" s="29">
        <f t="shared" si="89"/>
        <v>0</v>
      </c>
      <c r="S292" s="29">
        <f t="shared" si="81"/>
        <v>0</v>
      </c>
      <c r="T292" s="29">
        <f t="shared" si="90"/>
        <v>425395.79968211905</v>
      </c>
      <c r="U292">
        <f t="shared" si="91"/>
        <v>0</v>
      </c>
      <c r="V292" s="29">
        <f t="shared" si="92"/>
        <v>0</v>
      </c>
      <c r="W292" s="29">
        <f t="shared" si="82"/>
        <v>0</v>
      </c>
      <c r="X292" s="29">
        <f t="shared" si="93"/>
        <v>425395.79968211905</v>
      </c>
      <c r="Y292">
        <f t="shared" si="94"/>
        <v>0</v>
      </c>
    </row>
    <row r="293" spans="1:25" x14ac:dyDescent="0.25">
      <c r="A293" s="4" t="s">
        <v>1216</v>
      </c>
      <c r="B293" s="7" t="s">
        <v>623</v>
      </c>
      <c r="C293" s="2" t="s">
        <v>1217</v>
      </c>
      <c r="D293">
        <f>VLOOKUP(B293,'Model allocations'!$A$1:$L$317,5,FALSE)</f>
        <v>84441.72956366041</v>
      </c>
      <c r="E293" s="31">
        <f>VLOOKUP(B293,'Initial adjusted formula count'!$A$1:$P$317,12,FALSE)</f>
        <v>0.23298731257208799</v>
      </c>
      <c r="F293">
        <f>VLOOKUP(B293,'Model allocations'!$A$1:$L$317,10,FALSE)</f>
        <v>108994.9224681934</v>
      </c>
      <c r="G293" s="30">
        <f t="shared" si="83"/>
        <v>0.9</v>
      </c>
      <c r="H293">
        <f t="shared" si="84"/>
        <v>75997.556607294377</v>
      </c>
      <c r="I293">
        <f t="shared" si="76"/>
        <v>0</v>
      </c>
      <c r="J293">
        <f t="shared" si="77"/>
        <v>108994.9224681934</v>
      </c>
      <c r="K293">
        <f t="shared" si="78"/>
        <v>108932.43008192547</v>
      </c>
      <c r="L293">
        <f t="shared" si="85"/>
        <v>108932.43008192547</v>
      </c>
      <c r="M293">
        <f t="shared" si="79"/>
        <v>0</v>
      </c>
      <c r="N293" s="29">
        <f t="shared" si="86"/>
        <v>108932.43008192547</v>
      </c>
      <c r="O293" s="29">
        <f t="shared" si="80"/>
        <v>108924.54964196644</v>
      </c>
      <c r="P293" s="29">
        <f t="shared" si="87"/>
        <v>108924.54964196644</v>
      </c>
      <c r="Q293">
        <f t="shared" si="88"/>
        <v>0</v>
      </c>
      <c r="R293" s="29">
        <f t="shared" si="89"/>
        <v>108924.54964196644</v>
      </c>
      <c r="S293" s="29">
        <f t="shared" si="81"/>
        <v>108924.5496419665</v>
      </c>
      <c r="T293" s="29">
        <f t="shared" si="90"/>
        <v>108924.5496419665</v>
      </c>
      <c r="U293">
        <f t="shared" si="91"/>
        <v>0</v>
      </c>
      <c r="V293" s="29">
        <f t="shared" si="92"/>
        <v>108924.5496419665</v>
      </c>
      <c r="W293" s="29">
        <f t="shared" si="82"/>
        <v>108924.54964196651</v>
      </c>
      <c r="X293" s="29">
        <f t="shared" si="93"/>
        <v>108924.54964196651</v>
      </c>
      <c r="Y293">
        <f t="shared" si="94"/>
        <v>0</v>
      </c>
    </row>
    <row r="294" spans="1:25" x14ac:dyDescent="0.25">
      <c r="A294" s="4" t="s">
        <v>1218</v>
      </c>
      <c r="B294" s="7" t="s">
        <v>253</v>
      </c>
      <c r="C294" s="2" t="s">
        <v>1219</v>
      </c>
      <c r="D294">
        <f>VLOOKUP(B294,'Model allocations'!$A$1:$L$317,5,FALSE)</f>
        <v>114413.69280916675</v>
      </c>
      <c r="E294" s="31">
        <f>VLOOKUP(B294,'Initial adjusted formula count'!$A$1:$P$317,12,FALSE)</f>
        <v>6.7837190742218695E-2</v>
      </c>
      <c r="F294">
        <f>VLOOKUP(B294,'Model allocations'!$A$1:$L$317,10,FALSE)</f>
        <v>106931.4495133731</v>
      </c>
      <c r="G294" s="30">
        <f t="shared" si="83"/>
        <v>0.85</v>
      </c>
      <c r="H294">
        <f t="shared" si="84"/>
        <v>97251.638887791734</v>
      </c>
      <c r="I294">
        <f t="shared" si="76"/>
        <v>0</v>
      </c>
      <c r="J294">
        <f t="shared" si="77"/>
        <v>106931.4495133731</v>
      </c>
      <c r="K294">
        <f t="shared" si="78"/>
        <v>106870.1402221157</v>
      </c>
      <c r="L294">
        <f t="shared" si="85"/>
        <v>106870.1402221157</v>
      </c>
      <c r="M294">
        <f t="shared" si="79"/>
        <v>0</v>
      </c>
      <c r="N294" s="29">
        <f t="shared" si="86"/>
        <v>106870.1402221157</v>
      </c>
      <c r="O294" s="29">
        <f t="shared" si="80"/>
        <v>106862.40897327823</v>
      </c>
      <c r="P294" s="29">
        <f t="shared" si="87"/>
        <v>106862.40897327823</v>
      </c>
      <c r="Q294">
        <f t="shared" si="88"/>
        <v>0</v>
      </c>
      <c r="R294" s="29">
        <f t="shared" si="89"/>
        <v>106862.40897327823</v>
      </c>
      <c r="S294" s="29">
        <f t="shared" si="81"/>
        <v>106862.40897327829</v>
      </c>
      <c r="T294" s="29">
        <f t="shared" si="90"/>
        <v>106862.40897327829</v>
      </c>
      <c r="U294">
        <f t="shared" si="91"/>
        <v>0</v>
      </c>
      <c r="V294" s="29">
        <f t="shared" si="92"/>
        <v>106862.40897327829</v>
      </c>
      <c r="W294" s="29">
        <f t="shared" si="82"/>
        <v>106862.4089732783</v>
      </c>
      <c r="X294" s="29">
        <f t="shared" si="93"/>
        <v>106862.4089732783</v>
      </c>
      <c r="Y294">
        <f t="shared" si="94"/>
        <v>0</v>
      </c>
    </row>
    <row r="295" spans="1:25" x14ac:dyDescent="0.25">
      <c r="A295" s="4" t="s">
        <v>1220</v>
      </c>
      <c r="B295" s="7" t="s">
        <v>625</v>
      </c>
      <c r="C295" s="2" t="s">
        <v>1221</v>
      </c>
      <c r="D295">
        <f>VLOOKUP(B295,'Model allocations'!$A$1:$L$317,5,FALSE)</f>
        <v>0</v>
      </c>
      <c r="E295" s="31">
        <f>VLOOKUP(B295,'Initial adjusted formula count'!$A$1:$P$317,12,FALSE)</f>
        <v>3.03030303030303E-2</v>
      </c>
      <c r="F295">
        <f>VLOOKUP(B295,'Model allocations'!$A$1:$L$317,10,FALSE)</f>
        <v>0</v>
      </c>
      <c r="G295" s="30">
        <f t="shared" si="83"/>
        <v>0.85</v>
      </c>
      <c r="H295">
        <f t="shared" si="84"/>
        <v>0</v>
      </c>
      <c r="I295">
        <f t="shared" si="76"/>
        <v>0</v>
      </c>
      <c r="J295">
        <f t="shared" si="77"/>
        <v>0</v>
      </c>
      <c r="K295">
        <f t="shared" si="78"/>
        <v>0</v>
      </c>
      <c r="L295">
        <f t="shared" si="85"/>
        <v>0</v>
      </c>
      <c r="M295">
        <f t="shared" si="79"/>
        <v>0</v>
      </c>
      <c r="N295" s="29">
        <f t="shared" si="86"/>
        <v>0</v>
      </c>
      <c r="O295" s="29">
        <f t="shared" si="80"/>
        <v>0</v>
      </c>
      <c r="P295" s="29">
        <f t="shared" si="87"/>
        <v>0</v>
      </c>
      <c r="Q295">
        <f t="shared" si="88"/>
        <v>0</v>
      </c>
      <c r="R295" s="29">
        <f t="shared" si="89"/>
        <v>0</v>
      </c>
      <c r="S295" s="29">
        <f t="shared" si="81"/>
        <v>0</v>
      </c>
      <c r="T295" s="29">
        <f t="shared" si="90"/>
        <v>0</v>
      </c>
      <c r="U295">
        <f t="shared" si="91"/>
        <v>0</v>
      </c>
      <c r="V295" s="29">
        <f t="shared" si="92"/>
        <v>0</v>
      </c>
      <c r="W295" s="29">
        <f t="shared" si="82"/>
        <v>0</v>
      </c>
      <c r="X295" s="29">
        <f t="shared" si="93"/>
        <v>0</v>
      </c>
      <c r="Y295">
        <f t="shared" si="94"/>
        <v>0</v>
      </c>
    </row>
    <row r="296" spans="1:25" x14ac:dyDescent="0.25">
      <c r="A296" s="4" t="s">
        <v>1222</v>
      </c>
      <c r="B296" s="7" t="s">
        <v>627</v>
      </c>
      <c r="C296" s="2" t="s">
        <v>1223</v>
      </c>
      <c r="D296">
        <f>VLOOKUP(B296,'Model allocations'!$A$1:$L$317,5,FALSE)</f>
        <v>17358.420694866847</v>
      </c>
      <c r="E296" s="31">
        <f>VLOOKUP(B296,'Initial adjusted formula count'!$A$1:$P$317,12,FALSE)</f>
        <v>0.11782477341389699</v>
      </c>
      <c r="F296">
        <f>VLOOKUP(B296,'Model allocations'!$A$1:$L$317,10,FALSE)</f>
        <v>16354.221690280587</v>
      </c>
      <c r="G296" s="30">
        <f t="shared" si="83"/>
        <v>0.85</v>
      </c>
      <c r="H296">
        <f t="shared" si="84"/>
        <v>14754.65759063682</v>
      </c>
      <c r="I296">
        <f t="shared" si="76"/>
        <v>0</v>
      </c>
      <c r="J296">
        <f t="shared" si="77"/>
        <v>16354.221690280587</v>
      </c>
      <c r="K296">
        <f t="shared" si="78"/>
        <v>16344.844975147103</v>
      </c>
      <c r="L296">
        <f t="shared" si="85"/>
        <v>16344.844975147103</v>
      </c>
      <c r="M296">
        <f t="shared" si="79"/>
        <v>0</v>
      </c>
      <c r="N296" s="29">
        <f t="shared" si="86"/>
        <v>16344.844975147103</v>
      </c>
      <c r="O296" s="29">
        <f t="shared" si="80"/>
        <v>16343.662548854316</v>
      </c>
      <c r="P296" s="29">
        <f t="shared" si="87"/>
        <v>16343.662548854316</v>
      </c>
      <c r="Q296">
        <f t="shared" si="88"/>
        <v>0</v>
      </c>
      <c r="R296" s="29">
        <f t="shared" si="89"/>
        <v>16343.662548854316</v>
      </c>
      <c r="S296" s="29">
        <f t="shared" si="81"/>
        <v>16343.662548854325</v>
      </c>
      <c r="T296" s="29">
        <f t="shared" si="90"/>
        <v>16343.662548854325</v>
      </c>
      <c r="U296">
        <f t="shared" si="91"/>
        <v>0</v>
      </c>
      <c r="V296" s="29">
        <f t="shared" si="92"/>
        <v>16343.662548854325</v>
      </c>
      <c r="W296" s="29">
        <f t="shared" si="82"/>
        <v>16343.662548854325</v>
      </c>
      <c r="X296" s="29">
        <f t="shared" si="93"/>
        <v>16343.662548854325</v>
      </c>
      <c r="Y296">
        <f t="shared" si="94"/>
        <v>0</v>
      </c>
    </row>
    <row r="297" spans="1:25" x14ac:dyDescent="0.25">
      <c r="A297" s="4" t="s">
        <v>1224</v>
      </c>
      <c r="B297" s="7" t="s">
        <v>629</v>
      </c>
      <c r="C297" s="2" t="s">
        <v>1225</v>
      </c>
      <c r="D297">
        <f>VLOOKUP(B297,'Model allocations'!$A$1:$L$317,5,FALSE)</f>
        <v>40171.721489471565</v>
      </c>
      <c r="E297" s="31">
        <f>VLOOKUP(B297,'Initial adjusted formula count'!$A$1:$P$317,12,FALSE)</f>
        <v>0.264984227129338</v>
      </c>
      <c r="F297">
        <f>VLOOKUP(B297,'Model allocations'!$A$1:$L$317,10,FALSE)</f>
        <v>50485.073502353938</v>
      </c>
      <c r="G297" s="30">
        <f t="shared" si="83"/>
        <v>0.9</v>
      </c>
      <c r="H297">
        <f t="shared" si="84"/>
        <v>36154.549340524412</v>
      </c>
      <c r="I297">
        <f t="shared" si="76"/>
        <v>0</v>
      </c>
      <c r="J297">
        <f t="shared" si="77"/>
        <v>50485.073502353938</v>
      </c>
      <c r="K297">
        <f t="shared" si="78"/>
        <v>50456.12781715476</v>
      </c>
      <c r="L297">
        <f t="shared" si="85"/>
        <v>50456.12781715476</v>
      </c>
      <c r="M297">
        <f t="shared" si="79"/>
        <v>0</v>
      </c>
      <c r="N297" s="29">
        <f t="shared" si="86"/>
        <v>50456.12781715476</v>
      </c>
      <c r="O297" s="29">
        <f t="shared" si="80"/>
        <v>50452.477696749571</v>
      </c>
      <c r="P297" s="29">
        <f t="shared" si="87"/>
        <v>50452.477696749571</v>
      </c>
      <c r="Q297">
        <f t="shared" si="88"/>
        <v>0</v>
      </c>
      <c r="R297" s="29">
        <f t="shared" si="89"/>
        <v>50452.477696749571</v>
      </c>
      <c r="S297" s="29">
        <f t="shared" si="81"/>
        <v>50452.4776967496</v>
      </c>
      <c r="T297" s="29">
        <f t="shared" si="90"/>
        <v>50452.4776967496</v>
      </c>
      <c r="U297">
        <f t="shared" si="91"/>
        <v>0</v>
      </c>
      <c r="V297" s="29">
        <f t="shared" si="92"/>
        <v>50452.4776967496</v>
      </c>
      <c r="W297" s="29">
        <f t="shared" si="82"/>
        <v>50452.477696749607</v>
      </c>
      <c r="X297" s="29">
        <f t="shared" si="93"/>
        <v>50452.477696749607</v>
      </c>
      <c r="Y297">
        <f t="shared" si="94"/>
        <v>0</v>
      </c>
    </row>
    <row r="298" spans="1:25" x14ac:dyDescent="0.25">
      <c r="A298" s="4" t="s">
        <v>53</v>
      </c>
      <c r="B298" s="7" t="s">
        <v>64</v>
      </c>
      <c r="C298" s="2" t="s">
        <v>1226</v>
      </c>
      <c r="D298">
        <f>VLOOKUP(B298,'Model allocations'!$A$1:$L$317,5,FALSE)</f>
        <v>445484.49322934798</v>
      </c>
      <c r="E298" s="31">
        <f>VLOOKUP(B298,'Initial adjusted formula count'!$A$1:$P$317,12,FALSE)</f>
        <v>0.13374996360458399</v>
      </c>
      <c r="F298">
        <f>VLOOKUP(B298,'Model allocations'!$A$1:$L$317,10,FALSE)</f>
        <v>530306.21419284004</v>
      </c>
      <c r="G298" s="30">
        <f t="shared" si="83"/>
        <v>0.85</v>
      </c>
      <c r="H298">
        <f t="shared" si="84"/>
        <v>378661.81924494577</v>
      </c>
      <c r="I298">
        <f t="shared" si="76"/>
        <v>0</v>
      </c>
      <c r="J298">
        <f t="shared" si="77"/>
        <v>530306.21419284004</v>
      </c>
      <c r="K298">
        <f t="shared" si="78"/>
        <v>530002.162407425</v>
      </c>
      <c r="L298">
        <f t="shared" si="85"/>
        <v>530002.162407425</v>
      </c>
      <c r="M298">
        <f t="shared" si="79"/>
        <v>0</v>
      </c>
      <c r="N298" s="29">
        <f t="shared" si="86"/>
        <v>530002.162407425</v>
      </c>
      <c r="O298" s="29">
        <f t="shared" si="80"/>
        <v>529963.82074722461</v>
      </c>
      <c r="P298" s="29">
        <f t="shared" si="87"/>
        <v>529963.82074722461</v>
      </c>
      <c r="Q298">
        <f t="shared" si="88"/>
        <v>0</v>
      </c>
      <c r="R298" s="29">
        <f t="shared" si="89"/>
        <v>529963.82074722461</v>
      </c>
      <c r="S298" s="29">
        <f t="shared" si="81"/>
        <v>529963.82074722496</v>
      </c>
      <c r="T298" s="29">
        <f t="shared" si="90"/>
        <v>529963.82074722496</v>
      </c>
      <c r="U298">
        <f t="shared" si="91"/>
        <v>0</v>
      </c>
      <c r="V298" s="29">
        <f t="shared" si="92"/>
        <v>529963.82074722496</v>
      </c>
      <c r="W298" s="29">
        <f t="shared" si="82"/>
        <v>529963.82074722508</v>
      </c>
      <c r="X298" s="29">
        <f t="shared" si="93"/>
        <v>529963.82074722508</v>
      </c>
      <c r="Y298">
        <f t="shared" si="94"/>
        <v>0</v>
      </c>
    </row>
    <row r="299" spans="1:25" x14ac:dyDescent="0.25">
      <c r="A299" s="4" t="s">
        <v>1227</v>
      </c>
      <c r="B299" s="7" t="s">
        <v>306</v>
      </c>
      <c r="C299" s="2" t="s">
        <v>1228</v>
      </c>
      <c r="D299">
        <f>VLOOKUP(B299,'Model allocations'!$A$1:$L$317,5,FALSE)</f>
        <v>179028.6200431207</v>
      </c>
      <c r="E299" s="31">
        <f>VLOOKUP(B299,'Initial adjusted formula count'!$A$1:$P$317,12,FALSE)</f>
        <v>0.108359133126935</v>
      </c>
      <c r="F299">
        <f>VLOOKUP(B299,'Model allocations'!$A$1:$L$317,10,FALSE)</f>
        <v>152174.3270366526</v>
      </c>
      <c r="G299" s="30">
        <f t="shared" si="83"/>
        <v>0.85</v>
      </c>
      <c r="H299">
        <f t="shared" si="84"/>
        <v>152174.3270366526</v>
      </c>
      <c r="I299">
        <f t="shared" si="76"/>
        <v>0</v>
      </c>
      <c r="J299">
        <f t="shared" si="77"/>
        <v>152174.3270366526</v>
      </c>
      <c r="K299">
        <f t="shared" si="78"/>
        <v>152087.07768035334</v>
      </c>
      <c r="L299">
        <f t="shared" si="85"/>
        <v>152087.07768035334</v>
      </c>
      <c r="M299">
        <f t="shared" si="79"/>
        <v>152174.3270366526</v>
      </c>
      <c r="N299" s="29">
        <f t="shared" si="86"/>
        <v>0</v>
      </c>
      <c r="O299" s="29">
        <f t="shared" si="80"/>
        <v>0</v>
      </c>
      <c r="P299" s="29">
        <f t="shared" si="87"/>
        <v>152174.3270366526</v>
      </c>
      <c r="Q299">
        <f t="shared" si="88"/>
        <v>0</v>
      </c>
      <c r="R299" s="29">
        <f t="shared" si="89"/>
        <v>0</v>
      </c>
      <c r="S299" s="29">
        <f t="shared" si="81"/>
        <v>0</v>
      </c>
      <c r="T299" s="29">
        <f t="shared" si="90"/>
        <v>152174.3270366526</v>
      </c>
      <c r="U299">
        <f t="shared" si="91"/>
        <v>0</v>
      </c>
      <c r="V299" s="29">
        <f t="shared" si="92"/>
        <v>0</v>
      </c>
      <c r="W299" s="29">
        <f t="shared" si="82"/>
        <v>0</v>
      </c>
      <c r="X299" s="29">
        <f t="shared" si="93"/>
        <v>152174.3270366526</v>
      </c>
      <c r="Y299">
        <f t="shared" si="94"/>
        <v>0</v>
      </c>
    </row>
    <row r="300" spans="1:25" x14ac:dyDescent="0.25">
      <c r="A300" s="4" t="s">
        <v>1229</v>
      </c>
      <c r="B300" s="7" t="s">
        <v>255</v>
      </c>
      <c r="C300" s="2" t="s">
        <v>1230</v>
      </c>
      <c r="D300">
        <f>VLOOKUP(B300,'Model allocations'!$A$1:$L$317,5,FALSE)</f>
        <v>313402.97508698015</v>
      </c>
      <c r="E300" s="31">
        <f>VLOOKUP(B300,'Initial adjusted formula count'!$A$1:$P$317,12,FALSE)</f>
        <v>0.116534181240064</v>
      </c>
      <c r="F300">
        <f>VLOOKUP(B300,'Model allocations'!$A$1:$L$317,10,FALSE)</f>
        <v>316181.61934542481</v>
      </c>
      <c r="G300" s="30">
        <f t="shared" si="83"/>
        <v>0.85</v>
      </c>
      <c r="H300">
        <f t="shared" si="84"/>
        <v>266392.5288239331</v>
      </c>
      <c r="I300">
        <f t="shared" si="76"/>
        <v>0</v>
      </c>
      <c r="J300">
        <f t="shared" si="77"/>
        <v>316181.61934542481</v>
      </c>
      <c r="K300">
        <f t="shared" si="78"/>
        <v>316000.3361861775</v>
      </c>
      <c r="L300">
        <f t="shared" si="85"/>
        <v>316000.3361861775</v>
      </c>
      <c r="M300">
        <f t="shared" si="79"/>
        <v>0</v>
      </c>
      <c r="N300" s="29">
        <f t="shared" si="86"/>
        <v>316000.3361861775</v>
      </c>
      <c r="O300" s="29">
        <f t="shared" si="80"/>
        <v>315977.47594451689</v>
      </c>
      <c r="P300" s="29">
        <f t="shared" si="87"/>
        <v>315977.47594451689</v>
      </c>
      <c r="Q300">
        <f t="shared" si="88"/>
        <v>0</v>
      </c>
      <c r="R300" s="29">
        <f t="shared" si="89"/>
        <v>315977.47594451689</v>
      </c>
      <c r="S300" s="29">
        <f t="shared" si="81"/>
        <v>315977.47594451706</v>
      </c>
      <c r="T300" s="29">
        <f t="shared" si="90"/>
        <v>315977.47594451706</v>
      </c>
      <c r="U300">
        <f t="shared" si="91"/>
        <v>0</v>
      </c>
      <c r="V300" s="29">
        <f t="shared" si="92"/>
        <v>315977.47594451706</v>
      </c>
      <c r="W300" s="29">
        <f t="shared" si="82"/>
        <v>315977.47594451712</v>
      </c>
      <c r="X300" s="29">
        <f t="shared" si="93"/>
        <v>315977.47594451712</v>
      </c>
      <c r="Y300">
        <f t="shared" si="94"/>
        <v>0</v>
      </c>
    </row>
    <row r="301" spans="1:25" x14ac:dyDescent="0.25">
      <c r="A301" s="4" t="s">
        <v>13</v>
      </c>
      <c r="B301" s="7" t="s">
        <v>68</v>
      </c>
      <c r="C301" s="2" t="s">
        <v>1231</v>
      </c>
      <c r="D301">
        <f>VLOOKUP(B301,'Model allocations'!$A$1:$L$317,5,FALSE)</f>
        <v>0</v>
      </c>
      <c r="E301" s="31">
        <f>VLOOKUP(B301,'Initial adjusted formula count'!$A$1:$P$317,12,FALSE)</f>
        <v>7.0311301925765499E-2</v>
      </c>
      <c r="F301">
        <f>VLOOKUP(B301,'Model allocations'!$A$1:$L$317,10,FALSE)</f>
        <v>0</v>
      </c>
      <c r="G301" s="30">
        <f t="shared" si="83"/>
        <v>0.85</v>
      </c>
      <c r="H301">
        <f t="shared" si="84"/>
        <v>0</v>
      </c>
      <c r="I301">
        <f t="shared" si="76"/>
        <v>0</v>
      </c>
      <c r="J301">
        <f t="shared" si="77"/>
        <v>0</v>
      </c>
      <c r="K301">
        <f t="shared" si="78"/>
        <v>0</v>
      </c>
      <c r="L301">
        <f t="shared" si="85"/>
        <v>0</v>
      </c>
      <c r="M301">
        <f t="shared" si="79"/>
        <v>0</v>
      </c>
      <c r="N301" s="29">
        <f t="shared" si="86"/>
        <v>0</v>
      </c>
      <c r="O301" s="29">
        <f t="shared" si="80"/>
        <v>0</v>
      </c>
      <c r="P301" s="29">
        <f t="shared" si="87"/>
        <v>0</v>
      </c>
      <c r="Q301">
        <f t="shared" si="88"/>
        <v>0</v>
      </c>
      <c r="R301" s="29">
        <f t="shared" si="89"/>
        <v>0</v>
      </c>
      <c r="S301" s="29">
        <f t="shared" si="81"/>
        <v>0</v>
      </c>
      <c r="T301" s="29">
        <f t="shared" si="90"/>
        <v>0</v>
      </c>
      <c r="U301">
        <f t="shared" si="91"/>
        <v>0</v>
      </c>
      <c r="V301" s="29">
        <f t="shared" si="92"/>
        <v>0</v>
      </c>
      <c r="W301" s="29">
        <f t="shared" si="82"/>
        <v>0</v>
      </c>
      <c r="X301" s="29">
        <f t="shared" si="93"/>
        <v>0</v>
      </c>
      <c r="Y301">
        <f t="shared" si="94"/>
        <v>0</v>
      </c>
    </row>
    <row r="302" spans="1:25" x14ac:dyDescent="0.25">
      <c r="A302" s="4" t="s">
        <v>1232</v>
      </c>
      <c r="B302" s="7" t="s">
        <v>631</v>
      </c>
      <c r="C302" s="2" t="s">
        <v>1233</v>
      </c>
      <c r="D302">
        <f>VLOOKUP(B302,'Model allocations'!$A$1:$L$317,5,FALSE)</f>
        <v>49307.294996912722</v>
      </c>
      <c r="E302" s="31">
        <f>VLOOKUP(B302,'Initial adjusted formula count'!$A$1:$P$317,12,FALSE)</f>
        <v>0.20421052631578901</v>
      </c>
      <c r="F302">
        <f>VLOOKUP(B302,'Model allocations'!$A$1:$L$317,10,FALSE)</f>
        <v>47907.910250851768</v>
      </c>
      <c r="G302" s="30">
        <f t="shared" si="83"/>
        <v>0.9</v>
      </c>
      <c r="H302">
        <f t="shared" si="84"/>
        <v>44376.565497221454</v>
      </c>
      <c r="I302">
        <f t="shared" si="76"/>
        <v>0</v>
      </c>
      <c r="J302">
        <f t="shared" si="77"/>
        <v>47907.910250851768</v>
      </c>
      <c r="K302">
        <f t="shared" si="78"/>
        <v>47880.442185689746</v>
      </c>
      <c r="L302">
        <f t="shared" si="85"/>
        <v>47880.442185689746</v>
      </c>
      <c r="M302">
        <f t="shared" si="79"/>
        <v>0</v>
      </c>
      <c r="N302" s="29">
        <f t="shared" si="86"/>
        <v>47880.442185689746</v>
      </c>
      <c r="O302" s="29">
        <f t="shared" si="80"/>
        <v>47876.978396719169</v>
      </c>
      <c r="P302" s="29">
        <f t="shared" si="87"/>
        <v>47876.978396719169</v>
      </c>
      <c r="Q302">
        <f t="shared" si="88"/>
        <v>0</v>
      </c>
      <c r="R302" s="29">
        <f t="shared" si="89"/>
        <v>47876.978396719169</v>
      </c>
      <c r="S302" s="29">
        <f t="shared" si="81"/>
        <v>47876.978396719198</v>
      </c>
      <c r="T302" s="29">
        <f t="shared" si="90"/>
        <v>47876.978396719198</v>
      </c>
      <c r="U302">
        <f t="shared" si="91"/>
        <v>0</v>
      </c>
      <c r="V302" s="29">
        <f t="shared" si="92"/>
        <v>47876.978396719198</v>
      </c>
      <c r="W302" s="29">
        <f t="shared" si="82"/>
        <v>47876.978396719205</v>
      </c>
      <c r="X302" s="29">
        <f t="shared" si="93"/>
        <v>47876.978396719205</v>
      </c>
      <c r="Y302">
        <f t="shared" si="94"/>
        <v>0</v>
      </c>
    </row>
    <row r="303" spans="1:25" x14ac:dyDescent="0.25">
      <c r="A303" s="4" t="s">
        <v>1234</v>
      </c>
      <c r="B303" s="7" t="s">
        <v>256</v>
      </c>
      <c r="C303" s="2" t="s">
        <v>1235</v>
      </c>
      <c r="D303">
        <f>VLOOKUP(B303,'Model allocations'!$A$1:$L$317,5,FALSE)</f>
        <v>0</v>
      </c>
      <c r="E303" s="31">
        <f>VLOOKUP(B303,'Initial adjusted formula count'!$A$1:$P$317,12,FALSE)</f>
        <v>4.2054099746407399E-2</v>
      </c>
      <c r="F303">
        <f>VLOOKUP(B303,'Model allocations'!$A$1:$L$317,10,FALSE)</f>
        <v>0</v>
      </c>
      <c r="G303" s="30">
        <f t="shared" si="83"/>
        <v>0.85</v>
      </c>
      <c r="H303">
        <f t="shared" si="84"/>
        <v>0</v>
      </c>
      <c r="I303">
        <f t="shared" si="76"/>
        <v>0</v>
      </c>
      <c r="J303">
        <f t="shared" si="77"/>
        <v>0</v>
      </c>
      <c r="K303">
        <f t="shared" si="78"/>
        <v>0</v>
      </c>
      <c r="L303">
        <f t="shared" si="85"/>
        <v>0</v>
      </c>
      <c r="M303">
        <f t="shared" si="79"/>
        <v>0</v>
      </c>
      <c r="N303" s="29">
        <f t="shared" si="86"/>
        <v>0</v>
      </c>
      <c r="O303" s="29">
        <f t="shared" si="80"/>
        <v>0</v>
      </c>
      <c r="P303" s="29">
        <f t="shared" si="87"/>
        <v>0</v>
      </c>
      <c r="Q303">
        <f t="shared" si="88"/>
        <v>0</v>
      </c>
      <c r="R303" s="29">
        <f t="shared" si="89"/>
        <v>0</v>
      </c>
      <c r="S303" s="29">
        <f t="shared" si="81"/>
        <v>0</v>
      </c>
      <c r="T303" s="29">
        <f t="shared" si="90"/>
        <v>0</v>
      </c>
      <c r="U303">
        <f t="shared" si="91"/>
        <v>0</v>
      </c>
      <c r="V303" s="29">
        <f t="shared" si="92"/>
        <v>0</v>
      </c>
      <c r="W303" s="29">
        <f t="shared" si="82"/>
        <v>0</v>
      </c>
      <c r="X303" s="29">
        <f t="shared" si="93"/>
        <v>0</v>
      </c>
      <c r="Y303">
        <f t="shared" si="94"/>
        <v>0</v>
      </c>
    </row>
    <row r="304" spans="1:25" x14ac:dyDescent="0.25">
      <c r="A304" s="4" t="s">
        <v>1236</v>
      </c>
      <c r="B304" s="7" t="s">
        <v>307</v>
      </c>
      <c r="C304" s="2" t="s">
        <v>1237</v>
      </c>
      <c r="D304">
        <f>VLOOKUP(B304,'Model allocations'!$A$1:$L$317,5,FALSE)</f>
        <v>60910.886819268635</v>
      </c>
      <c r="E304" s="31">
        <f>VLOOKUP(B304,'Initial adjusted formula count'!$A$1:$P$317,12,FALSE)</f>
        <v>0.12266450040617401</v>
      </c>
      <c r="F304">
        <f>VLOOKUP(B304,'Model allocations'!$A$1:$L$317,10,FALSE)</f>
        <v>63320.191672624875</v>
      </c>
      <c r="G304" s="30">
        <f t="shared" si="83"/>
        <v>0.85</v>
      </c>
      <c r="H304">
        <f t="shared" si="84"/>
        <v>51774.25379637834</v>
      </c>
      <c r="I304">
        <f t="shared" si="76"/>
        <v>0</v>
      </c>
      <c r="J304">
        <f t="shared" si="77"/>
        <v>63320.191672624875</v>
      </c>
      <c r="K304">
        <f t="shared" si="78"/>
        <v>63283.886955056776</v>
      </c>
      <c r="L304">
        <f t="shared" si="85"/>
        <v>63283.886955056776</v>
      </c>
      <c r="M304">
        <f t="shared" si="79"/>
        <v>0</v>
      </c>
      <c r="N304" s="29">
        <f t="shared" si="86"/>
        <v>63283.886955056776</v>
      </c>
      <c r="O304" s="29">
        <f t="shared" si="80"/>
        <v>63279.308843000079</v>
      </c>
      <c r="P304" s="29">
        <f t="shared" si="87"/>
        <v>63279.308843000079</v>
      </c>
      <c r="Q304">
        <f t="shared" si="88"/>
        <v>0</v>
      </c>
      <c r="R304" s="29">
        <f t="shared" si="89"/>
        <v>63279.308843000079</v>
      </c>
      <c r="S304" s="29">
        <f t="shared" si="81"/>
        <v>63279.308843000115</v>
      </c>
      <c r="T304" s="29">
        <f t="shared" si="90"/>
        <v>63279.308843000115</v>
      </c>
      <c r="U304">
        <f t="shared" si="91"/>
        <v>0</v>
      </c>
      <c r="V304" s="29">
        <f t="shared" si="92"/>
        <v>63279.308843000115</v>
      </c>
      <c r="W304" s="29">
        <f t="shared" si="82"/>
        <v>63279.308843000123</v>
      </c>
      <c r="X304" s="29">
        <f t="shared" si="93"/>
        <v>63279.308843000123</v>
      </c>
      <c r="Y304">
        <f t="shared" si="94"/>
        <v>0</v>
      </c>
    </row>
    <row r="305" spans="1:25" x14ac:dyDescent="0.25">
      <c r="A305" s="4" t="s">
        <v>19</v>
      </c>
      <c r="B305" s="7" t="s">
        <v>70</v>
      </c>
      <c r="C305" s="2" t="s">
        <v>1238</v>
      </c>
      <c r="D305">
        <f>VLOOKUP(B305,'Model allocations'!$A$1:$L$317,5,FALSE)</f>
        <v>22654.083780661225</v>
      </c>
      <c r="E305" s="31">
        <f>VLOOKUP(B305,'Initial adjusted formula count'!$A$1:$P$317,12,FALSE)</f>
        <v>0.18500267811471999</v>
      </c>
      <c r="F305">
        <f>VLOOKUP(B305,'Model allocations'!$A$1:$L$317,10,FALSE)</f>
        <v>17789.264362139995</v>
      </c>
      <c r="G305" s="30">
        <f t="shared" si="83"/>
        <v>0.9</v>
      </c>
      <c r="H305">
        <f t="shared" si="84"/>
        <v>20388.675402595105</v>
      </c>
      <c r="I305">
        <f t="shared" si="76"/>
        <v>20388.675402595105</v>
      </c>
      <c r="J305">
        <f t="shared" si="77"/>
        <v>0</v>
      </c>
      <c r="K305">
        <f t="shared" si="78"/>
        <v>0</v>
      </c>
      <c r="L305">
        <f t="shared" si="85"/>
        <v>20388.675402595105</v>
      </c>
      <c r="M305">
        <f t="shared" si="79"/>
        <v>0</v>
      </c>
      <c r="N305" s="29">
        <f t="shared" si="86"/>
        <v>0</v>
      </c>
      <c r="O305" s="29">
        <f t="shared" si="80"/>
        <v>0</v>
      </c>
      <c r="P305" s="29">
        <f t="shared" si="87"/>
        <v>20388.675402595105</v>
      </c>
      <c r="Q305">
        <f t="shared" si="88"/>
        <v>0</v>
      </c>
      <c r="R305" s="29">
        <f t="shared" si="89"/>
        <v>0</v>
      </c>
      <c r="S305" s="29">
        <f t="shared" si="81"/>
        <v>0</v>
      </c>
      <c r="T305" s="29">
        <f t="shared" si="90"/>
        <v>20388.675402595105</v>
      </c>
      <c r="U305">
        <f t="shared" si="91"/>
        <v>0</v>
      </c>
      <c r="V305" s="29">
        <f t="shared" si="92"/>
        <v>0</v>
      </c>
      <c r="W305" s="29">
        <f t="shared" si="82"/>
        <v>0</v>
      </c>
      <c r="X305" s="29">
        <f t="shared" si="93"/>
        <v>20388.675402595105</v>
      </c>
      <c r="Y305">
        <f t="shared" si="94"/>
        <v>0</v>
      </c>
    </row>
    <row r="306" spans="1:25" x14ac:dyDescent="0.25">
      <c r="A306" s="4" t="s">
        <v>1239</v>
      </c>
      <c r="B306" s="7" t="s">
        <v>258</v>
      </c>
      <c r="C306" s="2" t="s">
        <v>1240</v>
      </c>
      <c r="D306">
        <f>VLOOKUP(B306,'Model allocations'!$A$1:$L$317,5,FALSE)</f>
        <v>13581.4815205126</v>
      </c>
      <c r="E306" s="31">
        <f>VLOOKUP(B306,'Initial adjusted formula count'!$A$1:$P$317,12,FALSE)</f>
        <v>0.12831858407079599</v>
      </c>
      <c r="F306">
        <f>VLOOKUP(B306,'Model allocations'!$A$1:$L$317,10,FALSE)</f>
        <v>12160.831513285571</v>
      </c>
      <c r="G306" s="30">
        <f t="shared" si="83"/>
        <v>0.85</v>
      </c>
      <c r="H306">
        <f t="shared" si="84"/>
        <v>11544.259292435709</v>
      </c>
      <c r="I306">
        <f t="shared" si="76"/>
        <v>0</v>
      </c>
      <c r="J306">
        <f t="shared" si="77"/>
        <v>12160.831513285571</v>
      </c>
      <c r="K306">
        <f t="shared" si="78"/>
        <v>12153.859084083751</v>
      </c>
      <c r="L306">
        <f t="shared" si="85"/>
        <v>12153.859084083751</v>
      </c>
      <c r="M306">
        <f t="shared" si="79"/>
        <v>0</v>
      </c>
      <c r="N306" s="29">
        <f t="shared" si="86"/>
        <v>12153.859084083751</v>
      </c>
      <c r="O306" s="29">
        <f t="shared" si="80"/>
        <v>12152.979844019883</v>
      </c>
      <c r="P306" s="29">
        <f t="shared" si="87"/>
        <v>12152.979844019883</v>
      </c>
      <c r="Q306">
        <f t="shared" si="88"/>
        <v>0</v>
      </c>
      <c r="R306" s="29">
        <f t="shared" si="89"/>
        <v>12152.979844019883</v>
      </c>
      <c r="S306" s="29">
        <f t="shared" si="81"/>
        <v>12152.97984401989</v>
      </c>
      <c r="T306" s="29">
        <f t="shared" si="90"/>
        <v>12152.97984401989</v>
      </c>
      <c r="U306">
        <f t="shared" si="91"/>
        <v>0</v>
      </c>
      <c r="V306" s="29">
        <f t="shared" si="92"/>
        <v>12152.97984401989</v>
      </c>
      <c r="W306" s="29">
        <f t="shared" si="82"/>
        <v>12152.979844019892</v>
      </c>
      <c r="X306" s="29">
        <f t="shared" si="93"/>
        <v>12152.979844019892</v>
      </c>
      <c r="Y306">
        <f t="shared" si="94"/>
        <v>0</v>
      </c>
    </row>
    <row r="307" spans="1:25" x14ac:dyDescent="0.25">
      <c r="A307" s="4" t="s">
        <v>1241</v>
      </c>
      <c r="B307" s="7" t="s">
        <v>633</v>
      </c>
      <c r="C307" s="2" t="s">
        <v>1242</v>
      </c>
      <c r="D307">
        <f>VLOOKUP(B307,'Model allocations'!$A$1:$L$317,5,FALSE)</f>
        <v>23242.358577955023</v>
      </c>
      <c r="E307" s="31">
        <f>VLOOKUP(B307,'Initial adjusted formula count'!$A$1:$P$317,12,FALSE)</f>
        <v>8.4639498432601906E-2</v>
      </c>
      <c r="F307">
        <f>VLOOKUP(B307,'Model allocations'!$A$1:$L$317,10,FALSE)</f>
        <v>19756.00479126177</v>
      </c>
      <c r="G307" s="30">
        <f t="shared" si="83"/>
        <v>0.85</v>
      </c>
      <c r="H307">
        <f t="shared" si="84"/>
        <v>19756.00479126177</v>
      </c>
      <c r="I307">
        <f t="shared" si="76"/>
        <v>0</v>
      </c>
      <c r="J307">
        <f t="shared" si="77"/>
        <v>19756.00479126177</v>
      </c>
      <c r="K307">
        <f t="shared" si="78"/>
        <v>19744.677659184705</v>
      </c>
      <c r="L307">
        <f t="shared" si="85"/>
        <v>19744.677659184705</v>
      </c>
      <c r="M307">
        <f t="shared" si="79"/>
        <v>19756.00479126177</v>
      </c>
      <c r="N307" s="29">
        <f t="shared" si="86"/>
        <v>0</v>
      </c>
      <c r="O307" s="29">
        <f t="shared" si="80"/>
        <v>0</v>
      </c>
      <c r="P307" s="29">
        <f t="shared" si="87"/>
        <v>19756.00479126177</v>
      </c>
      <c r="Q307">
        <f t="shared" si="88"/>
        <v>0</v>
      </c>
      <c r="R307" s="29">
        <f t="shared" si="89"/>
        <v>0</v>
      </c>
      <c r="S307" s="29">
        <f t="shared" si="81"/>
        <v>0</v>
      </c>
      <c r="T307" s="29">
        <f t="shared" si="90"/>
        <v>19756.00479126177</v>
      </c>
      <c r="U307">
        <f t="shared" si="91"/>
        <v>0</v>
      </c>
      <c r="V307" s="29">
        <f t="shared" si="92"/>
        <v>0</v>
      </c>
      <c r="W307" s="29">
        <f t="shared" si="82"/>
        <v>0</v>
      </c>
      <c r="X307" s="29">
        <f t="shared" si="93"/>
        <v>19756.00479126177</v>
      </c>
      <c r="Y307">
        <f t="shared" si="94"/>
        <v>0</v>
      </c>
    </row>
    <row r="308" spans="1:25" x14ac:dyDescent="0.25">
      <c r="A308" s="4" t="s">
        <v>1243</v>
      </c>
      <c r="B308" s="7" t="s">
        <v>635</v>
      </c>
      <c r="C308" s="2" t="s">
        <v>1244</v>
      </c>
      <c r="D308">
        <f>VLOOKUP(B308,'Model allocations'!$A$1:$L$317,5,FALSE)</f>
        <v>6173.4006911420902</v>
      </c>
      <c r="E308" s="31">
        <f>VLOOKUP(B308,'Initial adjusted formula count'!$A$1:$P$317,12,FALSE)</f>
        <v>0.14285714285714299</v>
      </c>
      <c r="F308">
        <f>VLOOKUP(B308,'Model allocations'!$A$1:$L$317,10,FALSE)</f>
        <v>6709.4242831920374</v>
      </c>
      <c r="G308" s="30">
        <f t="shared" si="83"/>
        <v>0.85</v>
      </c>
      <c r="H308">
        <f t="shared" si="84"/>
        <v>5247.3905874707762</v>
      </c>
      <c r="I308">
        <f t="shared" si="76"/>
        <v>0</v>
      </c>
      <c r="J308">
        <f t="shared" si="77"/>
        <v>6709.4242831920374</v>
      </c>
      <c r="K308">
        <f t="shared" si="78"/>
        <v>6705.5774257013773</v>
      </c>
      <c r="L308">
        <f t="shared" si="85"/>
        <v>6705.5774257013773</v>
      </c>
      <c r="M308">
        <f t="shared" si="79"/>
        <v>0</v>
      </c>
      <c r="N308" s="29">
        <f t="shared" si="86"/>
        <v>6705.5774257013773</v>
      </c>
      <c r="O308" s="29">
        <f t="shared" si="80"/>
        <v>6705.0923277351048</v>
      </c>
      <c r="P308" s="29">
        <f t="shared" si="87"/>
        <v>6705.0923277351048</v>
      </c>
      <c r="Q308">
        <f t="shared" si="88"/>
        <v>0</v>
      </c>
      <c r="R308" s="29">
        <f t="shared" si="89"/>
        <v>6705.0923277351048</v>
      </c>
      <c r="S308" s="29">
        <f t="shared" si="81"/>
        <v>6705.0923277351085</v>
      </c>
      <c r="T308" s="29">
        <f t="shared" si="90"/>
        <v>6705.0923277351085</v>
      </c>
      <c r="U308">
        <f t="shared" si="91"/>
        <v>0</v>
      </c>
      <c r="V308" s="29">
        <f t="shared" si="92"/>
        <v>6705.0923277351085</v>
      </c>
      <c r="W308" s="29">
        <f t="shared" si="82"/>
        <v>6705.0923277351094</v>
      </c>
      <c r="X308" s="29">
        <f t="shared" si="93"/>
        <v>6705.0923277351094</v>
      </c>
      <c r="Y308">
        <f t="shared" si="94"/>
        <v>0</v>
      </c>
    </row>
    <row r="309" spans="1:25" x14ac:dyDescent="0.25">
      <c r="A309" s="4" t="s">
        <v>1245</v>
      </c>
      <c r="B309" s="7" t="s">
        <v>637</v>
      </c>
      <c r="C309" s="2" t="s">
        <v>1246</v>
      </c>
      <c r="D309">
        <f>VLOOKUP(B309,'Model allocations'!$A$1:$L$317,5,FALSE)</f>
        <v>42390.684745842365</v>
      </c>
      <c r="E309" s="31">
        <f>VLOOKUP(B309,'Initial adjusted formula count'!$A$1:$P$317,12,FALSE)</f>
        <v>0.121654501216545</v>
      </c>
      <c r="F309">
        <f>VLOOKUP(B309,'Model allocations'!$A$1:$L$317,10,FALSE)</f>
        <v>41933.901769950251</v>
      </c>
      <c r="G309" s="30">
        <f t="shared" si="83"/>
        <v>0.85</v>
      </c>
      <c r="H309">
        <f t="shared" si="84"/>
        <v>36032.082033966013</v>
      </c>
      <c r="I309">
        <f t="shared" si="76"/>
        <v>0</v>
      </c>
      <c r="J309">
        <f t="shared" si="77"/>
        <v>41933.901769950251</v>
      </c>
      <c r="K309">
        <f t="shared" si="78"/>
        <v>41909.858910633629</v>
      </c>
      <c r="L309">
        <f t="shared" si="85"/>
        <v>41909.858910633629</v>
      </c>
      <c r="M309">
        <f t="shared" si="79"/>
        <v>0</v>
      </c>
      <c r="N309" s="29">
        <f t="shared" si="86"/>
        <v>41909.858910633629</v>
      </c>
      <c r="O309" s="29">
        <f t="shared" si="80"/>
        <v>41906.827048344421</v>
      </c>
      <c r="P309" s="29">
        <f t="shared" si="87"/>
        <v>41906.827048344421</v>
      </c>
      <c r="Q309">
        <f t="shared" si="88"/>
        <v>0</v>
      </c>
      <c r="R309" s="29">
        <f t="shared" si="89"/>
        <v>41906.827048344421</v>
      </c>
      <c r="S309" s="29">
        <f t="shared" si="81"/>
        <v>41906.827048344443</v>
      </c>
      <c r="T309" s="29">
        <f t="shared" si="90"/>
        <v>41906.827048344443</v>
      </c>
      <c r="U309">
        <f t="shared" si="91"/>
        <v>0</v>
      </c>
      <c r="V309" s="29">
        <f t="shared" si="92"/>
        <v>41906.827048344443</v>
      </c>
      <c r="W309" s="29">
        <f t="shared" si="82"/>
        <v>41906.827048344443</v>
      </c>
      <c r="X309" s="29">
        <f t="shared" si="93"/>
        <v>41906.827048344443</v>
      </c>
      <c r="Y309">
        <f t="shared" si="94"/>
        <v>0</v>
      </c>
    </row>
    <row r="310" spans="1:25" x14ac:dyDescent="0.25">
      <c r="A310" s="4" t="s">
        <v>1247</v>
      </c>
      <c r="B310" s="7" t="s">
        <v>639</v>
      </c>
      <c r="C310" s="2" t="s">
        <v>1248</v>
      </c>
      <c r="D310">
        <f>VLOOKUP(B310,'Model allocations'!$A$1:$L$317,5,FALSE)</f>
        <v>8642.7609675989261</v>
      </c>
      <c r="E310" s="31">
        <f>VLOOKUP(B310,'Initial adjusted formula count'!$A$1:$P$317,12,FALSE)</f>
        <v>0.19047619047618999</v>
      </c>
      <c r="F310">
        <f>VLOOKUP(B310,'Model allocations'!$A$1:$L$317,10,FALSE)</f>
        <v>13344.646527202151</v>
      </c>
      <c r="G310" s="30">
        <f t="shared" si="83"/>
        <v>0.9</v>
      </c>
      <c r="H310">
        <f t="shared" si="84"/>
        <v>7778.4848708390336</v>
      </c>
      <c r="I310">
        <f t="shared" si="76"/>
        <v>0</v>
      </c>
      <c r="J310">
        <f t="shared" si="77"/>
        <v>13344.646527202151</v>
      </c>
      <c r="K310">
        <f t="shared" si="78"/>
        <v>13336.995356060392</v>
      </c>
      <c r="L310">
        <f t="shared" si="85"/>
        <v>13336.995356060392</v>
      </c>
      <c r="M310">
        <f t="shared" si="79"/>
        <v>0</v>
      </c>
      <c r="N310" s="29">
        <f t="shared" si="86"/>
        <v>13336.995356060392</v>
      </c>
      <c r="O310" s="29">
        <f t="shared" si="80"/>
        <v>13336.030525008167</v>
      </c>
      <c r="P310" s="29">
        <f t="shared" si="87"/>
        <v>13336.030525008167</v>
      </c>
      <c r="Q310">
        <f t="shared" si="88"/>
        <v>0</v>
      </c>
      <c r="R310" s="29">
        <f t="shared" si="89"/>
        <v>13336.030525008167</v>
      </c>
      <c r="S310" s="29">
        <f t="shared" si="81"/>
        <v>13336.030525008175</v>
      </c>
      <c r="T310" s="29">
        <f t="shared" si="90"/>
        <v>13336.030525008175</v>
      </c>
      <c r="U310">
        <f t="shared" si="91"/>
        <v>0</v>
      </c>
      <c r="V310" s="29">
        <f t="shared" si="92"/>
        <v>13336.030525008175</v>
      </c>
      <c r="W310" s="29">
        <f t="shared" si="82"/>
        <v>13336.030525008176</v>
      </c>
      <c r="X310" s="29">
        <f t="shared" si="93"/>
        <v>13336.030525008176</v>
      </c>
      <c r="Y310">
        <f t="shared" si="94"/>
        <v>0</v>
      </c>
    </row>
    <row r="311" spans="1:25" x14ac:dyDescent="0.25">
      <c r="A311" s="4" t="s">
        <v>1249</v>
      </c>
      <c r="B311" s="7" t="s">
        <v>641</v>
      </c>
      <c r="C311" s="2" t="s">
        <v>1250</v>
      </c>
      <c r="D311">
        <f>VLOOKUP(B311,'Model allocations'!$A$1:$L$317,5,FALSE)</f>
        <v>12395.519802738447</v>
      </c>
      <c r="E311" s="31">
        <f>VLOOKUP(B311,'Initial adjusted formula count'!$A$1:$P$317,12,FALSE)</f>
        <v>0.70454545454545403</v>
      </c>
      <c r="F311">
        <f>VLOOKUP(B311,'Model allocations'!$A$1:$L$317,10,FALSE)</f>
        <v>37317.104986784019</v>
      </c>
      <c r="G311" s="30">
        <f t="shared" si="83"/>
        <v>0.95</v>
      </c>
      <c r="H311">
        <f t="shared" si="84"/>
        <v>11775.743812601524</v>
      </c>
      <c r="I311">
        <f t="shared" si="76"/>
        <v>0</v>
      </c>
      <c r="J311">
        <f t="shared" si="77"/>
        <v>37317.104986784019</v>
      </c>
      <c r="K311">
        <f t="shared" si="78"/>
        <v>37295.709174149575</v>
      </c>
      <c r="L311">
        <f t="shared" si="85"/>
        <v>37295.709174149575</v>
      </c>
      <c r="M311">
        <f t="shared" si="79"/>
        <v>0</v>
      </c>
      <c r="N311" s="29">
        <f t="shared" si="86"/>
        <v>37295.709174149575</v>
      </c>
      <c r="O311" s="29">
        <f t="shared" si="80"/>
        <v>37293.011110802821</v>
      </c>
      <c r="P311" s="29">
        <f t="shared" si="87"/>
        <v>37293.011110802821</v>
      </c>
      <c r="Q311">
        <f t="shared" si="88"/>
        <v>0</v>
      </c>
      <c r="R311" s="29">
        <f t="shared" si="89"/>
        <v>37293.011110802821</v>
      </c>
      <c r="S311" s="29">
        <f t="shared" si="81"/>
        <v>37293.011110802843</v>
      </c>
      <c r="T311" s="29">
        <f t="shared" si="90"/>
        <v>37293.011110802843</v>
      </c>
      <c r="U311">
        <f t="shared" si="91"/>
        <v>0</v>
      </c>
      <c r="V311" s="29">
        <f t="shared" si="92"/>
        <v>37293.011110802843</v>
      </c>
      <c r="W311" s="29">
        <f t="shared" si="82"/>
        <v>37293.011110802843</v>
      </c>
      <c r="X311" s="29">
        <f t="shared" si="93"/>
        <v>37293.011110802843</v>
      </c>
      <c r="Y311">
        <f t="shared" si="94"/>
        <v>0</v>
      </c>
    </row>
    <row r="312" spans="1:25" x14ac:dyDescent="0.25">
      <c r="A312" s="4" t="s">
        <v>1251</v>
      </c>
      <c r="B312" s="7" t="s">
        <v>643</v>
      </c>
      <c r="C312" s="2" t="s">
        <v>1252</v>
      </c>
      <c r="D312">
        <f>VLOOKUP(B312,'Model allocations'!$A$1:$L$317,5,FALSE)</f>
        <v>101655.33138080647</v>
      </c>
      <c r="E312" s="31">
        <f>VLOOKUP(B312,'Initial adjusted formula count'!$A$1:$P$317,12,FALSE)</f>
        <v>9.9404318689501101E-2</v>
      </c>
      <c r="F312">
        <f>VLOOKUP(B312,'Model allocations'!$A$1:$L$317,10,FALSE)</f>
        <v>111963.51772576712</v>
      </c>
      <c r="G312" s="30">
        <f t="shared" si="83"/>
        <v>0.85</v>
      </c>
      <c r="H312">
        <f t="shared" si="84"/>
        <v>86407.031673685502</v>
      </c>
      <c r="I312">
        <f t="shared" si="76"/>
        <v>0</v>
      </c>
      <c r="J312">
        <f t="shared" si="77"/>
        <v>111963.51772576712</v>
      </c>
      <c r="K312">
        <f t="shared" si="78"/>
        <v>111899.32329139173</v>
      </c>
      <c r="L312">
        <f t="shared" si="85"/>
        <v>111899.32329139173</v>
      </c>
      <c r="M312">
        <f t="shared" si="79"/>
        <v>0</v>
      </c>
      <c r="N312" s="29">
        <f t="shared" si="86"/>
        <v>111899.32329139173</v>
      </c>
      <c r="O312" s="29">
        <f t="shared" si="80"/>
        <v>111891.22821907955</v>
      </c>
      <c r="P312" s="29">
        <f t="shared" si="87"/>
        <v>111891.22821907955</v>
      </c>
      <c r="Q312">
        <f t="shared" si="88"/>
        <v>0</v>
      </c>
      <c r="R312" s="29">
        <f t="shared" si="89"/>
        <v>111891.22821907955</v>
      </c>
      <c r="S312" s="29">
        <f t="shared" si="81"/>
        <v>111891.22821907961</v>
      </c>
      <c r="T312" s="29">
        <f t="shared" si="90"/>
        <v>111891.22821907961</v>
      </c>
      <c r="U312">
        <f t="shared" si="91"/>
        <v>0</v>
      </c>
      <c r="V312" s="29">
        <f t="shared" si="92"/>
        <v>111891.22821907961</v>
      </c>
      <c r="W312" s="29">
        <f t="shared" si="82"/>
        <v>111891.22821907962</v>
      </c>
      <c r="X312" s="29">
        <f t="shared" si="93"/>
        <v>111891.22821907962</v>
      </c>
      <c r="Y312">
        <f t="shared" si="94"/>
        <v>0</v>
      </c>
    </row>
    <row r="313" spans="1:25" x14ac:dyDescent="0.25">
      <c r="A313" s="4" t="s">
        <v>1253</v>
      </c>
      <c r="B313" s="7" t="s">
        <v>645</v>
      </c>
      <c r="C313" s="2" t="s">
        <v>1254</v>
      </c>
      <c r="D313">
        <f>VLOOKUP(B313,'Model allocations'!$A$1:$L$317,5,FALSE)</f>
        <v>2921047.4270254001</v>
      </c>
      <c r="E313" s="31">
        <f>VLOOKUP(B313,'Initial adjusted formula count'!$A$1:$P$317,12,FALSE)</f>
        <v>0.269479929769329</v>
      </c>
      <c r="F313">
        <f>VLOOKUP(B313,'Model allocations'!$A$1:$L$317,10,FALSE)</f>
        <v>3113801.875927655</v>
      </c>
      <c r="G313" s="30">
        <f t="shared" si="83"/>
        <v>0.9</v>
      </c>
      <c r="H313">
        <f t="shared" si="84"/>
        <v>2628942.6843228601</v>
      </c>
      <c r="I313">
        <f t="shared" si="76"/>
        <v>0</v>
      </c>
      <c r="J313">
        <f t="shared" si="77"/>
        <v>3113801.875927655</v>
      </c>
      <c r="K313">
        <f t="shared" si="78"/>
        <v>3112016.5734090991</v>
      </c>
      <c r="L313">
        <f t="shared" si="85"/>
        <v>3112016.5734090991</v>
      </c>
      <c r="M313">
        <f t="shared" si="79"/>
        <v>0</v>
      </c>
      <c r="N313" s="29">
        <f t="shared" si="86"/>
        <v>3112016.5734090991</v>
      </c>
      <c r="O313" s="29">
        <f t="shared" si="80"/>
        <v>3111791.4424748141</v>
      </c>
      <c r="P313" s="29">
        <f t="shared" si="87"/>
        <v>3111791.4424748141</v>
      </c>
      <c r="Q313">
        <f t="shared" si="88"/>
        <v>0</v>
      </c>
      <c r="R313" s="29">
        <f t="shared" si="89"/>
        <v>3111791.4424748141</v>
      </c>
      <c r="S313" s="29">
        <f t="shared" si="81"/>
        <v>3111791.442474816</v>
      </c>
      <c r="T313" s="29">
        <f t="shared" si="90"/>
        <v>3111791.442474816</v>
      </c>
      <c r="U313">
        <f t="shared" si="91"/>
        <v>0</v>
      </c>
      <c r="V313" s="29">
        <f t="shared" si="92"/>
        <v>3111791.442474816</v>
      </c>
      <c r="W313" s="29">
        <f t="shared" si="82"/>
        <v>3111791.4424748165</v>
      </c>
      <c r="X313" s="29">
        <f t="shared" si="93"/>
        <v>3111791.4424748165</v>
      </c>
      <c r="Y313">
        <f t="shared" si="94"/>
        <v>0</v>
      </c>
    </row>
    <row r="314" spans="1:25" x14ac:dyDescent="0.25">
      <c r="A314" s="4" t="s">
        <v>1255</v>
      </c>
      <c r="B314" s="7" t="s">
        <v>647</v>
      </c>
      <c r="C314" s="2" t="s">
        <v>1256</v>
      </c>
      <c r="D314">
        <f>VLOOKUP(B314,'Model allocations'!$A$1:$L$317,5,FALSE)</f>
        <v>256704.33681447321</v>
      </c>
      <c r="E314" s="31">
        <f>VLOOKUP(B314,'Initial adjusted formula count'!$A$1:$P$317,12,FALSE)</f>
        <v>8.2403302247362795E-2</v>
      </c>
      <c r="F314">
        <f>VLOOKUP(B314,'Model allocations'!$A$1:$L$317,10,FALSE)</f>
        <v>226023.7305400318</v>
      </c>
      <c r="G314" s="30">
        <f t="shared" si="83"/>
        <v>0.85</v>
      </c>
      <c r="H314">
        <f t="shared" si="84"/>
        <v>218198.68629230221</v>
      </c>
      <c r="I314">
        <f t="shared" si="76"/>
        <v>0</v>
      </c>
      <c r="J314">
        <f t="shared" si="77"/>
        <v>226023.7305400318</v>
      </c>
      <c r="K314">
        <f t="shared" si="78"/>
        <v>225894.13952831522</v>
      </c>
      <c r="L314">
        <f t="shared" si="85"/>
        <v>225894.13952831522</v>
      </c>
      <c r="M314">
        <f t="shared" si="79"/>
        <v>0</v>
      </c>
      <c r="N314" s="29">
        <f t="shared" si="86"/>
        <v>225894.13952831522</v>
      </c>
      <c r="O314" s="29">
        <f t="shared" si="80"/>
        <v>225877.79779057641</v>
      </c>
      <c r="P314" s="29">
        <f t="shared" si="87"/>
        <v>225877.79779057641</v>
      </c>
      <c r="Q314">
        <f t="shared" si="88"/>
        <v>0</v>
      </c>
      <c r="R314" s="29">
        <f t="shared" si="89"/>
        <v>225877.79779057641</v>
      </c>
      <c r="S314" s="29">
        <f t="shared" si="81"/>
        <v>225877.79779057653</v>
      </c>
      <c r="T314" s="29">
        <f t="shared" si="90"/>
        <v>225877.79779057653</v>
      </c>
      <c r="U314">
        <f t="shared" si="91"/>
        <v>0</v>
      </c>
      <c r="V314" s="29">
        <f t="shared" si="92"/>
        <v>225877.79779057653</v>
      </c>
      <c r="W314" s="29">
        <f t="shared" si="82"/>
        <v>225877.79779057656</v>
      </c>
      <c r="X314" s="29">
        <f t="shared" si="93"/>
        <v>225877.79779057656</v>
      </c>
      <c r="Y314">
        <f t="shared" si="94"/>
        <v>0</v>
      </c>
    </row>
    <row r="315" spans="1:25" x14ac:dyDescent="0.25">
      <c r="A315" s="4" t="s">
        <v>1257</v>
      </c>
      <c r="B315" s="7" t="s">
        <v>649</v>
      </c>
      <c r="C315" s="2" t="s">
        <v>1258</v>
      </c>
      <c r="D315">
        <f>VLOOKUP(B315,'Model allocations'!$A$1:$L$317,5,FALSE)</f>
        <v>57416.314606098022</v>
      </c>
      <c r="E315" s="31">
        <f>VLOOKUP(B315,'Initial adjusted formula count'!$A$1:$P$317,12,FALSE)</f>
        <v>0.13300083125519499</v>
      </c>
      <c r="F315">
        <f>VLOOKUP(B315,'Model allocations'!$A$1:$L$317,10,FALSE)</f>
        <v>67094.242831920346</v>
      </c>
      <c r="G315" s="30">
        <f t="shared" si="83"/>
        <v>0.85</v>
      </c>
      <c r="H315">
        <f t="shared" si="84"/>
        <v>48803.867415183318</v>
      </c>
      <c r="I315">
        <f t="shared" si="76"/>
        <v>0</v>
      </c>
      <c r="J315">
        <f t="shared" si="77"/>
        <v>67094.242831920346</v>
      </c>
      <c r="K315">
        <f t="shared" si="78"/>
        <v>67055.774257013749</v>
      </c>
      <c r="L315">
        <f t="shared" si="85"/>
        <v>67055.774257013749</v>
      </c>
      <c r="M315">
        <f t="shared" si="79"/>
        <v>0</v>
      </c>
      <c r="N315" s="29">
        <f t="shared" si="86"/>
        <v>67055.774257013749</v>
      </c>
      <c r="O315" s="29">
        <f t="shared" si="80"/>
        <v>67050.923277351016</v>
      </c>
      <c r="P315" s="29">
        <f t="shared" si="87"/>
        <v>67050.923277351016</v>
      </c>
      <c r="Q315">
        <f t="shared" si="88"/>
        <v>0</v>
      </c>
      <c r="R315" s="29">
        <f t="shared" si="89"/>
        <v>67050.923277351016</v>
      </c>
      <c r="S315" s="29">
        <f t="shared" si="81"/>
        <v>67050.923277351059</v>
      </c>
      <c r="T315" s="29">
        <f t="shared" si="90"/>
        <v>67050.923277351059</v>
      </c>
      <c r="U315">
        <f t="shared" si="91"/>
        <v>0</v>
      </c>
      <c r="V315" s="29">
        <f t="shared" si="92"/>
        <v>67050.923277351059</v>
      </c>
      <c r="W315" s="29">
        <f t="shared" si="82"/>
        <v>67050.923277351059</v>
      </c>
      <c r="X315" s="29">
        <f t="shared" si="93"/>
        <v>67050.923277351059</v>
      </c>
      <c r="Y315">
        <f t="shared" si="94"/>
        <v>0</v>
      </c>
    </row>
    <row r="316" spans="1:25" x14ac:dyDescent="0.25">
      <c r="A316" s="1"/>
      <c r="B316" s="7" t="s">
        <v>651</v>
      </c>
      <c r="C316" s="2" t="s">
        <v>652</v>
      </c>
      <c r="D316">
        <f>VLOOKUP(B316,'Model allocations'!$A$1:$L$317,5,FALSE)</f>
        <v>412754.15017507272</v>
      </c>
      <c r="E316" s="31">
        <f>VLOOKUP(B316,'Initial adjusted formula count'!$A$1:$P$317,12,FALSE)</f>
        <v>1</v>
      </c>
      <c r="F316">
        <f>VLOOKUP(B316,'Model allocations'!$A$1:$L$317,10,FALSE)</f>
        <v>392116.44266631908</v>
      </c>
      <c r="G316" s="30">
        <f t="shared" si="83"/>
        <v>0.95</v>
      </c>
      <c r="H316">
        <f t="shared" si="84"/>
        <v>392116.44266631908</v>
      </c>
      <c r="I316">
        <f t="shared" si="76"/>
        <v>0</v>
      </c>
      <c r="J316">
        <f t="shared" si="77"/>
        <v>392116.44266631908</v>
      </c>
      <c r="K316">
        <f t="shared" si="78"/>
        <v>391891.6221733804</v>
      </c>
      <c r="L316">
        <f t="shared" si="85"/>
        <v>391891.6221733804</v>
      </c>
      <c r="M316">
        <f t="shared" si="79"/>
        <v>392116.44266631908</v>
      </c>
      <c r="N316" s="29">
        <f t="shared" si="86"/>
        <v>0</v>
      </c>
      <c r="O316" s="29">
        <f t="shared" si="80"/>
        <v>0</v>
      </c>
      <c r="P316" s="29">
        <f t="shared" si="87"/>
        <v>392116.44266631908</v>
      </c>
      <c r="Q316">
        <f t="shared" si="88"/>
        <v>0</v>
      </c>
      <c r="R316" s="29">
        <f t="shared" si="89"/>
        <v>0</v>
      </c>
      <c r="S316" s="29">
        <f t="shared" si="81"/>
        <v>0</v>
      </c>
      <c r="T316" s="29">
        <f t="shared" si="90"/>
        <v>392116.44266631908</v>
      </c>
      <c r="U316">
        <f t="shared" si="91"/>
        <v>0</v>
      </c>
      <c r="V316" s="29">
        <f t="shared" si="92"/>
        <v>0</v>
      </c>
      <c r="W316" s="29">
        <f t="shared" si="82"/>
        <v>0</v>
      </c>
      <c r="X316" s="29">
        <f t="shared" si="93"/>
        <v>392116.44266631908</v>
      </c>
      <c r="Y316">
        <f t="shared" si="94"/>
        <v>0</v>
      </c>
    </row>
    <row r="317" spans="1:25" x14ac:dyDescent="0.25">
      <c r="A317" t="s">
        <v>1428</v>
      </c>
      <c r="B317" t="s">
        <v>1420</v>
      </c>
      <c r="C317" t="s">
        <v>1421</v>
      </c>
      <c r="D317">
        <f>VLOOKUP(B317,'Model allocations'!$A$1:$L$317,5,FALSE)</f>
        <v>34788.209981572094</v>
      </c>
      <c r="E317" s="31">
        <f>VLOOKUP(B317,'Initial adjusted formula count'!$A$1:$P$317,12,FALSE)</f>
        <v>0.176337460229611</v>
      </c>
      <c r="F317">
        <f>VLOOKUP(B317,'Model allocations'!$A$1:$L$317,10,FALSE)</f>
        <v>35887.620691544231</v>
      </c>
      <c r="G317" s="30">
        <f t="shared" ref="G317:G318" si="95">IF(E317&lt;0.15,0.85,IF(AND(E317&gt;=0.15,E317&lt;0.3),0.9,0.95))</f>
        <v>0.9</v>
      </c>
      <c r="H317">
        <f t="shared" ref="H317:H318" si="96">IF(F317 = 0, 0, D317*G317)</f>
        <v>31309.388983414887</v>
      </c>
      <c r="I317">
        <f t="shared" ref="I317:I318" si="97">IF(F317&lt;H317,H317,0)</f>
        <v>0</v>
      </c>
      <c r="J317">
        <f t="shared" ref="J317:J318" si="98">IF(I317=0,F317,0)</f>
        <v>35887.620691544231</v>
      </c>
      <c r="K317">
        <f t="shared" ref="K317:K318" si="99">(J317/$J$3)*($F$3-$I$3)</f>
        <v>35867.044475664567</v>
      </c>
      <c r="L317">
        <f t="shared" ref="L317:L318" si="100">I317+K317</f>
        <v>35867.044475664567</v>
      </c>
      <c r="M317">
        <f t="shared" ref="M317:M318" si="101">IF(L317&lt;H317,H317,0)</f>
        <v>0</v>
      </c>
      <c r="N317" s="29">
        <f t="shared" ref="N317:N318" si="102">IF($I317+$M317=0,L317,0)</f>
        <v>35867.044475664567</v>
      </c>
      <c r="O317" s="29">
        <f t="shared" ref="O317:O318" si="103">((N317/$N$3)*($F$3-$I$3-$M$3))</f>
        <v>35864.449765436533</v>
      </c>
      <c r="P317" s="29">
        <f t="shared" ref="P317:P318" si="104">$I317+$M317+O317</f>
        <v>35864.449765436533</v>
      </c>
      <c r="Q317">
        <f t="shared" ref="Q317:Q318" si="105">IF(P317&lt;H317,H317,0)</f>
        <v>0</v>
      </c>
      <c r="R317" s="29">
        <f t="shared" ref="R317:R318" si="106">IF($I317+$M317+$Q317=0,P317,0)</f>
        <v>35864.449765436533</v>
      </c>
      <c r="S317" s="29">
        <f t="shared" ref="S317:S318" si="107">((R317/$R$3)*($F$3-$I$3-$M$3-$Q$3))</f>
        <v>35864.449765436555</v>
      </c>
      <c r="T317" s="29">
        <f t="shared" ref="T317:T318" si="108">$I317+$M317+$Q317+S317</f>
        <v>35864.449765436555</v>
      </c>
      <c r="U317">
        <f t="shared" ref="U317:U318" si="109">IF(T317&lt;H317,H317,0)</f>
        <v>0</v>
      </c>
      <c r="V317" s="29">
        <f t="shared" ref="V317:V318" si="110">IF($I317+$M317+$Q317+U317=0,T317,0)</f>
        <v>35864.449765436555</v>
      </c>
      <c r="W317" s="29">
        <f t="shared" ref="W317:W318" si="111">((V317/$V$3)*($F$3-$I$3-$M$3-$Q$3-$U$3))</f>
        <v>35864.449765436562</v>
      </c>
      <c r="X317" s="29">
        <f t="shared" ref="X317:X318" si="112">$I317+$M317+$Q317+$U317+W317</f>
        <v>35864.449765436562</v>
      </c>
      <c r="Y317">
        <f t="shared" ref="Y317:Y318" si="113">IF(X317&lt;H317,H317,0)</f>
        <v>0</v>
      </c>
    </row>
    <row r="318" spans="1:25" x14ac:dyDescent="0.25">
      <c r="A318" t="s">
        <v>1429</v>
      </c>
      <c r="B318" t="s">
        <v>1422</v>
      </c>
      <c r="C318" t="s">
        <v>1423</v>
      </c>
      <c r="D318">
        <f>VLOOKUP(B318,'Model allocations'!$A$1:$L$317,5,FALSE)</f>
        <v>10486.544631470559</v>
      </c>
      <c r="E318" s="31">
        <f>VLOOKUP(B318,'Initial adjusted formula count'!$A$1:$P$317,12,FALSE)</f>
        <v>0.14073738079446399</v>
      </c>
      <c r="F318">
        <f>VLOOKUP(B318,'Model allocations'!$A$1:$L$317,10,FALSE)</f>
        <v>10214.411201123148</v>
      </c>
      <c r="G318" s="30">
        <f t="shared" si="95"/>
        <v>0.85</v>
      </c>
      <c r="H318">
        <f t="shared" si="96"/>
        <v>8913.5629367499751</v>
      </c>
      <c r="I318">
        <f t="shared" si="97"/>
        <v>0</v>
      </c>
      <c r="J318">
        <f t="shared" si="98"/>
        <v>10214.411201123148</v>
      </c>
      <c r="K318">
        <f t="shared" si="99"/>
        <v>10208.554754640823</v>
      </c>
      <c r="L318">
        <f t="shared" si="100"/>
        <v>10208.554754640823</v>
      </c>
      <c r="M318">
        <f t="shared" si="101"/>
        <v>0</v>
      </c>
      <c r="N318" s="29">
        <f t="shared" si="102"/>
        <v>10208.554754640823</v>
      </c>
      <c r="O318" s="29">
        <f t="shared" si="103"/>
        <v>10207.816242677472</v>
      </c>
      <c r="P318" s="29">
        <f t="shared" si="104"/>
        <v>10207.816242677472</v>
      </c>
      <c r="Q318">
        <f t="shared" si="105"/>
        <v>0</v>
      </c>
      <c r="R318" s="29">
        <f t="shared" si="106"/>
        <v>10207.816242677472</v>
      </c>
      <c r="S318" s="29">
        <f t="shared" si="107"/>
        <v>10207.816242677478</v>
      </c>
      <c r="T318" s="29">
        <f t="shared" si="108"/>
        <v>10207.816242677478</v>
      </c>
      <c r="U318">
        <f t="shared" si="109"/>
        <v>0</v>
      </c>
      <c r="V318" s="29">
        <f t="shared" si="110"/>
        <v>10207.816242677478</v>
      </c>
      <c r="W318" s="29">
        <f t="shared" si="111"/>
        <v>10207.81624267748</v>
      </c>
      <c r="X318" s="29">
        <f t="shared" si="112"/>
        <v>10207.81624267748</v>
      </c>
      <c r="Y318">
        <f t="shared" si="113"/>
        <v>0</v>
      </c>
    </row>
    <row r="323" spans="7:7" x14ac:dyDescent="0.25">
      <c r="G323" s="30"/>
    </row>
    <row r="324" spans="7:7" x14ac:dyDescent="0.25">
      <c r="G324" s="30"/>
    </row>
    <row r="325" spans="7:7" x14ac:dyDescent="0.25">
      <c r="G325" s="30"/>
    </row>
    <row r="326" spans="7:7" x14ac:dyDescent="0.25">
      <c r="G326" s="30"/>
    </row>
  </sheetData>
  <sheetProtection algorithmName="SHA-512" hashValue="M32dqH+UuQHGKj1pJHvMqmY2ur+ujCTeoE1qclF02qVEpAiW0C4q9yPh9n6aHvzsK/JEuiOC6o7db3hAF8Il1w==" saltValue="ruua+/eor49UMnPd5/xt/A==" spinCount="100000" sheet="1" objects="1" scenarios="1"/>
  <autoFilter ref="A3:Y318" xr:uid="{E4CCECE1-CFB0-4124-B246-34444E47CF8A}"/>
  <conditionalFormatting sqref="B1:B316">
    <cfRule type="duplicateValues" dxfId="1" priority="13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A506B-0783-4864-A67B-A0D4F556461E}">
  <dimension ref="A1:Z318"/>
  <sheetViews>
    <sheetView workbookViewId="0">
      <selection activeCell="A17" sqref="A17"/>
    </sheetView>
  </sheetViews>
  <sheetFormatPr defaultRowHeight="15" x14ac:dyDescent="0.25"/>
  <cols>
    <col min="3" max="3" width="20.28515625" customWidth="1"/>
    <col min="4" max="4" width="19.28515625" customWidth="1"/>
    <col min="5" max="5" width="16.5703125" customWidth="1"/>
    <col min="6" max="6" width="22.42578125" customWidth="1"/>
    <col min="7" max="7" width="12.85546875" customWidth="1"/>
    <col min="8" max="8" width="13.5703125" bestFit="1" customWidth="1"/>
    <col min="9" max="9" width="12.7109375" customWidth="1"/>
    <col min="10" max="10" width="16.140625" customWidth="1"/>
    <col min="11" max="11" width="13.28515625" customWidth="1"/>
    <col min="12" max="12" width="16.42578125" customWidth="1"/>
    <col min="13" max="13" width="13.5703125" bestFit="1" customWidth="1"/>
    <col min="14" max="14" width="13.28515625" customWidth="1"/>
    <col min="15" max="15" width="16.42578125" customWidth="1"/>
    <col min="16" max="16" width="14.28515625" customWidth="1"/>
    <col min="18" max="18" width="11.140625" customWidth="1"/>
    <col min="19" max="19" width="13.5703125" bestFit="1" customWidth="1"/>
    <col min="20" max="20" width="12.7109375" customWidth="1"/>
    <col min="22" max="22" width="13.85546875" customWidth="1"/>
    <col min="23" max="23" width="11.85546875" customWidth="1"/>
    <col min="24" max="24" width="13.28515625" customWidth="1"/>
    <col min="25" max="25" width="7.85546875" customWidth="1"/>
    <col min="26" max="26" width="10.140625" customWidth="1"/>
  </cols>
  <sheetData>
    <row r="1" spans="1:26" x14ac:dyDescent="0.25">
      <c r="A1" s="1"/>
      <c r="B1" s="5"/>
      <c r="C1" s="4"/>
      <c r="F1" s="79" t="str">
        <f>IF($F$3=SUM(Model_allocations[EFIG Allocation]), "Good", "Check district list")</f>
        <v>Good</v>
      </c>
      <c r="Y1" t="str" cm="1">
        <f t="array" ref="Y1">Assumptions[EFIG GRANTS]</f>
        <v>102229443</v>
      </c>
      <c r="Z1" s="46">
        <f>X3-Y1</f>
        <v>-17302.515457034111</v>
      </c>
    </row>
    <row r="2" spans="1:26" ht="76.5" x14ac:dyDescent="0.25">
      <c r="A2" s="1" t="s">
        <v>0</v>
      </c>
      <c r="B2" s="5" t="s">
        <v>4</v>
      </c>
      <c r="C2" s="3" t="s">
        <v>1278</v>
      </c>
      <c r="D2" s="33" t="s">
        <v>1377</v>
      </c>
      <c r="E2" s="36" t="s">
        <v>1295</v>
      </c>
      <c r="F2" s="33" t="s">
        <v>1294</v>
      </c>
      <c r="G2" s="35" t="s">
        <v>654</v>
      </c>
      <c r="H2" s="34" t="s">
        <v>1293</v>
      </c>
      <c r="I2" s="34" t="s">
        <v>1367</v>
      </c>
      <c r="J2" s="34" t="s">
        <v>1368</v>
      </c>
      <c r="K2" s="34" t="s">
        <v>1369</v>
      </c>
      <c r="L2" s="34" t="s">
        <v>1370</v>
      </c>
      <c r="M2" s="32" t="s">
        <v>1292</v>
      </c>
      <c r="N2" s="34" t="s">
        <v>1368</v>
      </c>
      <c r="O2" s="32" t="s">
        <v>1369</v>
      </c>
      <c r="P2" s="32" t="s">
        <v>1370</v>
      </c>
      <c r="Q2" s="32" t="s">
        <v>1371</v>
      </c>
      <c r="R2" s="32" t="s">
        <v>1368</v>
      </c>
      <c r="S2" s="32" t="s">
        <v>1369</v>
      </c>
      <c r="T2" s="32" t="s">
        <v>1370</v>
      </c>
      <c r="U2" s="32" t="s">
        <v>1372</v>
      </c>
      <c r="V2" s="32" t="s">
        <v>1368</v>
      </c>
      <c r="W2" s="32" t="s">
        <v>1369</v>
      </c>
      <c r="X2" s="32" t="s">
        <v>1370</v>
      </c>
      <c r="Y2" s="32" t="s">
        <v>1373</v>
      </c>
      <c r="Z2" s="32"/>
    </row>
    <row r="3" spans="1:26" x14ac:dyDescent="0.25">
      <c r="A3" s="1"/>
      <c r="B3" s="5"/>
      <c r="C3" s="6"/>
      <c r="D3" s="33">
        <f>SUM(D4:D318)</f>
        <v>99905636.421834424</v>
      </c>
      <c r="E3" s="33"/>
      <c r="F3" s="78" cm="1">
        <f t="array" ref="F3">SUM(IF(ISERROR($F$4:$F$318),"",$F$4:$F$318))</f>
        <v>102212140.48454297</v>
      </c>
      <c r="G3" s="33"/>
      <c r="H3" s="33" cm="1">
        <f t="array" ref="H3">SUM(IF(ISERROR($H$4:$H$318),"",$H$4:$H$318))</f>
        <v>86464477.408690244</v>
      </c>
      <c r="I3" s="33" cm="1">
        <f t="array" ref="I3">SUM(IF(ISERROR($I$4:$I$318),"",$I$4:$I$318))</f>
        <v>1918174.7428661846</v>
      </c>
      <c r="J3" s="33" cm="1">
        <f t="array" ref="J3">SUM(IF(ISERROR($J$4:$J$318),"",$J$4:$J$318))</f>
        <v>100353359.40206762</v>
      </c>
      <c r="K3" s="33" cm="1">
        <f t="array" ref="K3">SUM(IF(ISERROR($K$4:$K$318),"",$K$4:$K$318))</f>
        <v>100293965.74167687</v>
      </c>
      <c r="L3" s="33" cm="1">
        <f t="array" ref="L3">SUM(IF(ISERROR($L$4:$L$318),0,$L$4:$L$318))</f>
        <v>102212140.48454306</v>
      </c>
      <c r="M3" s="33" cm="1">
        <f t="array" ref="M3">SUM(IF(ISERROR($M$4:$M$318),0,$M$4:$M$318))</f>
        <v>11611185.703127505</v>
      </c>
      <c r="N3" s="33" cm="1">
        <f t="array" ref="N3">SUM(IF(ISERROR($N$4:$N$318),0,$N$4:$N$318))</f>
        <v>88689509.370449334</v>
      </c>
      <c r="O3" s="33" cm="1">
        <f t="array" ref="O3">SUM(IF(ISERROR($O$4:$O$318),0,$O$4:$O$318))</f>
        <v>88682780.038549349</v>
      </c>
      <c r="P3" s="33" cm="1">
        <f t="array" ref="P3">SUM(IF(ISERROR($P$4:$P$318),0,$P$4:$P$318))</f>
        <v>102212140.48454306</v>
      </c>
      <c r="Q3" s="33" cm="1">
        <f t="array" ref="Q3">SUM(IF(ISERROR($Q$4:$Q$318),0,$Q$4:$Q$318))</f>
        <v>0</v>
      </c>
      <c r="R3" s="33" cm="1">
        <f t="array" ref="R3">SUM(IF(ISERROR($R$4:$R$318),0,$R$4:$R$318))</f>
        <v>88682780.038549349</v>
      </c>
      <c r="S3" s="33" cm="1">
        <f t="array" ref="S3">SUM(IF(ISERROR($S$4:$S$318),0,$S$4:$S$318))</f>
        <v>88682780.038549274</v>
      </c>
      <c r="T3" s="33" cm="1">
        <f t="array" ref="T3">SUM(IF(ISERROR($T$4:$T$318),0,$T$4:$T$318))</f>
        <v>102212140.48454297</v>
      </c>
      <c r="U3" s="33" cm="1">
        <f t="array" ref="U3">SUM(IF(ISERROR($U$4:$U$318),0,$U$4:$U$318))</f>
        <v>0</v>
      </c>
      <c r="V3" s="33" cm="1">
        <f t="array" ref="V3">SUM(IF(ISERROR($V$4:$V$318),0,$V$4:$V$318))</f>
        <v>88682780.038549274</v>
      </c>
      <c r="W3" s="33" cm="1">
        <f t="array" ref="W3">SUM(IF(ISERROR($W$4:$W$318),0,$W$4:$W$318))</f>
        <v>88682780.038549274</v>
      </c>
      <c r="X3" s="33" cm="1">
        <f t="array" ref="X3">SUM(IF(ISERROR($X$4:$X$318),0,$X$4:$X$318))</f>
        <v>102212140.48454297</v>
      </c>
      <c r="Y3" s="33" cm="1">
        <f t="array" ref="Y3">SUM(IF(ISERROR($Y$4:$Y$318),0,$Y$4:$Y$318))</f>
        <v>0</v>
      </c>
      <c r="Z3" s="32"/>
    </row>
    <row r="4" spans="1:26" x14ac:dyDescent="0.25">
      <c r="A4" s="4" t="s">
        <v>661</v>
      </c>
      <c r="B4" s="7" t="s">
        <v>309</v>
      </c>
      <c r="C4" s="2" t="s">
        <v>662</v>
      </c>
      <c r="D4">
        <f>VLOOKUP(B4,'Model allocations'!$A$1:$L$317,6,FALSE)</f>
        <v>599679.32829525613</v>
      </c>
      <c r="E4" s="31">
        <f>VLOOKUP(B4,'Initial adjusted formula count'!$A$1:$P$317,12,FALSE)</f>
        <v>0.20137299771167</v>
      </c>
      <c r="F4">
        <f>VLOOKUP(B4,'Model allocations'!$A$1:$L$317,11,FALSE)</f>
        <v>539555.3644176051</v>
      </c>
      <c r="G4" s="30">
        <f>IF(E4&lt;0.15,0.85,IF(AND(E4&gt;=0.15,E4&lt;0.3),0.9,0.95))</f>
        <v>0.9</v>
      </c>
      <c r="H4">
        <f>IF(F4 = 0, 0, D4*G4)</f>
        <v>539711.39546573057</v>
      </c>
      <c r="I4">
        <f t="shared" ref="I4:I67" si="0">IF(F4&lt;H4,H4,0)</f>
        <v>539711.39546573057</v>
      </c>
      <c r="J4">
        <f t="shared" ref="J4:J67" si="1">IF(I4=0,F4,0)</f>
        <v>0</v>
      </c>
      <c r="K4">
        <f t="shared" ref="K4:K67" si="2">(J4/$J$3)*($F$3-$I$3)</f>
        <v>0</v>
      </c>
      <c r="L4">
        <f t="shared" ref="L4:L67" si="3">I4+K4</f>
        <v>539711.39546573057</v>
      </c>
      <c r="M4">
        <f t="shared" ref="M4:M67" si="4">IF(L4&lt;H4,H4,0)</f>
        <v>0</v>
      </c>
      <c r="N4" s="29">
        <f t="shared" ref="N4:N67" si="5">IF($I4+$M4=0,L4,0)</f>
        <v>0</v>
      </c>
      <c r="O4" s="29">
        <f t="shared" ref="O4:O67" si="6">((N4/$N$3)*($F$3-$I$3-$M$3))</f>
        <v>0</v>
      </c>
      <c r="P4" s="29">
        <f t="shared" ref="P4:P67" si="7">$I4+$M4+O4</f>
        <v>539711.39546573057</v>
      </c>
      <c r="Q4">
        <f t="shared" ref="Q4:Q67" si="8">IF(P4&lt;H4,H4,0)</f>
        <v>0</v>
      </c>
      <c r="R4" s="29">
        <f t="shared" ref="R4:R67" si="9">IF($I4+$M4+$Q4=0,P4,0)</f>
        <v>0</v>
      </c>
      <c r="S4" s="29">
        <f t="shared" ref="S4:S67" si="10">((R4/$R$3)*($F$3-$I$3-$M$3-$Q$3))</f>
        <v>0</v>
      </c>
      <c r="T4" s="29">
        <f t="shared" ref="T4:T67" si="11">$I4+$M4+$Q4+S4</f>
        <v>539711.39546573057</v>
      </c>
      <c r="U4">
        <f t="shared" ref="U4:U67" si="12">IF(T4&lt;H4,H4,0)</f>
        <v>0</v>
      </c>
      <c r="V4" s="29">
        <f t="shared" ref="V4:V67" si="13">IF($I4+$M4+$Q4+U4=0,T4,0)</f>
        <v>0</v>
      </c>
      <c r="W4" s="29">
        <f t="shared" ref="W4:W67" si="14">((V4/$V$3)*($F$3-$I$3-$M$3-$Q$3-$U$3))</f>
        <v>0</v>
      </c>
      <c r="X4" s="29">
        <f t="shared" ref="X4:X67" si="15">$I4+$M4+$Q4+$U4+W4</f>
        <v>539711.39546573057</v>
      </c>
      <c r="Y4">
        <f t="shared" ref="Y4:Y67" si="16">IF(X4&lt;H4,H4,0)</f>
        <v>0</v>
      </c>
    </row>
    <row r="5" spans="1:26" x14ac:dyDescent="0.25">
      <c r="A5" s="4" t="s">
        <v>663</v>
      </c>
      <c r="B5" s="7" t="s">
        <v>260</v>
      </c>
      <c r="C5" s="2" t="s">
        <v>664</v>
      </c>
      <c r="D5">
        <f>VLOOKUP(B5,'Model allocations'!$A$1:$L$317,6,FALSE)</f>
        <v>21496.475004290744</v>
      </c>
      <c r="E5" s="31">
        <f>VLOOKUP(B5,'Initial adjusted formula count'!$A$1:$P$317,12,FALSE)</f>
        <v>9.22459893048128E-2</v>
      </c>
      <c r="F5">
        <f>VLOOKUP(B5,'Model allocations'!$A$1:$L$317,11,FALSE)</f>
        <v>39232.541989720979</v>
      </c>
      <c r="G5" s="30">
        <f t="shared" ref="G5:G68" si="17">IF(E5&lt;0.15,0.85,IF(AND(E5&gt;=0.15,E5&lt;0.3),0.9,0.95))</f>
        <v>0.85</v>
      </c>
      <c r="H5">
        <f t="shared" ref="H5:H68" si="18">IF(F5 = 0, 0, D5*G5)</f>
        <v>18272.003753647132</v>
      </c>
      <c r="I5">
        <f t="shared" si="0"/>
        <v>0</v>
      </c>
      <c r="J5">
        <f t="shared" si="1"/>
        <v>39232.541989720979</v>
      </c>
      <c r="K5">
        <f t="shared" si="2"/>
        <v>39209.3223955879</v>
      </c>
      <c r="L5">
        <f t="shared" si="3"/>
        <v>39209.3223955879</v>
      </c>
      <c r="M5">
        <f t="shared" si="4"/>
        <v>0</v>
      </c>
      <c r="N5" s="29">
        <f t="shared" si="5"/>
        <v>39209.3223955879</v>
      </c>
      <c r="O5" s="29">
        <f t="shared" si="6"/>
        <v>39206.347381453204</v>
      </c>
      <c r="P5" s="29">
        <f t="shared" si="7"/>
        <v>39206.347381453204</v>
      </c>
      <c r="Q5">
        <f t="shared" si="8"/>
        <v>0</v>
      </c>
      <c r="R5" s="29">
        <f t="shared" si="9"/>
        <v>39206.347381453204</v>
      </c>
      <c r="S5" s="29">
        <f t="shared" si="10"/>
        <v>39206.347381453175</v>
      </c>
      <c r="T5" s="29">
        <f t="shared" si="11"/>
        <v>39206.347381453175</v>
      </c>
      <c r="U5">
        <f t="shared" si="12"/>
        <v>0</v>
      </c>
      <c r="V5" s="29">
        <f t="shared" si="13"/>
        <v>39206.347381453175</v>
      </c>
      <c r="W5" s="29">
        <f t="shared" si="14"/>
        <v>39206.347381453175</v>
      </c>
      <c r="X5" s="29">
        <f t="shared" si="15"/>
        <v>39206.347381453175</v>
      </c>
      <c r="Y5">
        <f t="shared" si="16"/>
        <v>0</v>
      </c>
    </row>
    <row r="6" spans="1:26" x14ac:dyDescent="0.25">
      <c r="A6" s="4" t="s">
        <v>665</v>
      </c>
      <c r="B6" s="7" t="s">
        <v>262</v>
      </c>
      <c r="C6" s="2" t="s">
        <v>666</v>
      </c>
      <c r="D6">
        <f>VLOOKUP(B6,'Model allocations'!$A$1:$L$317,6,FALSE)</f>
        <v>0</v>
      </c>
      <c r="E6" s="31">
        <f>VLOOKUP(B6,'Initial adjusted formula count'!$A$1:$P$317,12,FALSE)</f>
        <v>0.18181818181818199</v>
      </c>
      <c r="F6">
        <f>VLOOKUP(B6,'Model allocations'!$A$1:$L$317,11,FALSE)</f>
        <v>11333.002058808988</v>
      </c>
      <c r="G6" s="30">
        <f t="shared" si="17"/>
        <v>0.9</v>
      </c>
      <c r="H6">
        <f t="shared" si="18"/>
        <v>0</v>
      </c>
      <c r="I6">
        <f t="shared" si="0"/>
        <v>0</v>
      </c>
      <c r="J6">
        <f t="shared" si="1"/>
        <v>11333.002058808988</v>
      </c>
      <c r="K6">
        <f t="shared" si="2"/>
        <v>11326.294675224621</v>
      </c>
      <c r="L6">
        <f t="shared" si="3"/>
        <v>11326.294675224621</v>
      </c>
      <c r="M6">
        <f t="shared" si="4"/>
        <v>0</v>
      </c>
      <c r="N6" s="29">
        <f t="shared" si="5"/>
        <v>11326.294675224621</v>
      </c>
      <c r="O6" s="29">
        <f t="shared" si="6"/>
        <v>11325.435290652438</v>
      </c>
      <c r="P6" s="29">
        <f t="shared" si="7"/>
        <v>11325.435290652438</v>
      </c>
      <c r="Q6">
        <f t="shared" si="8"/>
        <v>0</v>
      </c>
      <c r="R6" s="29">
        <f t="shared" si="9"/>
        <v>11325.435290652438</v>
      </c>
      <c r="S6" s="29">
        <f t="shared" si="10"/>
        <v>11325.435290652427</v>
      </c>
      <c r="T6" s="29">
        <f t="shared" si="11"/>
        <v>11325.435290652427</v>
      </c>
      <c r="U6">
        <f t="shared" si="12"/>
        <v>0</v>
      </c>
      <c r="V6" s="29">
        <f t="shared" si="13"/>
        <v>11325.435290652427</v>
      </c>
      <c r="W6" s="29">
        <f t="shared" si="14"/>
        <v>11325.435290652427</v>
      </c>
      <c r="X6" s="29">
        <f t="shared" si="15"/>
        <v>11325.435290652427</v>
      </c>
      <c r="Y6">
        <f t="shared" si="16"/>
        <v>0</v>
      </c>
    </row>
    <row r="7" spans="1:26" x14ac:dyDescent="0.25">
      <c r="A7" s="4" t="s">
        <v>667</v>
      </c>
      <c r="B7" s="7" t="s">
        <v>89</v>
      </c>
      <c r="C7" s="2" t="s">
        <v>668</v>
      </c>
      <c r="D7">
        <f>VLOOKUP(B7,'Model allocations'!$A$1:$L$317,6,FALSE)</f>
        <v>151041.02174067439</v>
      </c>
      <c r="E7" s="31">
        <f>VLOOKUP(B7,'Initial adjusted formula count'!$A$1:$P$317,12,FALSE)</f>
        <v>8.3602439899533601E-2</v>
      </c>
      <c r="F7">
        <f>VLOOKUP(B7,'Model allocations'!$A$1:$L$317,11,FALSE)</f>
        <v>132480.90266094188</v>
      </c>
      <c r="G7" s="30">
        <f t="shared" si="17"/>
        <v>0.85</v>
      </c>
      <c r="H7">
        <f t="shared" si="18"/>
        <v>128384.86847957323</v>
      </c>
      <c r="I7">
        <f t="shared" si="0"/>
        <v>0</v>
      </c>
      <c r="J7">
        <f t="shared" si="1"/>
        <v>132480.90266094188</v>
      </c>
      <c r="K7">
        <f t="shared" si="2"/>
        <v>132402.49446626063</v>
      </c>
      <c r="L7">
        <f t="shared" si="3"/>
        <v>132402.49446626063</v>
      </c>
      <c r="M7">
        <f t="shared" si="4"/>
        <v>0</v>
      </c>
      <c r="N7" s="29">
        <f t="shared" si="5"/>
        <v>132402.49446626063</v>
      </c>
      <c r="O7" s="29">
        <f t="shared" si="6"/>
        <v>132392.44840403766</v>
      </c>
      <c r="P7" s="29">
        <f t="shared" si="7"/>
        <v>132392.44840403766</v>
      </c>
      <c r="Q7">
        <f t="shared" si="8"/>
        <v>0</v>
      </c>
      <c r="R7" s="29">
        <f t="shared" si="9"/>
        <v>132392.44840403766</v>
      </c>
      <c r="S7" s="29">
        <f t="shared" si="10"/>
        <v>132392.44840403754</v>
      </c>
      <c r="T7" s="29">
        <f t="shared" si="11"/>
        <v>132392.44840403754</v>
      </c>
      <c r="U7">
        <f t="shared" si="12"/>
        <v>0</v>
      </c>
      <c r="V7" s="29">
        <f t="shared" si="13"/>
        <v>132392.44840403754</v>
      </c>
      <c r="W7" s="29">
        <f t="shared" si="14"/>
        <v>132392.44840403754</v>
      </c>
      <c r="X7" s="29">
        <f t="shared" si="15"/>
        <v>132392.44840403754</v>
      </c>
      <c r="Y7">
        <f t="shared" si="16"/>
        <v>0</v>
      </c>
    </row>
    <row r="8" spans="1:26" x14ac:dyDescent="0.25">
      <c r="A8" s="4" t="s">
        <v>669</v>
      </c>
      <c r="B8" s="7" t="s">
        <v>91</v>
      </c>
      <c r="C8" s="2" t="s">
        <v>670</v>
      </c>
      <c r="D8">
        <f>VLOOKUP(B8,'Model allocations'!$A$1:$L$317,6,FALSE)</f>
        <v>318487.24808988639</v>
      </c>
      <c r="E8" s="31">
        <f>VLOOKUP(B8,'Initial adjusted formula count'!$A$1:$P$317,12,FALSE)</f>
        <v>9.1137965760322195E-2</v>
      </c>
      <c r="F8">
        <f>VLOOKUP(B8,'Model allocations'!$A$1:$L$317,11,FALSE)</f>
        <v>308743.04783215199</v>
      </c>
      <c r="G8" s="30">
        <f t="shared" si="17"/>
        <v>0.85</v>
      </c>
      <c r="H8">
        <f t="shared" si="18"/>
        <v>270714.16087640345</v>
      </c>
      <c r="I8">
        <f t="shared" si="0"/>
        <v>0</v>
      </c>
      <c r="J8">
        <f t="shared" si="1"/>
        <v>308743.04783215199</v>
      </c>
      <c r="K8">
        <f t="shared" si="2"/>
        <v>308560.31972180039</v>
      </c>
      <c r="L8">
        <f t="shared" si="3"/>
        <v>308560.31972180039</v>
      </c>
      <c r="M8">
        <f t="shared" si="4"/>
        <v>0</v>
      </c>
      <c r="N8" s="29">
        <f t="shared" si="5"/>
        <v>308560.31972180039</v>
      </c>
      <c r="O8" s="29">
        <f t="shared" si="6"/>
        <v>308536.90765404474</v>
      </c>
      <c r="P8" s="29">
        <f t="shared" si="7"/>
        <v>308536.90765404474</v>
      </c>
      <c r="Q8">
        <f t="shared" si="8"/>
        <v>0</v>
      </c>
      <c r="R8" s="29">
        <f t="shared" si="9"/>
        <v>308536.90765404474</v>
      </c>
      <c r="S8" s="29">
        <f t="shared" si="10"/>
        <v>308536.90765404451</v>
      </c>
      <c r="T8" s="29">
        <f t="shared" si="11"/>
        <v>308536.90765404451</v>
      </c>
      <c r="U8">
        <f t="shared" si="12"/>
        <v>0</v>
      </c>
      <c r="V8" s="29">
        <f t="shared" si="13"/>
        <v>308536.90765404451</v>
      </c>
      <c r="W8" s="29">
        <f t="shared" si="14"/>
        <v>308536.90765404451</v>
      </c>
      <c r="X8" s="29">
        <f t="shared" si="15"/>
        <v>308536.90765404451</v>
      </c>
      <c r="Y8">
        <f t="shared" si="16"/>
        <v>0</v>
      </c>
    </row>
    <row r="9" spans="1:26" x14ac:dyDescent="0.25">
      <c r="A9" s="4" t="s">
        <v>671</v>
      </c>
      <c r="B9" s="7" t="s">
        <v>310</v>
      </c>
      <c r="C9" s="2" t="s">
        <v>672</v>
      </c>
      <c r="D9">
        <f>VLOOKUP(B9,'Model allocations'!$A$1:$L$317,6,FALSE)</f>
        <v>29459.828465911669</v>
      </c>
      <c r="E9" s="31">
        <f>VLOOKUP(B9,'Initial adjusted formula count'!$A$1:$P$317,12,FALSE)</f>
        <v>5.72597137014315E-2</v>
      </c>
      <c r="F9">
        <f>VLOOKUP(B9,'Model allocations'!$A$1:$L$317,11,FALSE)</f>
        <v>24953.145424760383</v>
      </c>
      <c r="G9" s="30">
        <f t="shared" si="17"/>
        <v>0.85</v>
      </c>
      <c r="H9">
        <f t="shared" si="18"/>
        <v>25040.854196024917</v>
      </c>
      <c r="I9">
        <f t="shared" si="0"/>
        <v>25040.854196024917</v>
      </c>
      <c r="J9">
        <f t="shared" si="1"/>
        <v>0</v>
      </c>
      <c r="K9">
        <f t="shared" si="2"/>
        <v>0</v>
      </c>
      <c r="L9">
        <f t="shared" si="3"/>
        <v>25040.854196024917</v>
      </c>
      <c r="M9">
        <f t="shared" si="4"/>
        <v>0</v>
      </c>
      <c r="N9" s="29">
        <f t="shared" si="5"/>
        <v>0</v>
      </c>
      <c r="O9" s="29">
        <f t="shared" si="6"/>
        <v>0</v>
      </c>
      <c r="P9" s="29">
        <f t="shared" si="7"/>
        <v>25040.854196024917</v>
      </c>
      <c r="Q9">
        <f t="shared" si="8"/>
        <v>0</v>
      </c>
      <c r="R9" s="29">
        <f t="shared" si="9"/>
        <v>0</v>
      </c>
      <c r="S9" s="29">
        <f t="shared" si="10"/>
        <v>0</v>
      </c>
      <c r="T9" s="29">
        <f t="shared" si="11"/>
        <v>25040.854196024917</v>
      </c>
      <c r="U9">
        <f t="shared" si="12"/>
        <v>0</v>
      </c>
      <c r="V9" s="29">
        <f t="shared" si="13"/>
        <v>0</v>
      </c>
      <c r="W9" s="29">
        <f t="shared" si="14"/>
        <v>0</v>
      </c>
      <c r="X9" s="29">
        <f t="shared" si="15"/>
        <v>25040.854196024917</v>
      </c>
      <c r="Y9">
        <f t="shared" si="16"/>
        <v>0</v>
      </c>
    </row>
    <row r="10" spans="1:26" x14ac:dyDescent="0.25">
      <c r="A10" s="4" t="s">
        <v>673</v>
      </c>
      <c r="B10" s="7" t="s">
        <v>312</v>
      </c>
      <c r="C10" s="2" t="s">
        <v>674</v>
      </c>
      <c r="D10">
        <f>VLOOKUP(B10,'Model allocations'!$A$1:$L$317,6,FALSE)</f>
        <v>2581556.9390021251</v>
      </c>
      <c r="E10" s="31">
        <f>VLOOKUP(B10,'Initial adjusted formula count'!$A$1:$P$317,12,FALSE)</f>
        <v>0.152858619376598</v>
      </c>
      <c r="F10">
        <f>VLOOKUP(B10,'Model allocations'!$A$1:$L$317,11,FALSE)</f>
        <v>2355942.5758609972</v>
      </c>
      <c r="G10" s="30">
        <f t="shared" si="17"/>
        <v>0.9</v>
      </c>
      <c r="H10">
        <f t="shared" si="18"/>
        <v>2323401.2451019124</v>
      </c>
      <c r="I10">
        <f t="shared" si="0"/>
        <v>0</v>
      </c>
      <c r="J10">
        <f t="shared" si="1"/>
        <v>2355942.5758609972</v>
      </c>
      <c r="K10">
        <f t="shared" si="2"/>
        <v>2354548.2224075133</v>
      </c>
      <c r="L10">
        <f t="shared" si="3"/>
        <v>2354548.2224075133</v>
      </c>
      <c r="M10">
        <f t="shared" si="4"/>
        <v>0</v>
      </c>
      <c r="N10" s="29">
        <f t="shared" si="5"/>
        <v>2354548.2224075133</v>
      </c>
      <c r="O10" s="29">
        <f t="shared" si="6"/>
        <v>2354369.5706529175</v>
      </c>
      <c r="P10" s="29">
        <f t="shared" si="7"/>
        <v>2354369.5706529175</v>
      </c>
      <c r="Q10">
        <f t="shared" si="8"/>
        <v>0</v>
      </c>
      <c r="R10" s="29">
        <f t="shared" si="9"/>
        <v>2354369.5706529175</v>
      </c>
      <c r="S10" s="29">
        <f t="shared" si="10"/>
        <v>2354369.5706529156</v>
      </c>
      <c r="T10" s="29">
        <f t="shared" si="11"/>
        <v>2354369.5706529156</v>
      </c>
      <c r="U10">
        <f t="shared" si="12"/>
        <v>0</v>
      </c>
      <c r="V10" s="29">
        <f t="shared" si="13"/>
        <v>2354369.5706529156</v>
      </c>
      <c r="W10" s="29">
        <f t="shared" si="14"/>
        <v>2354369.5706529156</v>
      </c>
      <c r="X10" s="29">
        <f t="shared" si="15"/>
        <v>2354369.5706529156</v>
      </c>
      <c r="Y10">
        <f t="shared" si="16"/>
        <v>0</v>
      </c>
    </row>
    <row r="11" spans="1:26" x14ac:dyDescent="0.25">
      <c r="A11" s="4" t="s">
        <v>675</v>
      </c>
      <c r="B11" s="7" t="s">
        <v>93</v>
      </c>
      <c r="C11" s="2" t="s">
        <v>676</v>
      </c>
      <c r="D11">
        <f>VLOOKUP(B11,'Model allocations'!$A$1:$L$317,6,FALSE)</f>
        <v>0</v>
      </c>
      <c r="E11" s="31">
        <f>VLOOKUP(B11,'Initial adjusted formula count'!$A$1:$P$317,12,FALSE)</f>
        <v>3.7764350453172203E-2</v>
      </c>
      <c r="F11">
        <f>VLOOKUP(B11,'Model allocations'!$A$1:$L$317,11,FALSE)</f>
        <v>0</v>
      </c>
      <c r="G11" s="30">
        <f t="shared" si="17"/>
        <v>0.85</v>
      </c>
      <c r="H11">
        <f t="shared" si="18"/>
        <v>0</v>
      </c>
      <c r="I11">
        <f t="shared" si="0"/>
        <v>0</v>
      </c>
      <c r="J11">
        <f t="shared" si="1"/>
        <v>0</v>
      </c>
      <c r="K11">
        <f t="shared" si="2"/>
        <v>0</v>
      </c>
      <c r="L11">
        <f t="shared" si="3"/>
        <v>0</v>
      </c>
      <c r="M11">
        <f t="shared" si="4"/>
        <v>0</v>
      </c>
      <c r="N11" s="29">
        <f t="shared" si="5"/>
        <v>0</v>
      </c>
      <c r="O11" s="29">
        <f t="shared" si="6"/>
        <v>0</v>
      </c>
      <c r="P11" s="29">
        <f t="shared" si="7"/>
        <v>0</v>
      </c>
      <c r="Q11">
        <f t="shared" si="8"/>
        <v>0</v>
      </c>
      <c r="R11" s="29">
        <f t="shared" si="9"/>
        <v>0</v>
      </c>
      <c r="S11" s="29">
        <f t="shared" si="10"/>
        <v>0</v>
      </c>
      <c r="T11" s="29">
        <f t="shared" si="11"/>
        <v>0</v>
      </c>
      <c r="U11">
        <f t="shared" si="12"/>
        <v>0</v>
      </c>
      <c r="V11" s="29">
        <f t="shared" si="13"/>
        <v>0</v>
      </c>
      <c r="W11" s="29">
        <f t="shared" si="14"/>
        <v>0</v>
      </c>
      <c r="X11" s="29">
        <f t="shared" si="15"/>
        <v>0</v>
      </c>
      <c r="Y11">
        <f t="shared" si="16"/>
        <v>0</v>
      </c>
    </row>
    <row r="12" spans="1:26" x14ac:dyDescent="0.25">
      <c r="A12" s="4" t="s">
        <v>677</v>
      </c>
      <c r="B12" s="7" t="s">
        <v>95</v>
      </c>
      <c r="C12" s="2" t="s">
        <v>678</v>
      </c>
      <c r="D12">
        <f>VLOOKUP(B12,'Model allocations'!$A$1:$L$317,6,FALSE)</f>
        <v>619807.17233359464</v>
      </c>
      <c r="E12" s="31">
        <f>VLOOKUP(B12,'Initial adjusted formula count'!$A$1:$P$317,12,FALSE)</f>
        <v>5.6461731493099097E-2</v>
      </c>
      <c r="F12">
        <f>VLOOKUP(B12,'Model allocations'!$A$1:$L$317,11,FALSE)</f>
        <v>571146.20911122789</v>
      </c>
      <c r="G12" s="30">
        <f t="shared" si="17"/>
        <v>0.85</v>
      </c>
      <c r="H12">
        <f t="shared" si="18"/>
        <v>526836.09648355539</v>
      </c>
      <c r="I12">
        <f t="shared" si="0"/>
        <v>0</v>
      </c>
      <c r="J12">
        <f t="shared" si="1"/>
        <v>571146.20911122789</v>
      </c>
      <c r="K12">
        <f t="shared" si="2"/>
        <v>570808.17893287027</v>
      </c>
      <c r="L12">
        <f t="shared" si="3"/>
        <v>570808.17893287027</v>
      </c>
      <c r="M12">
        <f t="shared" si="4"/>
        <v>0</v>
      </c>
      <c r="N12" s="29">
        <f t="shared" si="5"/>
        <v>570808.17893287027</v>
      </c>
      <c r="O12" s="29">
        <f t="shared" si="6"/>
        <v>570764.86876332969</v>
      </c>
      <c r="P12" s="29">
        <f t="shared" si="7"/>
        <v>570764.86876332969</v>
      </c>
      <c r="Q12">
        <f t="shared" si="8"/>
        <v>0</v>
      </c>
      <c r="R12" s="29">
        <f t="shared" si="9"/>
        <v>570764.86876332969</v>
      </c>
      <c r="S12" s="29">
        <f t="shared" si="10"/>
        <v>570764.86876332923</v>
      </c>
      <c r="T12" s="29">
        <f t="shared" si="11"/>
        <v>570764.86876332923</v>
      </c>
      <c r="U12">
        <f t="shared" si="12"/>
        <v>0</v>
      </c>
      <c r="V12" s="29">
        <f t="shared" si="13"/>
        <v>570764.86876332923</v>
      </c>
      <c r="W12" s="29">
        <f t="shared" si="14"/>
        <v>570764.86876332923</v>
      </c>
      <c r="X12" s="29">
        <f t="shared" si="15"/>
        <v>570764.86876332923</v>
      </c>
      <c r="Y12">
        <f t="shared" si="16"/>
        <v>0</v>
      </c>
    </row>
    <row r="13" spans="1:26" x14ac:dyDescent="0.25">
      <c r="A13" s="4" t="s">
        <v>679</v>
      </c>
      <c r="B13" s="7" t="s">
        <v>97</v>
      </c>
      <c r="C13" s="2" t="s">
        <v>680</v>
      </c>
      <c r="D13">
        <f>VLOOKUP(B13,'Model allocations'!$A$1:$L$317,6,FALSE)</f>
        <v>951920.70730477036</v>
      </c>
      <c r="E13" s="31">
        <f>VLOOKUP(B13,'Initial adjusted formula count'!$A$1:$P$317,12,FALSE)</f>
        <v>6.5075343379117204E-2</v>
      </c>
      <c r="F13">
        <f>VLOOKUP(B13,'Model allocations'!$A$1:$L$317,11,FALSE)</f>
        <v>1052171.2891591112</v>
      </c>
      <c r="G13" s="30">
        <f t="shared" si="17"/>
        <v>0.85</v>
      </c>
      <c r="H13">
        <f t="shared" si="18"/>
        <v>809132.60120905482</v>
      </c>
      <c r="I13">
        <f t="shared" si="0"/>
        <v>0</v>
      </c>
      <c r="J13">
        <f t="shared" si="1"/>
        <v>1052171.2891591112</v>
      </c>
      <c r="K13">
        <f t="shared" si="2"/>
        <v>1051548.5665657306</v>
      </c>
      <c r="L13">
        <f t="shared" si="3"/>
        <v>1051548.5665657306</v>
      </c>
      <c r="M13">
        <f t="shared" si="4"/>
        <v>0</v>
      </c>
      <c r="N13" s="29">
        <f t="shared" si="5"/>
        <v>1051548.5665657306</v>
      </c>
      <c r="O13" s="29">
        <f t="shared" si="6"/>
        <v>1051468.7801359298</v>
      </c>
      <c r="P13" s="29">
        <f t="shared" si="7"/>
        <v>1051468.7801359298</v>
      </c>
      <c r="Q13">
        <f t="shared" si="8"/>
        <v>0</v>
      </c>
      <c r="R13" s="29">
        <f t="shared" si="9"/>
        <v>1051468.7801359298</v>
      </c>
      <c r="S13" s="29">
        <f t="shared" si="10"/>
        <v>1051468.7801359289</v>
      </c>
      <c r="T13" s="29">
        <f t="shared" si="11"/>
        <v>1051468.7801359289</v>
      </c>
      <c r="U13">
        <f t="shared" si="12"/>
        <v>0</v>
      </c>
      <c r="V13" s="29">
        <f t="shared" si="13"/>
        <v>1051468.7801359289</v>
      </c>
      <c r="W13" s="29">
        <f t="shared" si="14"/>
        <v>1051468.7801359289</v>
      </c>
      <c r="X13" s="29">
        <f t="shared" si="15"/>
        <v>1051468.7801359289</v>
      </c>
      <c r="Y13">
        <f t="shared" si="16"/>
        <v>0</v>
      </c>
    </row>
    <row r="14" spans="1:26" x14ac:dyDescent="0.25">
      <c r="A14" s="4" t="s">
        <v>14</v>
      </c>
      <c r="B14" s="7" t="s">
        <v>56</v>
      </c>
      <c r="C14" s="2" t="s">
        <v>681</v>
      </c>
      <c r="D14">
        <f>VLOOKUP(B14,'Model allocations'!$A$1:$L$317,6,FALSE)</f>
        <v>1084327.7651209484</v>
      </c>
      <c r="E14" s="31">
        <f>VLOOKUP(B14,'Initial adjusted formula count'!$A$1:$P$317,12,FALSE)</f>
        <v>0.107499112021232</v>
      </c>
      <c r="F14">
        <f>VLOOKUP(B14,'Model allocations'!$A$1:$L$317,11,FALSE)</f>
        <v>946540.53195028671</v>
      </c>
      <c r="G14" s="30">
        <f t="shared" si="17"/>
        <v>0.85</v>
      </c>
      <c r="H14">
        <f t="shared" si="18"/>
        <v>921678.60035280616</v>
      </c>
      <c r="I14">
        <f t="shared" si="0"/>
        <v>0</v>
      </c>
      <c r="J14">
        <f t="shared" si="1"/>
        <v>946540.53195028671</v>
      </c>
      <c r="K14">
        <f t="shared" si="2"/>
        <v>945980.32642018993</v>
      </c>
      <c r="L14">
        <f t="shared" si="3"/>
        <v>945980.32642018993</v>
      </c>
      <c r="M14">
        <f t="shared" si="4"/>
        <v>0</v>
      </c>
      <c r="N14" s="29">
        <f t="shared" si="5"/>
        <v>945980.32642018993</v>
      </c>
      <c r="O14" s="29">
        <f t="shared" si="6"/>
        <v>945908.54999891308</v>
      </c>
      <c r="P14" s="29">
        <f t="shared" si="7"/>
        <v>945908.54999891308</v>
      </c>
      <c r="Q14">
        <f t="shared" si="8"/>
        <v>0</v>
      </c>
      <c r="R14" s="29">
        <f t="shared" si="9"/>
        <v>945908.54999891308</v>
      </c>
      <c r="S14" s="29">
        <f t="shared" si="10"/>
        <v>945908.54999891226</v>
      </c>
      <c r="T14" s="29">
        <f t="shared" si="11"/>
        <v>945908.54999891226</v>
      </c>
      <c r="U14">
        <f t="shared" si="12"/>
        <v>0</v>
      </c>
      <c r="V14" s="29">
        <f t="shared" si="13"/>
        <v>945908.54999891226</v>
      </c>
      <c r="W14" s="29">
        <f t="shared" si="14"/>
        <v>945908.54999891226</v>
      </c>
      <c r="X14" s="29">
        <f t="shared" si="15"/>
        <v>945908.54999891226</v>
      </c>
      <c r="Y14">
        <f t="shared" si="16"/>
        <v>0</v>
      </c>
    </row>
    <row r="15" spans="1:26" x14ac:dyDescent="0.25">
      <c r="A15" s="4" t="s">
        <v>682</v>
      </c>
      <c r="B15" s="7" t="s">
        <v>99</v>
      </c>
      <c r="C15" s="2" t="s">
        <v>683</v>
      </c>
      <c r="D15">
        <f>VLOOKUP(B15,'Model allocations'!$A$1:$L$317,6,FALSE)</f>
        <v>0</v>
      </c>
      <c r="E15" s="31">
        <f>VLOOKUP(B15,'Initial adjusted formula count'!$A$1:$P$317,12,FALSE)</f>
        <v>0.125</v>
      </c>
      <c r="F15">
        <f>VLOOKUP(B15,'Model allocations'!$A$1:$L$317,11,FALSE)</f>
        <v>0</v>
      </c>
      <c r="G15" s="30">
        <f t="shared" si="17"/>
        <v>0.85</v>
      </c>
      <c r="H15">
        <f t="shared" si="18"/>
        <v>0</v>
      </c>
      <c r="I15">
        <f t="shared" si="0"/>
        <v>0</v>
      </c>
      <c r="J15">
        <f t="shared" si="1"/>
        <v>0</v>
      </c>
      <c r="K15">
        <f t="shared" si="2"/>
        <v>0</v>
      </c>
      <c r="L15">
        <f t="shared" si="3"/>
        <v>0</v>
      </c>
      <c r="M15">
        <f t="shared" si="4"/>
        <v>0</v>
      </c>
      <c r="N15" s="29">
        <f t="shared" si="5"/>
        <v>0</v>
      </c>
      <c r="O15" s="29">
        <f t="shared" si="6"/>
        <v>0</v>
      </c>
      <c r="P15" s="29">
        <f t="shared" si="7"/>
        <v>0</v>
      </c>
      <c r="Q15">
        <f t="shared" si="8"/>
        <v>0</v>
      </c>
      <c r="R15" s="29">
        <f t="shared" si="9"/>
        <v>0</v>
      </c>
      <c r="S15" s="29">
        <f t="shared" si="10"/>
        <v>0</v>
      </c>
      <c r="T15" s="29">
        <f t="shared" si="11"/>
        <v>0</v>
      </c>
      <c r="U15">
        <f t="shared" si="12"/>
        <v>0</v>
      </c>
      <c r="V15" s="29">
        <f t="shared" si="13"/>
        <v>0</v>
      </c>
      <c r="W15" s="29">
        <f t="shared" si="14"/>
        <v>0</v>
      </c>
      <c r="X15" s="29">
        <f t="shared" si="15"/>
        <v>0</v>
      </c>
      <c r="Y15">
        <f t="shared" si="16"/>
        <v>0</v>
      </c>
    </row>
    <row r="16" spans="1:26" x14ac:dyDescent="0.25">
      <c r="A16" s="4" t="s">
        <v>684</v>
      </c>
      <c r="B16" s="7" t="s">
        <v>264</v>
      </c>
      <c r="C16" s="2" t="s">
        <v>685</v>
      </c>
      <c r="D16">
        <f>VLOOKUP(B16,'Model allocations'!$A$1:$L$317,6,FALSE)</f>
        <v>1764690.8888390777</v>
      </c>
      <c r="E16" s="31">
        <f>VLOOKUP(B16,'Initial adjusted formula count'!$A$1:$P$317,12,FALSE)</f>
        <v>0.103161876567575</v>
      </c>
      <c r="F16">
        <f>VLOOKUP(B16,'Model allocations'!$A$1:$L$317,11,FALSE)</f>
        <v>2013652.8616898095</v>
      </c>
      <c r="G16" s="30">
        <f t="shared" si="17"/>
        <v>0.85</v>
      </c>
      <c r="H16">
        <f t="shared" si="18"/>
        <v>1499987.2555132159</v>
      </c>
      <c r="I16">
        <f t="shared" si="0"/>
        <v>0</v>
      </c>
      <c r="J16">
        <f t="shared" si="1"/>
        <v>2013652.8616898095</v>
      </c>
      <c r="K16">
        <f t="shared" si="2"/>
        <v>2012461.09078224</v>
      </c>
      <c r="L16">
        <f t="shared" si="3"/>
        <v>2012461.09078224</v>
      </c>
      <c r="M16">
        <f t="shared" si="4"/>
        <v>0</v>
      </c>
      <c r="N16" s="29">
        <f t="shared" si="5"/>
        <v>2012461.09078224</v>
      </c>
      <c r="O16" s="29">
        <f t="shared" si="6"/>
        <v>2012308.3949480655</v>
      </c>
      <c r="P16" s="29">
        <f t="shared" si="7"/>
        <v>2012308.3949480655</v>
      </c>
      <c r="Q16">
        <f t="shared" si="8"/>
        <v>0</v>
      </c>
      <c r="R16" s="29">
        <f t="shared" si="9"/>
        <v>2012308.3949480655</v>
      </c>
      <c r="S16" s="29">
        <f t="shared" si="10"/>
        <v>2012308.3949480637</v>
      </c>
      <c r="T16" s="29">
        <f t="shared" si="11"/>
        <v>2012308.3949480637</v>
      </c>
      <c r="U16">
        <f t="shared" si="12"/>
        <v>0</v>
      </c>
      <c r="V16" s="29">
        <f t="shared" si="13"/>
        <v>2012308.3949480637</v>
      </c>
      <c r="W16" s="29">
        <f t="shared" si="14"/>
        <v>2012308.3949480637</v>
      </c>
      <c r="X16" s="29">
        <f t="shared" si="15"/>
        <v>2012308.3949480637</v>
      </c>
      <c r="Y16">
        <f t="shared" si="16"/>
        <v>0</v>
      </c>
    </row>
    <row r="17" spans="1:25" x14ac:dyDescent="0.25">
      <c r="A17" s="4" t="s">
        <v>686</v>
      </c>
      <c r="B17" s="7" t="s">
        <v>314</v>
      </c>
      <c r="C17" s="2" t="s">
        <v>687</v>
      </c>
      <c r="D17">
        <f>VLOOKUP(B17,'Model allocations'!$A$1:$L$317,6,FALSE)</f>
        <v>8294.7639984994967</v>
      </c>
      <c r="E17" s="31">
        <f>VLOOKUP(B17,'Initial adjusted formula count'!$A$1:$P$317,12,FALSE)</f>
        <v>0.113924050632911</v>
      </c>
      <c r="F17">
        <f>VLOOKUP(B17,'Model allocations'!$A$1:$L$317,11,FALSE)</f>
        <v>0</v>
      </c>
      <c r="G17" s="30">
        <f t="shared" si="17"/>
        <v>0.85</v>
      </c>
      <c r="H17">
        <f t="shared" si="18"/>
        <v>0</v>
      </c>
      <c r="I17">
        <f t="shared" si="0"/>
        <v>0</v>
      </c>
      <c r="J17">
        <f t="shared" si="1"/>
        <v>0</v>
      </c>
      <c r="K17">
        <f t="shared" si="2"/>
        <v>0</v>
      </c>
      <c r="L17">
        <f t="shared" si="3"/>
        <v>0</v>
      </c>
      <c r="M17">
        <f t="shared" si="4"/>
        <v>0</v>
      </c>
      <c r="N17" s="29">
        <f t="shared" si="5"/>
        <v>0</v>
      </c>
      <c r="O17" s="29">
        <f t="shared" si="6"/>
        <v>0</v>
      </c>
      <c r="P17" s="29">
        <f t="shared" si="7"/>
        <v>0</v>
      </c>
      <c r="Q17">
        <f t="shared" si="8"/>
        <v>0</v>
      </c>
      <c r="R17" s="29">
        <f t="shared" si="9"/>
        <v>0</v>
      </c>
      <c r="S17" s="29">
        <f t="shared" si="10"/>
        <v>0</v>
      </c>
      <c r="T17" s="29">
        <f t="shared" si="11"/>
        <v>0</v>
      </c>
      <c r="U17">
        <f t="shared" si="12"/>
        <v>0</v>
      </c>
      <c r="V17" s="29">
        <f t="shared" si="13"/>
        <v>0</v>
      </c>
      <c r="W17" s="29">
        <f t="shared" si="14"/>
        <v>0</v>
      </c>
      <c r="X17" s="29">
        <f t="shared" si="15"/>
        <v>0</v>
      </c>
      <c r="Y17">
        <f t="shared" si="16"/>
        <v>0</v>
      </c>
    </row>
    <row r="18" spans="1:25" x14ac:dyDescent="0.25">
      <c r="A18" s="4" t="s">
        <v>688</v>
      </c>
      <c r="B18" s="7" t="s">
        <v>316</v>
      </c>
      <c r="C18" s="2" t="s">
        <v>689</v>
      </c>
      <c r="D18">
        <f>VLOOKUP(B18,'Model allocations'!$A$1:$L$317,6,FALSE)</f>
        <v>179060.51989436932</v>
      </c>
      <c r="E18" s="31">
        <f>VLOOKUP(B18,'Initial adjusted formula count'!$A$1:$P$317,12,FALSE)</f>
        <v>0.123840258168616</v>
      </c>
      <c r="F18">
        <f>VLOOKUP(B18,'Model allocations'!$A$1:$L$317,11,FALSE)</f>
        <v>174556.38247600492</v>
      </c>
      <c r="G18" s="30">
        <f t="shared" si="17"/>
        <v>0.85</v>
      </c>
      <c r="H18">
        <f t="shared" si="18"/>
        <v>152201.44191021394</v>
      </c>
      <c r="I18">
        <f t="shared" si="0"/>
        <v>0</v>
      </c>
      <c r="J18">
        <f t="shared" si="1"/>
        <v>174556.38247600492</v>
      </c>
      <c r="K18">
        <f t="shared" si="2"/>
        <v>174453.07210790558</v>
      </c>
      <c r="L18">
        <f t="shared" si="3"/>
        <v>174453.07210790558</v>
      </c>
      <c r="M18">
        <f t="shared" si="4"/>
        <v>0</v>
      </c>
      <c r="N18" s="29">
        <f t="shared" si="5"/>
        <v>174453.07210790558</v>
      </c>
      <c r="O18" s="29">
        <f t="shared" si="6"/>
        <v>174439.83545081349</v>
      </c>
      <c r="P18" s="29">
        <f t="shared" si="7"/>
        <v>174439.83545081349</v>
      </c>
      <c r="Q18">
        <f t="shared" si="8"/>
        <v>0</v>
      </c>
      <c r="R18" s="29">
        <f t="shared" si="9"/>
        <v>174439.83545081349</v>
      </c>
      <c r="S18" s="29">
        <f t="shared" si="10"/>
        <v>174439.83545081335</v>
      </c>
      <c r="T18" s="29">
        <f t="shared" si="11"/>
        <v>174439.83545081335</v>
      </c>
      <c r="U18">
        <f t="shared" si="12"/>
        <v>0</v>
      </c>
      <c r="V18" s="29">
        <f t="shared" si="13"/>
        <v>174439.83545081335</v>
      </c>
      <c r="W18" s="29">
        <f t="shared" si="14"/>
        <v>174439.83545081335</v>
      </c>
      <c r="X18" s="29">
        <f t="shared" si="15"/>
        <v>174439.83545081335</v>
      </c>
      <c r="Y18">
        <f t="shared" si="16"/>
        <v>0</v>
      </c>
    </row>
    <row r="19" spans="1:25" x14ac:dyDescent="0.25">
      <c r="A19" s="4" t="s">
        <v>690</v>
      </c>
      <c r="B19" s="7" t="s">
        <v>318</v>
      </c>
      <c r="C19" s="2" t="s">
        <v>691</v>
      </c>
      <c r="D19">
        <f>VLOOKUP(B19,'Model allocations'!$A$1:$L$317,6,FALSE)</f>
        <v>15839.507897898438</v>
      </c>
      <c r="E19" s="31">
        <f>VLOOKUP(B19,'Initial adjusted formula count'!$A$1:$P$317,12,FALSE)</f>
        <v>0.11009174311926601</v>
      </c>
      <c r="F19">
        <f>VLOOKUP(B19,'Model allocations'!$A$1:$L$317,11,FALSE)</f>
        <v>13646.101561642079</v>
      </c>
      <c r="G19" s="30">
        <f t="shared" si="17"/>
        <v>0.85</v>
      </c>
      <c r="H19">
        <f t="shared" si="18"/>
        <v>13463.581713213673</v>
      </c>
      <c r="I19">
        <f t="shared" si="0"/>
        <v>0</v>
      </c>
      <c r="J19">
        <f t="shared" si="1"/>
        <v>13646.101561642079</v>
      </c>
      <c r="K19">
        <f t="shared" si="2"/>
        <v>13638.025181074052</v>
      </c>
      <c r="L19">
        <f t="shared" si="3"/>
        <v>13638.025181074052</v>
      </c>
      <c r="M19">
        <f t="shared" si="4"/>
        <v>0</v>
      </c>
      <c r="N19" s="29">
        <f t="shared" si="5"/>
        <v>13638.025181074052</v>
      </c>
      <c r="O19" s="29">
        <f t="shared" si="6"/>
        <v>13636.99039354894</v>
      </c>
      <c r="P19" s="29">
        <f t="shared" si="7"/>
        <v>13636.99039354894</v>
      </c>
      <c r="Q19">
        <f t="shared" si="8"/>
        <v>0</v>
      </c>
      <c r="R19" s="29">
        <f t="shared" si="9"/>
        <v>13636.99039354894</v>
      </c>
      <c r="S19" s="29">
        <f t="shared" si="10"/>
        <v>13636.990393548929</v>
      </c>
      <c r="T19" s="29">
        <f t="shared" si="11"/>
        <v>13636.990393548929</v>
      </c>
      <c r="U19">
        <f t="shared" si="12"/>
        <v>0</v>
      </c>
      <c r="V19" s="29">
        <f t="shared" si="13"/>
        <v>13636.990393548929</v>
      </c>
      <c r="W19" s="29">
        <f t="shared" si="14"/>
        <v>13636.990393548929</v>
      </c>
      <c r="X19" s="29">
        <f t="shared" si="15"/>
        <v>13636.990393548929</v>
      </c>
      <c r="Y19">
        <f t="shared" si="16"/>
        <v>0</v>
      </c>
    </row>
    <row r="20" spans="1:25" x14ac:dyDescent="0.25">
      <c r="A20" s="4" t="s">
        <v>10</v>
      </c>
      <c r="B20" s="7" t="s">
        <v>55</v>
      </c>
      <c r="C20" s="2" t="s">
        <v>692</v>
      </c>
      <c r="D20">
        <f>VLOOKUP(B20,'Model allocations'!$A$1:$L$317,6,FALSE)</f>
        <v>629644.29048974381</v>
      </c>
      <c r="E20" s="31">
        <f>VLOOKUP(B20,'Initial adjusted formula count'!$A$1:$P$317,12,FALSE)</f>
        <v>0.16207927174450701</v>
      </c>
      <c r="F20">
        <f>VLOOKUP(B20,'Model allocations'!$A$1:$L$317,11,FALSE)</f>
        <v>562811.60775244737</v>
      </c>
      <c r="G20" s="30">
        <f t="shared" si="17"/>
        <v>0.9</v>
      </c>
      <c r="H20">
        <f t="shared" si="18"/>
        <v>566679.8614407694</v>
      </c>
      <c r="I20">
        <f t="shared" si="0"/>
        <v>566679.8614407694</v>
      </c>
      <c r="J20">
        <f t="shared" si="1"/>
        <v>0</v>
      </c>
      <c r="K20">
        <f t="shared" si="2"/>
        <v>0</v>
      </c>
      <c r="L20">
        <f t="shared" si="3"/>
        <v>566679.8614407694</v>
      </c>
      <c r="M20">
        <f t="shared" si="4"/>
        <v>0</v>
      </c>
      <c r="N20" s="29">
        <f t="shared" si="5"/>
        <v>0</v>
      </c>
      <c r="O20" s="29">
        <f t="shared" si="6"/>
        <v>0</v>
      </c>
      <c r="P20" s="29">
        <f t="shared" si="7"/>
        <v>566679.8614407694</v>
      </c>
      <c r="Q20">
        <f t="shared" si="8"/>
        <v>0</v>
      </c>
      <c r="R20" s="29">
        <f t="shared" si="9"/>
        <v>0</v>
      </c>
      <c r="S20" s="29">
        <f t="shared" si="10"/>
        <v>0</v>
      </c>
      <c r="T20" s="29">
        <f t="shared" si="11"/>
        <v>566679.8614407694</v>
      </c>
      <c r="U20">
        <f t="shared" si="12"/>
        <v>0</v>
      </c>
      <c r="V20" s="29">
        <f t="shared" si="13"/>
        <v>0</v>
      </c>
      <c r="W20" s="29">
        <f t="shared" si="14"/>
        <v>0</v>
      </c>
      <c r="X20" s="29">
        <f t="shared" si="15"/>
        <v>566679.8614407694</v>
      </c>
      <c r="Y20">
        <f t="shared" si="16"/>
        <v>0</v>
      </c>
    </row>
    <row r="21" spans="1:25" x14ac:dyDescent="0.25">
      <c r="A21" s="4" t="s">
        <v>693</v>
      </c>
      <c r="B21" s="7" t="s">
        <v>320</v>
      </c>
      <c r="C21" s="2" t="s">
        <v>694</v>
      </c>
      <c r="D21">
        <f>VLOOKUP(B21,'Model allocations'!$A$1:$L$317,6,FALSE)</f>
        <v>184971.87213735111</v>
      </c>
      <c r="E21" s="31">
        <f>VLOOKUP(B21,'Initial adjusted formula count'!$A$1:$P$317,12,FALSE)</f>
        <v>0.255005268703899</v>
      </c>
      <c r="F21">
        <f>VLOOKUP(B21,'Model allocations'!$A$1:$L$317,11,FALSE)</f>
        <v>191466.98689841991</v>
      </c>
      <c r="G21" s="30">
        <f t="shared" si="17"/>
        <v>0.9</v>
      </c>
      <c r="H21">
        <f t="shared" si="18"/>
        <v>166474.68492361601</v>
      </c>
      <c r="I21">
        <f t="shared" si="0"/>
        <v>0</v>
      </c>
      <c r="J21">
        <f t="shared" si="1"/>
        <v>191466.98689841991</v>
      </c>
      <c r="K21">
        <f t="shared" si="2"/>
        <v>191353.66806919826</v>
      </c>
      <c r="L21">
        <f t="shared" si="3"/>
        <v>191353.66806919826</v>
      </c>
      <c r="M21">
        <f t="shared" si="4"/>
        <v>0</v>
      </c>
      <c r="N21" s="29">
        <f t="shared" si="5"/>
        <v>191353.66806919826</v>
      </c>
      <c r="O21" s="29">
        <f t="shared" si="6"/>
        <v>191339.14907645748</v>
      </c>
      <c r="P21" s="29">
        <f t="shared" si="7"/>
        <v>191339.14907645748</v>
      </c>
      <c r="Q21">
        <f t="shared" si="8"/>
        <v>0</v>
      </c>
      <c r="R21" s="29">
        <f t="shared" si="9"/>
        <v>191339.14907645748</v>
      </c>
      <c r="S21" s="29">
        <f t="shared" si="10"/>
        <v>191339.14907645734</v>
      </c>
      <c r="T21" s="29">
        <f t="shared" si="11"/>
        <v>191339.14907645734</v>
      </c>
      <c r="U21">
        <f t="shared" si="12"/>
        <v>0</v>
      </c>
      <c r="V21" s="29">
        <f t="shared" si="13"/>
        <v>191339.14907645734</v>
      </c>
      <c r="W21" s="29">
        <f t="shared" si="14"/>
        <v>191339.14907645734</v>
      </c>
      <c r="X21" s="29">
        <f t="shared" si="15"/>
        <v>191339.14907645734</v>
      </c>
      <c r="Y21">
        <f t="shared" si="16"/>
        <v>0</v>
      </c>
    </row>
    <row r="22" spans="1:25" x14ac:dyDescent="0.25">
      <c r="A22" s="4" t="s">
        <v>695</v>
      </c>
      <c r="B22" s="7" t="s">
        <v>322</v>
      </c>
      <c r="C22" s="2" t="s">
        <v>696</v>
      </c>
      <c r="D22">
        <f>VLOOKUP(B22,'Model allocations'!$A$1:$L$317,6,FALSE)</f>
        <v>152126.84464236131</v>
      </c>
      <c r="E22" s="31">
        <f>VLOOKUP(B22,'Initial adjusted formula count'!$A$1:$P$317,12,FALSE)</f>
        <v>0.22727272727272699</v>
      </c>
      <c r="F22">
        <f>VLOOKUP(B22,'Model allocations'!$A$1:$L$317,11,FALSE)</f>
        <v>136914.16017812517</v>
      </c>
      <c r="G22" s="30">
        <f t="shared" si="17"/>
        <v>0.9</v>
      </c>
      <c r="H22">
        <f t="shared" si="18"/>
        <v>136914.16017812517</v>
      </c>
      <c r="I22">
        <f t="shared" si="0"/>
        <v>0</v>
      </c>
      <c r="J22">
        <f t="shared" si="1"/>
        <v>136914.16017812517</v>
      </c>
      <c r="K22">
        <f t="shared" si="2"/>
        <v>136833.1281809826</v>
      </c>
      <c r="L22">
        <f t="shared" si="3"/>
        <v>136833.1281809826</v>
      </c>
      <c r="M22">
        <f t="shared" si="4"/>
        <v>136914.16017812517</v>
      </c>
      <c r="N22" s="29">
        <f t="shared" si="5"/>
        <v>0</v>
      </c>
      <c r="O22" s="29">
        <f t="shared" si="6"/>
        <v>0</v>
      </c>
      <c r="P22" s="29">
        <f t="shared" si="7"/>
        <v>136914.16017812517</v>
      </c>
      <c r="Q22">
        <f t="shared" si="8"/>
        <v>0</v>
      </c>
      <c r="R22" s="29">
        <f t="shared" si="9"/>
        <v>0</v>
      </c>
      <c r="S22" s="29">
        <f t="shared" si="10"/>
        <v>0</v>
      </c>
      <c r="T22" s="29">
        <f t="shared" si="11"/>
        <v>136914.16017812517</v>
      </c>
      <c r="U22">
        <f t="shared" si="12"/>
        <v>0</v>
      </c>
      <c r="V22" s="29">
        <f t="shared" si="13"/>
        <v>0</v>
      </c>
      <c r="W22" s="29">
        <f t="shared" si="14"/>
        <v>0</v>
      </c>
      <c r="X22" s="29">
        <f t="shared" si="15"/>
        <v>136914.16017812517</v>
      </c>
      <c r="Y22">
        <f t="shared" si="16"/>
        <v>0</v>
      </c>
    </row>
    <row r="23" spans="1:25" x14ac:dyDescent="0.25">
      <c r="A23" s="4" t="s">
        <v>697</v>
      </c>
      <c r="B23" s="7" t="s">
        <v>324</v>
      </c>
      <c r="C23" s="2" t="s">
        <v>698</v>
      </c>
      <c r="D23">
        <f>VLOOKUP(B23,'Model allocations'!$A$1:$L$317,6,FALSE)</f>
        <v>22733.843656499121</v>
      </c>
      <c r="E23" s="31">
        <f>VLOOKUP(B23,'Initial adjusted formula count'!$A$1:$P$317,12,FALSE)</f>
        <v>0.23214285714285701</v>
      </c>
      <c r="F23">
        <f>VLOOKUP(B23,'Model allocations'!$A$1:$L$317,11,FALSE)</f>
        <v>20460.459290849209</v>
      </c>
      <c r="G23" s="30">
        <f t="shared" si="17"/>
        <v>0.9</v>
      </c>
      <c r="H23">
        <f t="shared" si="18"/>
        <v>20460.459290849209</v>
      </c>
      <c r="I23">
        <f t="shared" si="0"/>
        <v>0</v>
      </c>
      <c r="J23">
        <f t="shared" si="1"/>
        <v>20460.459290849209</v>
      </c>
      <c r="K23">
        <f t="shared" si="2"/>
        <v>20448.349864938587</v>
      </c>
      <c r="L23">
        <f t="shared" si="3"/>
        <v>20448.349864938587</v>
      </c>
      <c r="M23">
        <f t="shared" si="4"/>
        <v>20460.459290849209</v>
      </c>
      <c r="N23" s="29">
        <f t="shared" si="5"/>
        <v>0</v>
      </c>
      <c r="O23" s="29">
        <f t="shared" si="6"/>
        <v>0</v>
      </c>
      <c r="P23" s="29">
        <f t="shared" si="7"/>
        <v>20460.459290849209</v>
      </c>
      <c r="Q23">
        <f t="shared" si="8"/>
        <v>0</v>
      </c>
      <c r="R23" s="29">
        <f t="shared" si="9"/>
        <v>0</v>
      </c>
      <c r="S23" s="29">
        <f t="shared" si="10"/>
        <v>0</v>
      </c>
      <c r="T23" s="29">
        <f t="shared" si="11"/>
        <v>20460.459290849209</v>
      </c>
      <c r="U23">
        <f t="shared" si="12"/>
        <v>0</v>
      </c>
      <c r="V23" s="29">
        <f t="shared" si="13"/>
        <v>0</v>
      </c>
      <c r="W23" s="29">
        <f t="shared" si="14"/>
        <v>0</v>
      </c>
      <c r="X23" s="29">
        <f t="shared" si="15"/>
        <v>20460.459290849209</v>
      </c>
      <c r="Y23">
        <f t="shared" si="16"/>
        <v>0</v>
      </c>
    </row>
    <row r="24" spans="1:25" x14ac:dyDescent="0.25">
      <c r="A24" s="4" t="s">
        <v>699</v>
      </c>
      <c r="B24" s="7" t="s">
        <v>326</v>
      </c>
      <c r="C24" s="2" t="s">
        <v>700</v>
      </c>
      <c r="D24">
        <f>VLOOKUP(B24,'Model allocations'!$A$1:$L$317,6,FALSE)</f>
        <v>232916.76880861406</v>
      </c>
      <c r="E24" s="31">
        <f>VLOOKUP(B24,'Initial adjusted formula count'!$A$1:$P$317,12,FALSE)</f>
        <v>0.109353695118626</v>
      </c>
      <c r="F24">
        <f>VLOOKUP(B24,'Model allocations'!$A$1:$L$317,11,FALSE)</f>
        <v>228003.61359243642</v>
      </c>
      <c r="G24" s="30">
        <f t="shared" si="17"/>
        <v>0.85</v>
      </c>
      <c r="H24">
        <f t="shared" si="18"/>
        <v>197979.25348732196</v>
      </c>
      <c r="I24">
        <f t="shared" si="0"/>
        <v>0</v>
      </c>
      <c r="J24">
        <f t="shared" si="1"/>
        <v>228003.61359243642</v>
      </c>
      <c r="K24">
        <f t="shared" si="2"/>
        <v>227868.67073377897</v>
      </c>
      <c r="L24">
        <f t="shared" si="3"/>
        <v>227868.67073377897</v>
      </c>
      <c r="M24">
        <f t="shared" si="4"/>
        <v>0</v>
      </c>
      <c r="N24" s="29">
        <f t="shared" si="5"/>
        <v>227868.67073377897</v>
      </c>
      <c r="O24" s="29">
        <f t="shared" si="6"/>
        <v>227851.38115888022</v>
      </c>
      <c r="P24" s="29">
        <f t="shared" si="7"/>
        <v>227851.38115888022</v>
      </c>
      <c r="Q24">
        <f t="shared" si="8"/>
        <v>0</v>
      </c>
      <c r="R24" s="29">
        <f t="shared" si="9"/>
        <v>227851.38115888022</v>
      </c>
      <c r="S24" s="29">
        <f t="shared" si="10"/>
        <v>227851.38115888005</v>
      </c>
      <c r="T24" s="29">
        <f t="shared" si="11"/>
        <v>227851.38115888005</v>
      </c>
      <c r="U24">
        <f t="shared" si="12"/>
        <v>0</v>
      </c>
      <c r="V24" s="29">
        <f t="shared" si="13"/>
        <v>227851.38115888005</v>
      </c>
      <c r="W24" s="29">
        <f t="shared" si="14"/>
        <v>227851.38115888005</v>
      </c>
      <c r="X24" s="29">
        <f t="shared" si="15"/>
        <v>227851.38115888005</v>
      </c>
      <c r="Y24">
        <f t="shared" si="16"/>
        <v>0</v>
      </c>
    </row>
    <row r="25" spans="1:25" x14ac:dyDescent="0.25">
      <c r="A25" s="4" t="s">
        <v>701</v>
      </c>
      <c r="B25" s="7" t="s">
        <v>101</v>
      </c>
      <c r="C25" s="2" t="s">
        <v>702</v>
      </c>
      <c r="D25">
        <f>VLOOKUP(B25,'Model allocations'!$A$1:$L$317,6,FALSE)</f>
        <v>0</v>
      </c>
      <c r="E25" s="31">
        <f>VLOOKUP(B25,'Initial adjusted formula count'!$A$1:$P$317,12,FALSE)</f>
        <v>3.6312474876055198E-2</v>
      </c>
      <c r="F25">
        <f>VLOOKUP(B25,'Model allocations'!$A$1:$L$317,11,FALSE)</f>
        <v>0</v>
      </c>
      <c r="G25" s="30">
        <f t="shared" si="17"/>
        <v>0.85</v>
      </c>
      <c r="H25">
        <f t="shared" si="18"/>
        <v>0</v>
      </c>
      <c r="I25">
        <f t="shared" si="0"/>
        <v>0</v>
      </c>
      <c r="J25">
        <f t="shared" si="1"/>
        <v>0</v>
      </c>
      <c r="K25">
        <f t="shared" si="2"/>
        <v>0</v>
      </c>
      <c r="L25">
        <f t="shared" si="3"/>
        <v>0</v>
      </c>
      <c r="M25">
        <f t="shared" si="4"/>
        <v>0</v>
      </c>
      <c r="N25" s="29">
        <f t="shared" si="5"/>
        <v>0</v>
      </c>
      <c r="O25" s="29">
        <f t="shared" si="6"/>
        <v>0</v>
      </c>
      <c r="P25" s="29">
        <f t="shared" si="7"/>
        <v>0</v>
      </c>
      <c r="Q25">
        <f t="shared" si="8"/>
        <v>0</v>
      </c>
      <c r="R25" s="29">
        <f t="shared" si="9"/>
        <v>0</v>
      </c>
      <c r="S25" s="29">
        <f t="shared" si="10"/>
        <v>0</v>
      </c>
      <c r="T25" s="29">
        <f t="shared" si="11"/>
        <v>0</v>
      </c>
      <c r="U25">
        <f t="shared" si="12"/>
        <v>0</v>
      </c>
      <c r="V25" s="29">
        <f t="shared" si="13"/>
        <v>0</v>
      </c>
      <c r="W25" s="29">
        <f t="shared" si="14"/>
        <v>0</v>
      </c>
      <c r="X25" s="29">
        <f t="shared" si="15"/>
        <v>0</v>
      </c>
      <c r="Y25">
        <f t="shared" si="16"/>
        <v>0</v>
      </c>
    </row>
    <row r="26" spans="1:25" x14ac:dyDescent="0.25">
      <c r="A26" s="4" t="s">
        <v>703</v>
      </c>
      <c r="B26" s="7" t="s">
        <v>328</v>
      </c>
      <c r="C26" s="2" t="s">
        <v>704</v>
      </c>
      <c r="D26">
        <f>VLOOKUP(B26,'Model allocations'!$A$1:$L$317,6,FALSE)</f>
        <v>82445.351263503588</v>
      </c>
      <c r="E26" s="31">
        <f>VLOOKUP(B26,'Initial adjusted formula count'!$A$1:$P$317,12,FALSE)</f>
        <v>0.17431192660550501</v>
      </c>
      <c r="F26">
        <f>VLOOKUP(B26,'Model allocations'!$A$1:$L$317,11,FALSE)</f>
        <v>74200.816137153233</v>
      </c>
      <c r="G26" s="30">
        <f t="shared" si="17"/>
        <v>0.9</v>
      </c>
      <c r="H26">
        <f t="shared" si="18"/>
        <v>74200.816137153233</v>
      </c>
      <c r="I26">
        <f t="shared" si="0"/>
        <v>0</v>
      </c>
      <c r="J26">
        <f t="shared" si="1"/>
        <v>74200.816137153233</v>
      </c>
      <c r="K26">
        <f t="shared" si="2"/>
        <v>74156.900735609815</v>
      </c>
      <c r="L26">
        <f t="shared" si="3"/>
        <v>74156.900735609815</v>
      </c>
      <c r="M26">
        <f t="shared" si="4"/>
        <v>74200.816137153233</v>
      </c>
      <c r="N26" s="29">
        <f t="shared" si="5"/>
        <v>0</v>
      </c>
      <c r="O26" s="29">
        <f t="shared" si="6"/>
        <v>0</v>
      </c>
      <c r="P26" s="29">
        <f t="shared" si="7"/>
        <v>74200.816137153233</v>
      </c>
      <c r="Q26">
        <f t="shared" si="8"/>
        <v>0</v>
      </c>
      <c r="R26" s="29">
        <f t="shared" si="9"/>
        <v>0</v>
      </c>
      <c r="S26" s="29">
        <f t="shared" si="10"/>
        <v>0</v>
      </c>
      <c r="T26" s="29">
        <f t="shared" si="11"/>
        <v>74200.816137153233</v>
      </c>
      <c r="U26">
        <f t="shared" si="12"/>
        <v>0</v>
      </c>
      <c r="V26" s="29">
        <f t="shared" si="13"/>
        <v>0</v>
      </c>
      <c r="W26" s="29">
        <f t="shared" si="14"/>
        <v>0</v>
      </c>
      <c r="X26" s="29">
        <f t="shared" si="15"/>
        <v>74200.816137153233</v>
      </c>
      <c r="Y26">
        <f t="shared" si="16"/>
        <v>0</v>
      </c>
    </row>
    <row r="27" spans="1:25" x14ac:dyDescent="0.25">
      <c r="A27" s="4" t="s">
        <v>705</v>
      </c>
      <c r="B27" s="7" t="s">
        <v>103</v>
      </c>
      <c r="C27" s="2" t="s">
        <v>706</v>
      </c>
      <c r="D27">
        <f>VLOOKUP(B27,'Model allocations'!$A$1:$L$317,6,FALSE)</f>
        <v>0</v>
      </c>
      <c r="E27" s="31">
        <f>VLOOKUP(B27,'Initial adjusted formula count'!$A$1:$P$317,12,FALSE)</f>
        <v>1.9138755980861202E-2</v>
      </c>
      <c r="F27">
        <f>VLOOKUP(B27,'Model allocations'!$A$1:$L$317,11,FALSE)</f>
        <v>0</v>
      </c>
      <c r="G27" s="30">
        <f t="shared" si="17"/>
        <v>0.85</v>
      </c>
      <c r="H27">
        <f t="shared" si="18"/>
        <v>0</v>
      </c>
      <c r="I27">
        <f t="shared" si="0"/>
        <v>0</v>
      </c>
      <c r="J27">
        <f t="shared" si="1"/>
        <v>0</v>
      </c>
      <c r="K27">
        <f t="shared" si="2"/>
        <v>0</v>
      </c>
      <c r="L27">
        <f t="shared" si="3"/>
        <v>0</v>
      </c>
      <c r="M27">
        <f t="shared" si="4"/>
        <v>0</v>
      </c>
      <c r="N27" s="29">
        <f t="shared" si="5"/>
        <v>0</v>
      </c>
      <c r="O27" s="29">
        <f t="shared" si="6"/>
        <v>0</v>
      </c>
      <c r="P27" s="29">
        <f t="shared" si="7"/>
        <v>0</v>
      </c>
      <c r="Q27">
        <f t="shared" si="8"/>
        <v>0</v>
      </c>
      <c r="R27" s="29">
        <f t="shared" si="9"/>
        <v>0</v>
      </c>
      <c r="S27" s="29">
        <f t="shared" si="10"/>
        <v>0</v>
      </c>
      <c r="T27" s="29">
        <f t="shared" si="11"/>
        <v>0</v>
      </c>
      <c r="U27">
        <f t="shared" si="12"/>
        <v>0</v>
      </c>
      <c r="V27" s="29">
        <f t="shared" si="13"/>
        <v>0</v>
      </c>
      <c r="W27" s="29">
        <f t="shared" si="14"/>
        <v>0</v>
      </c>
      <c r="X27" s="29">
        <f t="shared" si="15"/>
        <v>0</v>
      </c>
      <c r="Y27">
        <f t="shared" si="16"/>
        <v>0</v>
      </c>
    </row>
    <row r="28" spans="1:25" x14ac:dyDescent="0.25">
      <c r="A28" s="4" t="s">
        <v>707</v>
      </c>
      <c r="B28" s="7" t="s">
        <v>330</v>
      </c>
      <c r="C28" s="2" t="s">
        <v>708</v>
      </c>
      <c r="D28">
        <f>VLOOKUP(B28,'Model allocations'!$A$1:$L$317,6,FALSE)</f>
        <v>99562.621072504466</v>
      </c>
      <c r="E28" s="31">
        <f>VLOOKUP(B28,'Initial adjusted formula count'!$A$1:$P$317,12,FALSE)</f>
        <v>9.8402555910543102E-2</v>
      </c>
      <c r="F28">
        <f>VLOOKUP(B28,'Model allocations'!$A$1:$L$317,11,FALSE)</f>
        <v>87562.485020536667</v>
      </c>
      <c r="G28" s="30">
        <f t="shared" si="17"/>
        <v>0.85</v>
      </c>
      <c r="H28">
        <f t="shared" si="18"/>
        <v>84628.227911628797</v>
      </c>
      <c r="I28">
        <f t="shared" si="0"/>
        <v>0</v>
      </c>
      <c r="J28">
        <f t="shared" si="1"/>
        <v>87562.485020536667</v>
      </c>
      <c r="K28">
        <f t="shared" si="2"/>
        <v>87510.661578558487</v>
      </c>
      <c r="L28">
        <f t="shared" si="3"/>
        <v>87510.661578558487</v>
      </c>
      <c r="M28">
        <f t="shared" si="4"/>
        <v>0</v>
      </c>
      <c r="N28" s="29">
        <f t="shared" si="5"/>
        <v>87510.661578558487</v>
      </c>
      <c r="O28" s="29">
        <f t="shared" si="6"/>
        <v>87504.021691939022</v>
      </c>
      <c r="P28" s="29">
        <f t="shared" si="7"/>
        <v>87504.021691939022</v>
      </c>
      <c r="Q28">
        <f t="shared" si="8"/>
        <v>0</v>
      </c>
      <c r="R28" s="29">
        <f t="shared" si="9"/>
        <v>87504.021691939022</v>
      </c>
      <c r="S28" s="29">
        <f t="shared" si="10"/>
        <v>87504.021691938935</v>
      </c>
      <c r="T28" s="29">
        <f t="shared" si="11"/>
        <v>87504.021691938935</v>
      </c>
      <c r="U28">
        <f t="shared" si="12"/>
        <v>0</v>
      </c>
      <c r="V28" s="29">
        <f t="shared" si="13"/>
        <v>87504.021691938935</v>
      </c>
      <c r="W28" s="29">
        <f t="shared" si="14"/>
        <v>87504.021691938935</v>
      </c>
      <c r="X28" s="29">
        <f t="shared" si="15"/>
        <v>87504.021691938935</v>
      </c>
      <c r="Y28">
        <f t="shared" si="16"/>
        <v>0</v>
      </c>
    </row>
    <row r="29" spans="1:25" x14ac:dyDescent="0.25">
      <c r="A29" s="4" t="s">
        <v>709</v>
      </c>
      <c r="B29" s="7" t="s">
        <v>332</v>
      </c>
      <c r="C29" s="2" t="s">
        <v>710</v>
      </c>
      <c r="D29">
        <f>VLOOKUP(B29,'Model allocations'!$A$1:$L$317,6,FALSE)</f>
        <v>93905.653966112164</v>
      </c>
      <c r="E29" s="31">
        <f>VLOOKUP(B29,'Initial adjusted formula count'!$A$1:$P$317,12,FALSE)</f>
        <v>0.110152621101526</v>
      </c>
      <c r="F29">
        <f>VLOOKUP(B29,'Model allocations'!$A$1:$L$317,11,FALSE)</f>
        <v>94385.535801357706</v>
      </c>
      <c r="G29" s="30">
        <f t="shared" si="17"/>
        <v>0.85</v>
      </c>
      <c r="H29">
        <f t="shared" si="18"/>
        <v>79819.805871195334</v>
      </c>
      <c r="I29">
        <f t="shared" si="0"/>
        <v>0</v>
      </c>
      <c r="J29">
        <f t="shared" si="1"/>
        <v>94385.535801357706</v>
      </c>
      <c r="K29">
        <f t="shared" si="2"/>
        <v>94329.674169095524</v>
      </c>
      <c r="L29">
        <f t="shared" si="3"/>
        <v>94329.674169095524</v>
      </c>
      <c r="M29">
        <f t="shared" si="4"/>
        <v>0</v>
      </c>
      <c r="N29" s="29">
        <f t="shared" si="5"/>
        <v>94329.674169095524</v>
      </c>
      <c r="O29" s="29">
        <f t="shared" si="6"/>
        <v>94322.516888713508</v>
      </c>
      <c r="P29" s="29">
        <f t="shared" si="7"/>
        <v>94322.516888713508</v>
      </c>
      <c r="Q29">
        <f t="shared" si="8"/>
        <v>0</v>
      </c>
      <c r="R29" s="29">
        <f t="shared" si="9"/>
        <v>94322.516888713508</v>
      </c>
      <c r="S29" s="29">
        <f t="shared" si="10"/>
        <v>94322.516888713435</v>
      </c>
      <c r="T29" s="29">
        <f t="shared" si="11"/>
        <v>94322.516888713435</v>
      </c>
      <c r="U29">
        <f t="shared" si="12"/>
        <v>0</v>
      </c>
      <c r="V29" s="29">
        <f t="shared" si="13"/>
        <v>94322.516888713435</v>
      </c>
      <c r="W29" s="29">
        <f t="shared" si="14"/>
        <v>94322.516888713435</v>
      </c>
      <c r="X29" s="29">
        <f t="shared" si="15"/>
        <v>94322.516888713435</v>
      </c>
      <c r="Y29">
        <f t="shared" si="16"/>
        <v>0</v>
      </c>
    </row>
    <row r="30" spans="1:25" x14ac:dyDescent="0.25">
      <c r="A30" s="4" t="s">
        <v>711</v>
      </c>
      <c r="B30" s="7" t="s">
        <v>105</v>
      </c>
      <c r="C30" s="2" t="s">
        <v>712</v>
      </c>
      <c r="D30">
        <f>VLOOKUP(B30,'Model allocations'!$A$1:$L$317,6,FALSE)</f>
        <v>105219.58817889677</v>
      </c>
      <c r="E30" s="31">
        <f>VLOOKUP(B30,'Initial adjusted formula count'!$A$1:$P$317,12,FALSE)</f>
        <v>0.116797110174594</v>
      </c>
      <c r="F30">
        <f>VLOOKUP(B30,'Model allocations'!$A$1:$L$317,11,FALSE)</f>
        <v>110305.98762327347</v>
      </c>
      <c r="G30" s="30">
        <f t="shared" si="17"/>
        <v>0.85</v>
      </c>
      <c r="H30">
        <f t="shared" si="18"/>
        <v>89436.649952062246</v>
      </c>
      <c r="I30">
        <f t="shared" si="0"/>
        <v>0</v>
      </c>
      <c r="J30">
        <f t="shared" si="1"/>
        <v>110305.98762327347</v>
      </c>
      <c r="K30">
        <f t="shared" si="2"/>
        <v>110240.70354701525</v>
      </c>
      <c r="L30">
        <f t="shared" si="3"/>
        <v>110240.70354701525</v>
      </c>
      <c r="M30">
        <f t="shared" si="4"/>
        <v>0</v>
      </c>
      <c r="N30" s="29">
        <f t="shared" si="5"/>
        <v>110240.70354701525</v>
      </c>
      <c r="O30" s="29">
        <f t="shared" si="6"/>
        <v>110232.33901452059</v>
      </c>
      <c r="P30" s="29">
        <f t="shared" si="7"/>
        <v>110232.33901452059</v>
      </c>
      <c r="Q30">
        <f t="shared" si="8"/>
        <v>0</v>
      </c>
      <c r="R30" s="29">
        <f t="shared" si="9"/>
        <v>110232.33901452059</v>
      </c>
      <c r="S30" s="29">
        <f t="shared" si="10"/>
        <v>110232.3390145205</v>
      </c>
      <c r="T30" s="29">
        <f t="shared" si="11"/>
        <v>110232.3390145205</v>
      </c>
      <c r="U30">
        <f t="shared" si="12"/>
        <v>0</v>
      </c>
      <c r="V30" s="29">
        <f t="shared" si="13"/>
        <v>110232.3390145205</v>
      </c>
      <c r="W30" s="29">
        <f t="shared" si="14"/>
        <v>110232.3390145205</v>
      </c>
      <c r="X30" s="29">
        <f t="shared" si="15"/>
        <v>110232.3390145205</v>
      </c>
      <c r="Y30">
        <f t="shared" si="16"/>
        <v>0</v>
      </c>
    </row>
    <row r="31" spans="1:25" x14ac:dyDescent="0.25">
      <c r="A31" s="4" t="s">
        <v>8</v>
      </c>
      <c r="B31" s="7" t="s">
        <v>66</v>
      </c>
      <c r="C31" s="2" t="s">
        <v>713</v>
      </c>
      <c r="D31">
        <f>VLOOKUP(B31,'Model allocations'!$A$1:$L$317,6,FALSE)</f>
        <v>48733.432576510335</v>
      </c>
      <c r="E31" s="31">
        <f>VLOOKUP(B31,'Initial adjusted formula count'!$A$1:$P$317,12,FALSE)</f>
        <v>0.10646043117432499</v>
      </c>
      <c r="F31">
        <f>VLOOKUP(B31,'Model allocations'!$A$1:$L$317,11,FALSE)</f>
        <v>46937.897961029965</v>
      </c>
      <c r="G31" s="30">
        <f t="shared" si="17"/>
        <v>0.85</v>
      </c>
      <c r="H31">
        <f t="shared" si="18"/>
        <v>41423.417690033784</v>
      </c>
      <c r="I31">
        <f t="shared" si="0"/>
        <v>0</v>
      </c>
      <c r="J31">
        <f t="shared" si="1"/>
        <v>46937.897961029965</v>
      </c>
      <c r="K31">
        <f t="shared" si="2"/>
        <v>46910.117988465339</v>
      </c>
      <c r="L31">
        <f t="shared" si="3"/>
        <v>46910.117988465339</v>
      </c>
      <c r="M31">
        <f t="shared" si="4"/>
        <v>0</v>
      </c>
      <c r="N31" s="29">
        <f t="shared" si="5"/>
        <v>46910.117988465339</v>
      </c>
      <c r="O31" s="29">
        <f t="shared" si="6"/>
        <v>46906.558675129912</v>
      </c>
      <c r="P31" s="29">
        <f t="shared" si="7"/>
        <v>46906.558675129912</v>
      </c>
      <c r="Q31">
        <f t="shared" si="8"/>
        <v>0</v>
      </c>
      <c r="R31" s="29">
        <f t="shared" si="9"/>
        <v>46906.558675129912</v>
      </c>
      <c r="S31" s="29">
        <f t="shared" si="10"/>
        <v>46906.558675129869</v>
      </c>
      <c r="T31" s="29">
        <f t="shared" si="11"/>
        <v>46906.558675129869</v>
      </c>
      <c r="U31">
        <f t="shared" si="12"/>
        <v>0</v>
      </c>
      <c r="V31" s="29">
        <f t="shared" si="13"/>
        <v>46906.558675129869</v>
      </c>
      <c r="W31" s="29">
        <f t="shared" si="14"/>
        <v>46906.558675129869</v>
      </c>
      <c r="X31" s="29">
        <f t="shared" si="15"/>
        <v>46906.558675129869</v>
      </c>
      <c r="Y31">
        <f t="shared" si="16"/>
        <v>0</v>
      </c>
    </row>
    <row r="32" spans="1:25" x14ac:dyDescent="0.25">
      <c r="A32" s="4" t="s">
        <v>714</v>
      </c>
      <c r="B32" s="7" t="s">
        <v>334</v>
      </c>
      <c r="C32" s="2" t="s">
        <v>715</v>
      </c>
      <c r="D32">
        <f>VLOOKUP(B32,'Model allocations'!$A$1:$L$317,6,FALSE)</f>
        <v>23313.054423913203</v>
      </c>
      <c r="E32" s="31">
        <f>VLOOKUP(B32,'Initial adjusted formula count'!$A$1:$P$317,12,FALSE)</f>
        <v>0.25531914893617003</v>
      </c>
      <c r="F32">
        <f>VLOOKUP(B32,'Model allocations'!$A$1:$L$317,11,FALSE)</f>
        <v>20981.748981521883</v>
      </c>
      <c r="G32" s="30">
        <f t="shared" si="17"/>
        <v>0.9</v>
      </c>
      <c r="H32">
        <f t="shared" si="18"/>
        <v>20981.748981521883</v>
      </c>
      <c r="I32">
        <f t="shared" si="0"/>
        <v>0</v>
      </c>
      <c r="J32">
        <f t="shared" si="1"/>
        <v>20981.748981521883</v>
      </c>
      <c r="K32">
        <f t="shared" si="2"/>
        <v>20969.331032777172</v>
      </c>
      <c r="L32">
        <f t="shared" si="3"/>
        <v>20969.331032777172</v>
      </c>
      <c r="M32">
        <f t="shared" si="4"/>
        <v>20981.748981521883</v>
      </c>
      <c r="N32" s="29">
        <f t="shared" si="5"/>
        <v>0</v>
      </c>
      <c r="O32" s="29">
        <f t="shared" si="6"/>
        <v>0</v>
      </c>
      <c r="P32" s="29">
        <f t="shared" si="7"/>
        <v>20981.748981521883</v>
      </c>
      <c r="Q32">
        <f t="shared" si="8"/>
        <v>0</v>
      </c>
      <c r="R32" s="29">
        <f t="shared" si="9"/>
        <v>0</v>
      </c>
      <c r="S32" s="29">
        <f t="shared" si="10"/>
        <v>0</v>
      </c>
      <c r="T32" s="29">
        <f t="shared" si="11"/>
        <v>20981.748981521883</v>
      </c>
      <c r="U32">
        <f t="shared" si="12"/>
        <v>0</v>
      </c>
      <c r="V32" s="29">
        <f t="shared" si="13"/>
        <v>0</v>
      </c>
      <c r="W32" s="29">
        <f t="shared" si="14"/>
        <v>0</v>
      </c>
      <c r="X32" s="29">
        <f t="shared" si="15"/>
        <v>20981.748981521883</v>
      </c>
      <c r="Y32">
        <f t="shared" si="16"/>
        <v>0</v>
      </c>
    </row>
    <row r="33" spans="1:25" x14ac:dyDescent="0.25">
      <c r="A33" s="4" t="s">
        <v>716</v>
      </c>
      <c r="B33" s="7" t="s">
        <v>107</v>
      </c>
      <c r="C33" s="2" t="s">
        <v>717</v>
      </c>
      <c r="D33">
        <f>VLOOKUP(B33,'Model allocations'!$A$1:$L$317,6,FALSE)</f>
        <v>545331.6290562175</v>
      </c>
      <c r="E33" s="31">
        <f>VLOOKUP(B33,'Initial adjusted formula count'!$A$1:$P$317,12,FALSE)</f>
        <v>7.0639978457948102E-2</v>
      </c>
      <c r="F33">
        <f>VLOOKUP(B33,'Model allocations'!$A$1:$L$317,11,FALSE)</f>
        <v>474770.61683213071</v>
      </c>
      <c r="G33" s="30">
        <f t="shared" si="17"/>
        <v>0.85</v>
      </c>
      <c r="H33">
        <f t="shared" si="18"/>
        <v>463531.88469778484</v>
      </c>
      <c r="I33">
        <f t="shared" si="0"/>
        <v>0</v>
      </c>
      <c r="J33">
        <f t="shared" si="1"/>
        <v>474770.61683213071</v>
      </c>
      <c r="K33">
        <f t="shared" si="2"/>
        <v>474489.6260915348</v>
      </c>
      <c r="L33">
        <f t="shared" si="3"/>
        <v>474489.6260915348</v>
      </c>
      <c r="M33">
        <f t="shared" si="4"/>
        <v>0</v>
      </c>
      <c r="N33" s="29">
        <f t="shared" si="5"/>
        <v>474489.6260915348</v>
      </c>
      <c r="O33" s="29">
        <f t="shared" si="6"/>
        <v>474453.6241088903</v>
      </c>
      <c r="P33" s="29">
        <f t="shared" si="7"/>
        <v>474453.6241088903</v>
      </c>
      <c r="Q33">
        <f t="shared" si="8"/>
        <v>0</v>
      </c>
      <c r="R33" s="29">
        <f t="shared" si="9"/>
        <v>474453.6241088903</v>
      </c>
      <c r="S33" s="29">
        <f t="shared" si="10"/>
        <v>474453.6241088899</v>
      </c>
      <c r="T33" s="29">
        <f t="shared" si="11"/>
        <v>474453.6241088899</v>
      </c>
      <c r="U33">
        <f t="shared" si="12"/>
        <v>0</v>
      </c>
      <c r="V33" s="29">
        <f t="shared" si="13"/>
        <v>474453.6241088899</v>
      </c>
      <c r="W33" s="29">
        <f t="shared" si="14"/>
        <v>474453.6241088899</v>
      </c>
      <c r="X33" s="29">
        <f t="shared" si="15"/>
        <v>474453.6241088899</v>
      </c>
      <c r="Y33">
        <f t="shared" si="16"/>
        <v>0</v>
      </c>
    </row>
    <row r="34" spans="1:25" x14ac:dyDescent="0.25">
      <c r="A34" s="4" t="s">
        <v>718</v>
      </c>
      <c r="B34" s="7" t="s">
        <v>266</v>
      </c>
      <c r="C34" s="2" t="s">
        <v>719</v>
      </c>
      <c r="D34">
        <f>VLOOKUP(B34,'Model allocations'!$A$1:$L$317,6,FALSE)</f>
        <v>1376905.7936958857</v>
      </c>
      <c r="E34" s="31">
        <f>VLOOKUP(B34,'Initial adjusted formula count'!$A$1:$P$317,12,FALSE)</f>
        <v>8.5457621186490099E-2</v>
      </c>
      <c r="F34">
        <f>VLOOKUP(B34,'Model allocations'!$A$1:$L$317,11,FALSE)</f>
        <v>1170369.9246415028</v>
      </c>
      <c r="G34" s="30">
        <f t="shared" si="17"/>
        <v>0.85</v>
      </c>
      <c r="H34">
        <f t="shared" si="18"/>
        <v>1170369.9246415028</v>
      </c>
      <c r="I34">
        <f t="shared" si="0"/>
        <v>0</v>
      </c>
      <c r="J34">
        <f t="shared" si="1"/>
        <v>1170369.9246415028</v>
      </c>
      <c r="K34">
        <f t="shared" si="2"/>
        <v>1169677.2467456157</v>
      </c>
      <c r="L34">
        <f t="shared" si="3"/>
        <v>1169677.2467456157</v>
      </c>
      <c r="M34">
        <f t="shared" si="4"/>
        <v>1170369.9246415028</v>
      </c>
      <c r="N34" s="29">
        <f t="shared" si="5"/>
        <v>0</v>
      </c>
      <c r="O34" s="29">
        <f t="shared" si="6"/>
        <v>0</v>
      </c>
      <c r="P34" s="29">
        <f t="shared" si="7"/>
        <v>1170369.9246415028</v>
      </c>
      <c r="Q34">
        <f t="shared" si="8"/>
        <v>0</v>
      </c>
      <c r="R34" s="29">
        <f t="shared" si="9"/>
        <v>0</v>
      </c>
      <c r="S34" s="29">
        <f t="shared" si="10"/>
        <v>0</v>
      </c>
      <c r="T34" s="29">
        <f t="shared" si="11"/>
        <v>1170369.9246415028</v>
      </c>
      <c r="U34">
        <f t="shared" si="12"/>
        <v>0</v>
      </c>
      <c r="V34" s="29">
        <f t="shared" si="13"/>
        <v>0</v>
      </c>
      <c r="W34" s="29">
        <f t="shared" si="14"/>
        <v>0</v>
      </c>
      <c r="X34" s="29">
        <f t="shared" si="15"/>
        <v>1170369.9246415028</v>
      </c>
      <c r="Y34">
        <f t="shared" si="16"/>
        <v>0</v>
      </c>
    </row>
    <row r="35" spans="1:25" x14ac:dyDescent="0.25">
      <c r="A35" s="4" t="s">
        <v>720</v>
      </c>
      <c r="B35" s="7" t="s">
        <v>336</v>
      </c>
      <c r="C35" s="2" t="s">
        <v>721</v>
      </c>
      <c r="D35">
        <f>VLOOKUP(B35,'Model allocations'!$A$1:$L$317,6,FALSE)</f>
        <v>479757.8200187211</v>
      </c>
      <c r="E35" s="31">
        <f>VLOOKUP(B35,'Initial adjusted formula count'!$A$1:$P$317,12,FALSE)</f>
        <v>0.19820027688048</v>
      </c>
      <c r="F35">
        <f>VLOOKUP(B35,'Model allocations'!$A$1:$L$317,11,FALSE)</f>
        <v>566780.65064538911</v>
      </c>
      <c r="G35" s="30">
        <f t="shared" si="17"/>
        <v>0.9</v>
      </c>
      <c r="H35">
        <f t="shared" si="18"/>
        <v>431782.03801684902</v>
      </c>
      <c r="I35">
        <f t="shared" si="0"/>
        <v>0</v>
      </c>
      <c r="J35">
        <f t="shared" si="1"/>
        <v>566780.65064538911</v>
      </c>
      <c r="K35">
        <f t="shared" si="2"/>
        <v>566445.20420212997</v>
      </c>
      <c r="L35">
        <f t="shared" si="3"/>
        <v>566445.20420212997</v>
      </c>
      <c r="M35">
        <f t="shared" si="4"/>
        <v>0</v>
      </c>
      <c r="N35" s="29">
        <f t="shared" si="5"/>
        <v>566445.20420212997</v>
      </c>
      <c r="O35" s="29">
        <f t="shared" si="6"/>
        <v>566402.22507405351</v>
      </c>
      <c r="P35" s="29">
        <f t="shared" si="7"/>
        <v>566402.22507405351</v>
      </c>
      <c r="Q35">
        <f t="shared" si="8"/>
        <v>0</v>
      </c>
      <c r="R35" s="29">
        <f t="shared" si="9"/>
        <v>566402.22507405351</v>
      </c>
      <c r="S35" s="29">
        <f t="shared" si="10"/>
        <v>566402.22507405304</v>
      </c>
      <c r="T35" s="29">
        <f t="shared" si="11"/>
        <v>566402.22507405304</v>
      </c>
      <c r="U35">
        <f t="shared" si="12"/>
        <v>0</v>
      </c>
      <c r="V35" s="29">
        <f t="shared" si="13"/>
        <v>566402.22507405304</v>
      </c>
      <c r="W35" s="29">
        <f t="shared" si="14"/>
        <v>566402.22507405304</v>
      </c>
      <c r="X35" s="29">
        <f t="shared" si="15"/>
        <v>566402.22507405304</v>
      </c>
      <c r="Y35">
        <f t="shared" si="16"/>
        <v>0</v>
      </c>
    </row>
    <row r="36" spans="1:25" x14ac:dyDescent="0.25">
      <c r="A36" s="4" t="s">
        <v>722</v>
      </c>
      <c r="B36" s="7" t="s">
        <v>338</v>
      </c>
      <c r="C36" s="2" t="s">
        <v>723</v>
      </c>
      <c r="D36">
        <f>VLOOKUP(B36,'Model allocations'!$A$1:$L$317,6,FALSE)</f>
        <v>165711.53512075311</v>
      </c>
      <c r="E36" s="31">
        <f>VLOOKUP(B36,'Initial adjusted formula count'!$A$1:$P$317,12,FALSE)</f>
        <v>0.138562543192813</v>
      </c>
      <c r="F36">
        <f>VLOOKUP(B36,'Model allocations'!$A$1:$L$317,11,FALSE)</f>
        <v>228003.61359243642</v>
      </c>
      <c r="G36" s="30">
        <f t="shared" si="17"/>
        <v>0.85</v>
      </c>
      <c r="H36">
        <f t="shared" si="18"/>
        <v>140854.80485264014</v>
      </c>
      <c r="I36">
        <f t="shared" si="0"/>
        <v>0</v>
      </c>
      <c r="J36">
        <f t="shared" si="1"/>
        <v>228003.61359243642</v>
      </c>
      <c r="K36">
        <f t="shared" si="2"/>
        <v>227868.67073377897</v>
      </c>
      <c r="L36">
        <f t="shared" si="3"/>
        <v>227868.67073377897</v>
      </c>
      <c r="M36">
        <f t="shared" si="4"/>
        <v>0</v>
      </c>
      <c r="N36" s="29">
        <f t="shared" si="5"/>
        <v>227868.67073377897</v>
      </c>
      <c r="O36" s="29">
        <f t="shared" si="6"/>
        <v>227851.38115888022</v>
      </c>
      <c r="P36" s="29">
        <f t="shared" si="7"/>
        <v>227851.38115888022</v>
      </c>
      <c r="Q36">
        <f t="shared" si="8"/>
        <v>0</v>
      </c>
      <c r="R36" s="29">
        <f t="shared" si="9"/>
        <v>227851.38115888022</v>
      </c>
      <c r="S36" s="29">
        <f t="shared" si="10"/>
        <v>227851.38115888005</v>
      </c>
      <c r="T36" s="29">
        <f t="shared" si="11"/>
        <v>227851.38115888005</v>
      </c>
      <c r="U36">
        <f t="shared" si="12"/>
        <v>0</v>
      </c>
      <c r="V36" s="29">
        <f t="shared" si="13"/>
        <v>227851.38115888005</v>
      </c>
      <c r="W36" s="29">
        <f t="shared" si="14"/>
        <v>227851.38115888005</v>
      </c>
      <c r="X36" s="29">
        <f t="shared" si="15"/>
        <v>227851.38115888005</v>
      </c>
      <c r="Y36">
        <f t="shared" si="16"/>
        <v>0</v>
      </c>
    </row>
    <row r="37" spans="1:25" x14ac:dyDescent="0.25">
      <c r="A37" s="4" t="s">
        <v>724</v>
      </c>
      <c r="B37" s="7" t="s">
        <v>268</v>
      </c>
      <c r="C37" s="2" t="s">
        <v>725</v>
      </c>
      <c r="D37">
        <f>VLOOKUP(B37,'Model allocations'!$A$1:$L$317,6,FALSE)</f>
        <v>547877.26425409422</v>
      </c>
      <c r="E37" s="31">
        <f>VLOOKUP(B37,'Initial adjusted formula count'!$A$1:$P$317,12,FALSE)</f>
        <v>0.114381164492523</v>
      </c>
      <c r="F37">
        <f>VLOOKUP(B37,'Model allocations'!$A$1:$L$317,11,FALSE)</f>
        <v>465695.67461598007</v>
      </c>
      <c r="G37" s="30">
        <f t="shared" si="17"/>
        <v>0.85</v>
      </c>
      <c r="H37">
        <f t="shared" si="18"/>
        <v>465695.67461598007</v>
      </c>
      <c r="I37">
        <f t="shared" si="0"/>
        <v>0</v>
      </c>
      <c r="J37">
        <f t="shared" si="1"/>
        <v>465695.67461598007</v>
      </c>
      <c r="K37">
        <f t="shared" si="2"/>
        <v>465420.05483694701</v>
      </c>
      <c r="L37">
        <f t="shared" si="3"/>
        <v>465420.05483694701</v>
      </c>
      <c r="M37">
        <f t="shared" si="4"/>
        <v>465695.67461598007</v>
      </c>
      <c r="N37" s="29">
        <f t="shared" si="5"/>
        <v>0</v>
      </c>
      <c r="O37" s="29">
        <f t="shared" si="6"/>
        <v>0</v>
      </c>
      <c r="P37" s="29">
        <f t="shared" si="7"/>
        <v>465695.67461598007</v>
      </c>
      <c r="Q37">
        <f t="shared" si="8"/>
        <v>0</v>
      </c>
      <c r="R37" s="29">
        <f t="shared" si="9"/>
        <v>0</v>
      </c>
      <c r="S37" s="29">
        <f t="shared" si="10"/>
        <v>0</v>
      </c>
      <c r="T37" s="29">
        <f t="shared" si="11"/>
        <v>465695.67461598007</v>
      </c>
      <c r="U37">
        <f t="shared" si="12"/>
        <v>0</v>
      </c>
      <c r="V37" s="29">
        <f t="shared" si="13"/>
        <v>0</v>
      </c>
      <c r="W37" s="29">
        <f t="shared" si="14"/>
        <v>0</v>
      </c>
      <c r="X37" s="29">
        <f t="shared" si="15"/>
        <v>465695.67461598007</v>
      </c>
      <c r="Y37">
        <f t="shared" si="16"/>
        <v>0</v>
      </c>
    </row>
    <row r="38" spans="1:25" x14ac:dyDescent="0.25">
      <c r="A38" s="4" t="s">
        <v>726</v>
      </c>
      <c r="B38" s="7" t="s">
        <v>340</v>
      </c>
      <c r="C38" s="2" t="s">
        <v>727</v>
      </c>
      <c r="D38">
        <f>VLOOKUP(B38,'Model allocations'!$A$1:$L$317,6,FALSE)</f>
        <v>115225.9137046486</v>
      </c>
      <c r="E38" s="31">
        <f>VLOOKUP(B38,'Initial adjusted formula count'!$A$1:$P$317,12,FALSE)</f>
        <v>0.161904761904762</v>
      </c>
      <c r="F38">
        <f>VLOOKUP(B38,'Model allocations'!$A$1:$L$317,11,FALSE)</f>
        <v>103703.32233418374</v>
      </c>
      <c r="G38" s="30">
        <f t="shared" si="17"/>
        <v>0.9</v>
      </c>
      <c r="H38">
        <f t="shared" si="18"/>
        <v>103703.32233418374</v>
      </c>
      <c r="I38">
        <f t="shared" si="0"/>
        <v>0</v>
      </c>
      <c r="J38">
        <f t="shared" si="1"/>
        <v>103703.32233418374</v>
      </c>
      <c r="K38">
        <f t="shared" si="2"/>
        <v>103641.94601410022</v>
      </c>
      <c r="L38">
        <f t="shared" si="3"/>
        <v>103641.94601410022</v>
      </c>
      <c r="M38">
        <f t="shared" si="4"/>
        <v>103703.32233418374</v>
      </c>
      <c r="N38" s="29">
        <f t="shared" si="5"/>
        <v>0</v>
      </c>
      <c r="O38" s="29">
        <f t="shared" si="6"/>
        <v>0</v>
      </c>
      <c r="P38" s="29">
        <f t="shared" si="7"/>
        <v>103703.32233418374</v>
      </c>
      <c r="Q38">
        <f t="shared" si="8"/>
        <v>0</v>
      </c>
      <c r="R38" s="29">
        <f t="shared" si="9"/>
        <v>0</v>
      </c>
      <c r="S38" s="29">
        <f t="shared" si="10"/>
        <v>0</v>
      </c>
      <c r="T38" s="29">
        <f t="shared" si="11"/>
        <v>103703.32233418374</v>
      </c>
      <c r="U38">
        <f t="shared" si="12"/>
        <v>0</v>
      </c>
      <c r="V38" s="29">
        <f t="shared" si="13"/>
        <v>0</v>
      </c>
      <c r="W38" s="29">
        <f t="shared" si="14"/>
        <v>0</v>
      </c>
      <c r="X38" s="29">
        <f t="shared" si="15"/>
        <v>103703.32233418374</v>
      </c>
      <c r="Y38">
        <f t="shared" si="16"/>
        <v>0</v>
      </c>
    </row>
    <row r="39" spans="1:25" x14ac:dyDescent="0.25">
      <c r="A39" s="4" t="s">
        <v>728</v>
      </c>
      <c r="B39" s="7" t="s">
        <v>109</v>
      </c>
      <c r="C39" s="2" t="s">
        <v>729</v>
      </c>
      <c r="D39">
        <f>VLOOKUP(B39,'Model allocations'!$A$1:$L$317,6,FALSE)</f>
        <v>111059.38345106077</v>
      </c>
      <c r="E39" s="31">
        <f>VLOOKUP(B39,'Initial adjusted formula count'!$A$1:$P$317,12,FALSE)</f>
        <v>0.135957066189624</v>
      </c>
      <c r="F39">
        <f>VLOOKUP(B39,'Model allocations'!$A$1:$L$317,11,FALSE)</f>
        <v>94400.475933401656</v>
      </c>
      <c r="G39" s="30">
        <f t="shared" si="17"/>
        <v>0.85</v>
      </c>
      <c r="H39">
        <f t="shared" si="18"/>
        <v>94400.475933401656</v>
      </c>
      <c r="I39">
        <f t="shared" si="0"/>
        <v>0</v>
      </c>
      <c r="J39">
        <f t="shared" si="1"/>
        <v>94400.475933401656</v>
      </c>
      <c r="K39">
        <f t="shared" si="2"/>
        <v>94344.605458893086</v>
      </c>
      <c r="L39">
        <f t="shared" si="3"/>
        <v>94344.605458893086</v>
      </c>
      <c r="M39">
        <f t="shared" si="4"/>
        <v>94400.475933401656</v>
      </c>
      <c r="N39" s="29">
        <f t="shared" si="5"/>
        <v>0</v>
      </c>
      <c r="O39" s="29">
        <f t="shared" si="6"/>
        <v>0</v>
      </c>
      <c r="P39" s="29">
        <f t="shared" si="7"/>
        <v>94400.475933401656</v>
      </c>
      <c r="Q39">
        <f t="shared" si="8"/>
        <v>0</v>
      </c>
      <c r="R39" s="29">
        <f t="shared" si="9"/>
        <v>0</v>
      </c>
      <c r="S39" s="29">
        <f t="shared" si="10"/>
        <v>0</v>
      </c>
      <c r="T39" s="29">
        <f t="shared" si="11"/>
        <v>94400.475933401656</v>
      </c>
      <c r="U39">
        <f t="shared" si="12"/>
        <v>0</v>
      </c>
      <c r="V39" s="29">
        <f t="shared" si="13"/>
        <v>0</v>
      </c>
      <c r="W39" s="29">
        <f t="shared" si="14"/>
        <v>0</v>
      </c>
      <c r="X39" s="29">
        <f t="shared" si="15"/>
        <v>94400.475933401656</v>
      </c>
      <c r="Y39">
        <f t="shared" si="16"/>
        <v>0</v>
      </c>
    </row>
    <row r="40" spans="1:25" x14ac:dyDescent="0.25">
      <c r="A40" s="4" t="s">
        <v>730</v>
      </c>
      <c r="B40" s="7" t="s">
        <v>342</v>
      </c>
      <c r="C40" s="2" t="s">
        <v>731</v>
      </c>
      <c r="D40">
        <f>VLOOKUP(B40,'Model allocations'!$A$1:$L$317,6,FALSE)</f>
        <v>415167.22014915117</v>
      </c>
      <c r="E40" s="31">
        <f>VLOOKUP(B40,'Initial adjusted formula count'!$A$1:$P$317,12,FALSE)</f>
        <v>0.18896501983411501</v>
      </c>
      <c r="F40">
        <f>VLOOKUP(B40,'Model allocations'!$A$1:$L$317,11,FALSE)</f>
        <v>373743.36624498677</v>
      </c>
      <c r="G40" s="30">
        <f t="shared" si="17"/>
        <v>0.9</v>
      </c>
      <c r="H40">
        <f t="shared" si="18"/>
        <v>373650.49813423608</v>
      </c>
      <c r="I40">
        <f t="shared" si="0"/>
        <v>0</v>
      </c>
      <c r="J40">
        <f t="shared" si="1"/>
        <v>373743.36624498677</v>
      </c>
      <c r="K40">
        <f t="shared" si="2"/>
        <v>373522.16800408735</v>
      </c>
      <c r="L40">
        <f t="shared" si="3"/>
        <v>373522.16800408735</v>
      </c>
      <c r="M40">
        <f t="shared" si="4"/>
        <v>373650.49813423608</v>
      </c>
      <c r="N40" s="29">
        <f t="shared" si="5"/>
        <v>0</v>
      </c>
      <c r="O40" s="29">
        <f t="shared" si="6"/>
        <v>0</v>
      </c>
      <c r="P40" s="29">
        <f t="shared" si="7"/>
        <v>373650.49813423608</v>
      </c>
      <c r="Q40">
        <f t="shared" si="8"/>
        <v>0</v>
      </c>
      <c r="R40" s="29">
        <f t="shared" si="9"/>
        <v>0</v>
      </c>
      <c r="S40" s="29">
        <f t="shared" si="10"/>
        <v>0</v>
      </c>
      <c r="T40" s="29">
        <f t="shared" si="11"/>
        <v>373650.49813423608</v>
      </c>
      <c r="U40">
        <f t="shared" si="12"/>
        <v>0</v>
      </c>
      <c r="V40" s="29">
        <f t="shared" si="13"/>
        <v>0</v>
      </c>
      <c r="W40" s="29">
        <f t="shared" si="14"/>
        <v>0</v>
      </c>
      <c r="X40" s="29">
        <f t="shared" si="15"/>
        <v>373650.49813423608</v>
      </c>
      <c r="Y40">
        <f t="shared" si="16"/>
        <v>0</v>
      </c>
    </row>
    <row r="41" spans="1:25" x14ac:dyDescent="0.25">
      <c r="A41" s="4" t="s">
        <v>732</v>
      </c>
      <c r="B41" s="7" t="s">
        <v>344</v>
      </c>
      <c r="C41" s="2" t="s">
        <v>733</v>
      </c>
      <c r="D41">
        <f>VLOOKUP(B41,'Model allocations'!$A$1:$L$317,6,FALSE)</f>
        <v>84288.809885245253</v>
      </c>
      <c r="E41" s="31">
        <f>VLOOKUP(B41,'Initial adjusted formula count'!$A$1:$P$317,12,FALSE)</f>
        <v>0.14656771799628901</v>
      </c>
      <c r="F41">
        <f>VLOOKUP(B41,'Model allocations'!$A$1:$L$317,11,FALSE)</f>
        <v>89836.835280810366</v>
      </c>
      <c r="G41" s="30">
        <f t="shared" si="17"/>
        <v>0.85</v>
      </c>
      <c r="H41">
        <f t="shared" si="18"/>
        <v>71645.488402458461</v>
      </c>
      <c r="I41">
        <f t="shared" si="0"/>
        <v>0</v>
      </c>
      <c r="J41">
        <f t="shared" si="1"/>
        <v>89836.835280810366</v>
      </c>
      <c r="K41">
        <f t="shared" si="2"/>
        <v>89783.665775404195</v>
      </c>
      <c r="L41">
        <f t="shared" si="3"/>
        <v>89783.665775404195</v>
      </c>
      <c r="M41">
        <f t="shared" si="4"/>
        <v>0</v>
      </c>
      <c r="N41" s="29">
        <f t="shared" si="5"/>
        <v>89783.665775404195</v>
      </c>
      <c r="O41" s="29">
        <f t="shared" si="6"/>
        <v>89776.853424197194</v>
      </c>
      <c r="P41" s="29">
        <f t="shared" si="7"/>
        <v>89776.853424197194</v>
      </c>
      <c r="Q41">
        <f t="shared" si="8"/>
        <v>0</v>
      </c>
      <c r="R41" s="29">
        <f t="shared" si="9"/>
        <v>89776.853424197194</v>
      </c>
      <c r="S41" s="29">
        <f t="shared" si="10"/>
        <v>89776.853424197121</v>
      </c>
      <c r="T41" s="29">
        <f t="shared" si="11"/>
        <v>89776.853424197121</v>
      </c>
      <c r="U41">
        <f t="shared" si="12"/>
        <v>0</v>
      </c>
      <c r="V41" s="29">
        <f t="shared" si="13"/>
        <v>89776.853424197121</v>
      </c>
      <c r="W41" s="29">
        <f t="shared" si="14"/>
        <v>89776.853424197121</v>
      </c>
      <c r="X41" s="29">
        <f t="shared" si="15"/>
        <v>89776.853424197121</v>
      </c>
      <c r="Y41">
        <f t="shared" si="16"/>
        <v>0</v>
      </c>
    </row>
    <row r="42" spans="1:25" x14ac:dyDescent="0.25">
      <c r="A42" s="4" t="s">
        <v>734</v>
      </c>
      <c r="B42" s="7" t="s">
        <v>346</v>
      </c>
      <c r="C42" s="2" t="s">
        <v>735</v>
      </c>
      <c r="D42">
        <f>VLOOKUP(B42,'Model allocations'!$A$1:$L$317,6,FALSE)</f>
        <v>1494853.5578641649</v>
      </c>
      <c r="E42" s="31">
        <f>VLOOKUP(B42,'Initial adjusted formula count'!$A$1:$P$317,12,FALSE)</f>
        <v>0.151860178403075</v>
      </c>
      <c r="F42">
        <f>VLOOKUP(B42,'Model allocations'!$A$1:$L$317,11,FALSE)</f>
        <v>1589486.538148768</v>
      </c>
      <c r="G42" s="30">
        <f t="shared" si="17"/>
        <v>0.9</v>
      </c>
      <c r="H42">
        <f t="shared" si="18"/>
        <v>1345368.2020777485</v>
      </c>
      <c r="I42">
        <f t="shared" si="0"/>
        <v>0</v>
      </c>
      <c r="J42">
        <f t="shared" si="1"/>
        <v>1589486.538148768</v>
      </c>
      <c r="K42">
        <f t="shared" si="2"/>
        <v>1588545.8080705213</v>
      </c>
      <c r="L42">
        <f t="shared" si="3"/>
        <v>1588545.8080705213</v>
      </c>
      <c r="M42">
        <f t="shared" si="4"/>
        <v>0</v>
      </c>
      <c r="N42" s="29">
        <f t="shared" si="5"/>
        <v>1588545.8080705213</v>
      </c>
      <c r="O42" s="29">
        <f t="shared" si="6"/>
        <v>1588425.2768819192</v>
      </c>
      <c r="P42" s="29">
        <f t="shared" si="7"/>
        <v>1588425.2768819192</v>
      </c>
      <c r="Q42">
        <f t="shared" si="8"/>
        <v>0</v>
      </c>
      <c r="R42" s="29">
        <f t="shared" si="9"/>
        <v>1588425.2768819192</v>
      </c>
      <c r="S42" s="29">
        <f t="shared" si="10"/>
        <v>1588425.2768819178</v>
      </c>
      <c r="T42" s="29">
        <f t="shared" si="11"/>
        <v>1588425.2768819178</v>
      </c>
      <c r="U42">
        <f t="shared" si="12"/>
        <v>0</v>
      </c>
      <c r="V42" s="29">
        <f t="shared" si="13"/>
        <v>1588425.2768819178</v>
      </c>
      <c r="W42" s="29">
        <f t="shared" si="14"/>
        <v>1588425.2768819178</v>
      </c>
      <c r="X42" s="29">
        <f t="shared" si="15"/>
        <v>1588425.2768819178</v>
      </c>
      <c r="Y42">
        <f t="shared" si="16"/>
        <v>0</v>
      </c>
    </row>
    <row r="43" spans="1:25" x14ac:dyDescent="0.25">
      <c r="A43" s="4" t="s">
        <v>736</v>
      </c>
      <c r="B43" s="7" t="s">
        <v>270</v>
      </c>
      <c r="C43" s="2" t="s">
        <v>737</v>
      </c>
      <c r="D43">
        <f>VLOOKUP(B43,'Model allocations'!$A$1:$L$317,6,FALSE)</f>
        <v>25456.351978765349</v>
      </c>
      <c r="E43" s="31">
        <f>VLOOKUP(B43,'Initial adjusted formula count'!$A$1:$P$317,12,FALSE)</f>
        <v>9.8070739549839206E-2</v>
      </c>
      <c r="F43">
        <f>VLOOKUP(B43,'Model allocations'!$A$1:$L$317,11,FALSE)</f>
        <v>34683.841469173611</v>
      </c>
      <c r="G43" s="30">
        <f t="shared" si="17"/>
        <v>0.85</v>
      </c>
      <c r="H43">
        <f t="shared" si="18"/>
        <v>21637.899181950546</v>
      </c>
      <c r="I43">
        <f t="shared" si="0"/>
        <v>0</v>
      </c>
      <c r="J43">
        <f t="shared" si="1"/>
        <v>34683.841469173611</v>
      </c>
      <c r="K43">
        <f t="shared" si="2"/>
        <v>34663.314001896542</v>
      </c>
      <c r="L43">
        <f t="shared" si="3"/>
        <v>34663.314001896542</v>
      </c>
      <c r="M43">
        <f t="shared" si="4"/>
        <v>0</v>
      </c>
      <c r="N43" s="29">
        <f t="shared" si="5"/>
        <v>34663.314001896542</v>
      </c>
      <c r="O43" s="29">
        <f t="shared" si="6"/>
        <v>34660.683916936883</v>
      </c>
      <c r="P43" s="29">
        <f t="shared" si="7"/>
        <v>34660.683916936883</v>
      </c>
      <c r="Q43">
        <f t="shared" si="8"/>
        <v>0</v>
      </c>
      <c r="R43" s="29">
        <f t="shared" si="9"/>
        <v>34660.683916936883</v>
      </c>
      <c r="S43" s="29">
        <f t="shared" si="10"/>
        <v>34660.683916936854</v>
      </c>
      <c r="T43" s="29">
        <f t="shared" si="11"/>
        <v>34660.683916936854</v>
      </c>
      <c r="U43">
        <f t="shared" si="12"/>
        <v>0</v>
      </c>
      <c r="V43" s="29">
        <f t="shared" si="13"/>
        <v>34660.683916936854</v>
      </c>
      <c r="W43" s="29">
        <f t="shared" si="14"/>
        <v>34660.683916936854</v>
      </c>
      <c r="X43" s="29">
        <f t="shared" si="15"/>
        <v>34660.683916936854</v>
      </c>
      <c r="Y43">
        <f t="shared" si="16"/>
        <v>0</v>
      </c>
    </row>
    <row r="44" spans="1:25" x14ac:dyDescent="0.25">
      <c r="A44" s="4" t="s">
        <v>738</v>
      </c>
      <c r="B44" s="7" t="s">
        <v>348</v>
      </c>
      <c r="C44" s="2" t="s">
        <v>739</v>
      </c>
      <c r="D44">
        <f>VLOOKUP(B44,'Model allocations'!$A$1:$L$317,6,FALSE)</f>
        <v>122756.18620871288</v>
      </c>
      <c r="E44" s="31">
        <f>VLOOKUP(B44,'Initial adjusted formula count'!$A$1:$P$317,12,FALSE)</f>
        <v>0.14292706803720001</v>
      </c>
      <c r="F44">
        <f>VLOOKUP(B44,'Model allocations'!$A$1:$L$317,11,FALSE)</f>
        <v>166027.56899997863</v>
      </c>
      <c r="G44" s="30">
        <f t="shared" si="17"/>
        <v>0.85</v>
      </c>
      <c r="H44">
        <f t="shared" si="18"/>
        <v>104342.75827740594</v>
      </c>
      <c r="I44">
        <f t="shared" si="0"/>
        <v>0</v>
      </c>
      <c r="J44">
        <f t="shared" si="1"/>
        <v>166027.56899997863</v>
      </c>
      <c r="K44">
        <f t="shared" si="2"/>
        <v>165929.30636973429</v>
      </c>
      <c r="L44">
        <f t="shared" si="3"/>
        <v>165929.30636973429</v>
      </c>
      <c r="M44">
        <f t="shared" si="4"/>
        <v>0</v>
      </c>
      <c r="N44" s="29">
        <f t="shared" si="5"/>
        <v>165929.30636973429</v>
      </c>
      <c r="O44" s="29">
        <f t="shared" si="6"/>
        <v>165916.71645484542</v>
      </c>
      <c r="P44" s="29">
        <f t="shared" si="7"/>
        <v>165916.71645484542</v>
      </c>
      <c r="Q44">
        <f t="shared" si="8"/>
        <v>0</v>
      </c>
      <c r="R44" s="29">
        <f t="shared" si="9"/>
        <v>165916.71645484542</v>
      </c>
      <c r="S44" s="29">
        <f t="shared" si="10"/>
        <v>165916.71645484527</v>
      </c>
      <c r="T44" s="29">
        <f t="shared" si="11"/>
        <v>165916.71645484527</v>
      </c>
      <c r="U44">
        <f t="shared" si="12"/>
        <v>0</v>
      </c>
      <c r="V44" s="29">
        <f t="shared" si="13"/>
        <v>165916.71645484527</v>
      </c>
      <c r="W44" s="29">
        <f t="shared" si="14"/>
        <v>165916.71645484527</v>
      </c>
      <c r="X44" s="29">
        <f t="shared" si="15"/>
        <v>165916.71645484527</v>
      </c>
      <c r="Y44">
        <f t="shared" si="16"/>
        <v>0</v>
      </c>
    </row>
    <row r="45" spans="1:25" x14ac:dyDescent="0.25">
      <c r="A45" s="4" t="s">
        <v>740</v>
      </c>
      <c r="B45" s="7" t="s">
        <v>350</v>
      </c>
      <c r="C45" s="2" t="s">
        <v>741</v>
      </c>
      <c r="D45">
        <f>VLOOKUP(B45,'Model allocations'!$A$1:$L$317,6,FALSE)</f>
        <v>9616.8440808669056</v>
      </c>
      <c r="E45" s="31">
        <f>VLOOKUP(B45,'Initial adjusted formula count'!$A$1:$P$317,12,FALSE)</f>
        <v>3.5999999999999997E-2</v>
      </c>
      <c r="F45">
        <f>VLOOKUP(B45,'Model allocations'!$A$1:$L$317,11,FALSE)</f>
        <v>0</v>
      </c>
      <c r="G45" s="30">
        <f t="shared" si="17"/>
        <v>0.85</v>
      </c>
      <c r="H45">
        <f t="shared" si="18"/>
        <v>0</v>
      </c>
      <c r="I45">
        <f t="shared" si="0"/>
        <v>0</v>
      </c>
      <c r="J45">
        <f t="shared" si="1"/>
        <v>0</v>
      </c>
      <c r="K45">
        <f t="shared" si="2"/>
        <v>0</v>
      </c>
      <c r="L45">
        <f t="shared" si="3"/>
        <v>0</v>
      </c>
      <c r="M45">
        <f t="shared" si="4"/>
        <v>0</v>
      </c>
      <c r="N45" s="29">
        <f t="shared" si="5"/>
        <v>0</v>
      </c>
      <c r="O45" s="29">
        <f t="shared" si="6"/>
        <v>0</v>
      </c>
      <c r="P45" s="29">
        <f t="shared" si="7"/>
        <v>0</v>
      </c>
      <c r="Q45">
        <f t="shared" si="8"/>
        <v>0</v>
      </c>
      <c r="R45" s="29">
        <f t="shared" si="9"/>
        <v>0</v>
      </c>
      <c r="S45" s="29">
        <f t="shared" si="10"/>
        <v>0</v>
      </c>
      <c r="T45" s="29">
        <f t="shared" si="11"/>
        <v>0</v>
      </c>
      <c r="U45">
        <f t="shared" si="12"/>
        <v>0</v>
      </c>
      <c r="V45" s="29">
        <f t="shared" si="13"/>
        <v>0</v>
      </c>
      <c r="W45" s="29">
        <f t="shared" si="14"/>
        <v>0</v>
      </c>
      <c r="X45" s="29">
        <f t="shared" si="15"/>
        <v>0</v>
      </c>
      <c r="Y45">
        <f t="shared" si="16"/>
        <v>0</v>
      </c>
    </row>
    <row r="46" spans="1:25" x14ac:dyDescent="0.25">
      <c r="A46" s="4" t="s">
        <v>742</v>
      </c>
      <c r="B46" s="7" t="s">
        <v>352</v>
      </c>
      <c r="C46" s="2" t="s">
        <v>743</v>
      </c>
      <c r="D46">
        <f>VLOOKUP(B46,'Model allocations'!$A$1:$L$317,6,FALSE)</f>
        <v>29017.837044772285</v>
      </c>
      <c r="E46" s="31">
        <f>VLOOKUP(B46,'Initial adjusted formula count'!$A$1:$P$317,12,FALSE)</f>
        <v>0.18446601941747601</v>
      </c>
      <c r="F46">
        <f>VLOOKUP(B46,'Model allocations'!$A$1:$L$317,11,FALSE)</f>
        <v>26116.053340295057</v>
      </c>
      <c r="G46" s="30">
        <f t="shared" si="17"/>
        <v>0.9</v>
      </c>
      <c r="H46">
        <f t="shared" si="18"/>
        <v>26116.053340295057</v>
      </c>
      <c r="I46">
        <f t="shared" si="0"/>
        <v>0</v>
      </c>
      <c r="J46">
        <f t="shared" si="1"/>
        <v>26116.053340295057</v>
      </c>
      <c r="K46">
        <f t="shared" si="2"/>
        <v>26100.596677836675</v>
      </c>
      <c r="L46">
        <f t="shared" si="3"/>
        <v>26100.596677836675</v>
      </c>
      <c r="M46">
        <f t="shared" si="4"/>
        <v>26116.053340295057</v>
      </c>
      <c r="N46" s="29">
        <f t="shared" si="5"/>
        <v>0</v>
      </c>
      <c r="O46" s="29">
        <f t="shared" si="6"/>
        <v>0</v>
      </c>
      <c r="P46" s="29">
        <f t="shared" si="7"/>
        <v>26116.053340295057</v>
      </c>
      <c r="Q46">
        <f t="shared" si="8"/>
        <v>0</v>
      </c>
      <c r="R46" s="29">
        <f t="shared" si="9"/>
        <v>0</v>
      </c>
      <c r="S46" s="29">
        <f t="shared" si="10"/>
        <v>0</v>
      </c>
      <c r="T46" s="29">
        <f t="shared" si="11"/>
        <v>26116.053340295057</v>
      </c>
      <c r="U46">
        <f t="shared" si="12"/>
        <v>0</v>
      </c>
      <c r="V46" s="29">
        <f t="shared" si="13"/>
        <v>0</v>
      </c>
      <c r="W46" s="29">
        <f t="shared" si="14"/>
        <v>0</v>
      </c>
      <c r="X46" s="29">
        <f t="shared" si="15"/>
        <v>26116.053340295057</v>
      </c>
      <c r="Y46">
        <f t="shared" si="16"/>
        <v>0</v>
      </c>
    </row>
    <row r="47" spans="1:25" x14ac:dyDescent="0.25">
      <c r="A47" s="4" t="s">
        <v>744</v>
      </c>
      <c r="B47" s="7" t="s">
        <v>353</v>
      </c>
      <c r="C47" s="2" t="s">
        <v>745</v>
      </c>
      <c r="D47">
        <f>VLOOKUP(B47,'Model allocations'!$A$1:$L$317,6,FALSE)</f>
        <v>56948.100454925217</v>
      </c>
      <c r="E47" s="31">
        <f>VLOOKUP(B47,'Initial adjusted formula count'!$A$1:$P$317,12,FALSE)</f>
        <v>0.138339920948617</v>
      </c>
      <c r="F47">
        <f>VLOOKUP(B47,'Model allocations'!$A$1:$L$317,11,FALSE)</f>
        <v>59701.694332184081</v>
      </c>
      <c r="G47" s="30">
        <f t="shared" si="17"/>
        <v>0.85</v>
      </c>
      <c r="H47">
        <f t="shared" si="18"/>
        <v>48405.88538668643</v>
      </c>
      <c r="I47">
        <f t="shared" si="0"/>
        <v>0</v>
      </c>
      <c r="J47">
        <f t="shared" si="1"/>
        <v>59701.694332184081</v>
      </c>
      <c r="K47">
        <f t="shared" si="2"/>
        <v>59666.360167198967</v>
      </c>
      <c r="L47">
        <f t="shared" si="3"/>
        <v>59666.360167198967</v>
      </c>
      <c r="M47">
        <f t="shared" si="4"/>
        <v>0</v>
      </c>
      <c r="N47" s="29">
        <f t="shared" si="5"/>
        <v>59666.360167198967</v>
      </c>
      <c r="O47" s="29">
        <f t="shared" si="6"/>
        <v>59661.832971776603</v>
      </c>
      <c r="P47" s="29">
        <f t="shared" si="7"/>
        <v>59661.832971776603</v>
      </c>
      <c r="Q47">
        <f t="shared" si="8"/>
        <v>0</v>
      </c>
      <c r="R47" s="29">
        <f t="shared" si="9"/>
        <v>59661.832971776603</v>
      </c>
      <c r="S47" s="29">
        <f t="shared" si="10"/>
        <v>59661.832971776559</v>
      </c>
      <c r="T47" s="29">
        <f t="shared" si="11"/>
        <v>59661.832971776559</v>
      </c>
      <c r="U47">
        <f t="shared" si="12"/>
        <v>0</v>
      </c>
      <c r="V47" s="29">
        <f t="shared" si="13"/>
        <v>59661.832971776559</v>
      </c>
      <c r="W47" s="29">
        <f t="shared" si="14"/>
        <v>59661.832971776559</v>
      </c>
      <c r="X47" s="29">
        <f t="shared" si="15"/>
        <v>59661.832971776559</v>
      </c>
      <c r="Y47">
        <f t="shared" si="16"/>
        <v>0</v>
      </c>
    </row>
    <row r="48" spans="1:25" x14ac:dyDescent="0.25">
      <c r="A48" s="4" t="s">
        <v>746</v>
      </c>
      <c r="B48" s="7" t="s">
        <v>354</v>
      </c>
      <c r="C48" s="2" t="s">
        <v>747</v>
      </c>
      <c r="D48">
        <f>VLOOKUP(B48,'Model allocations'!$A$1:$L$317,6,FALSE)</f>
        <v>192240.19730086092</v>
      </c>
      <c r="E48" s="31">
        <f>VLOOKUP(B48,'Initial adjusted formula count'!$A$1:$P$317,12,FALSE)</f>
        <v>0.17445328031809099</v>
      </c>
      <c r="F48">
        <f>VLOOKUP(B48,'Model allocations'!$A$1:$L$317,11,FALSE)</f>
        <v>215578.72440304828</v>
      </c>
      <c r="G48" s="30">
        <f t="shared" si="17"/>
        <v>0.9</v>
      </c>
      <c r="H48">
        <f t="shared" si="18"/>
        <v>173016.17757077483</v>
      </c>
      <c r="I48">
        <f t="shared" si="0"/>
        <v>0</v>
      </c>
      <c r="J48">
        <f t="shared" si="1"/>
        <v>215578.72440304828</v>
      </c>
      <c r="K48">
        <f t="shared" si="2"/>
        <v>215451.1351562012</v>
      </c>
      <c r="L48">
        <f t="shared" si="3"/>
        <v>215451.1351562012</v>
      </c>
      <c r="M48">
        <f t="shared" si="4"/>
        <v>0</v>
      </c>
      <c r="N48" s="29">
        <f t="shared" si="5"/>
        <v>215451.1351562012</v>
      </c>
      <c r="O48" s="29">
        <f t="shared" si="6"/>
        <v>215434.7877639673</v>
      </c>
      <c r="P48" s="29">
        <f t="shared" si="7"/>
        <v>215434.7877639673</v>
      </c>
      <c r="Q48">
        <f t="shared" si="8"/>
        <v>0</v>
      </c>
      <c r="R48" s="29">
        <f t="shared" si="9"/>
        <v>215434.7877639673</v>
      </c>
      <c r="S48" s="29">
        <f t="shared" si="10"/>
        <v>215434.78776396712</v>
      </c>
      <c r="T48" s="29">
        <f t="shared" si="11"/>
        <v>215434.78776396712</v>
      </c>
      <c r="U48">
        <f t="shared" si="12"/>
        <v>0</v>
      </c>
      <c r="V48" s="29">
        <f t="shared" si="13"/>
        <v>215434.78776396712</v>
      </c>
      <c r="W48" s="29">
        <f t="shared" si="14"/>
        <v>215434.78776396712</v>
      </c>
      <c r="X48" s="29">
        <f t="shared" si="15"/>
        <v>215434.78776396712</v>
      </c>
      <c r="Y48">
        <f t="shared" si="16"/>
        <v>0</v>
      </c>
    </row>
    <row r="49" spans="1:25" x14ac:dyDescent="0.25">
      <c r="A49" s="4" t="s">
        <v>748</v>
      </c>
      <c r="B49" s="7" t="s">
        <v>356</v>
      </c>
      <c r="C49" s="2" t="s">
        <v>749</v>
      </c>
      <c r="D49">
        <f>VLOOKUP(B49,'Model allocations'!$A$1:$L$317,6,FALSE)</f>
        <v>92256.874333283035</v>
      </c>
      <c r="E49" s="31">
        <f>VLOOKUP(B49,'Initial adjusted formula count'!$A$1:$P$317,12,FALSE)</f>
        <v>0.140226628895184</v>
      </c>
      <c r="F49">
        <f>VLOOKUP(B49,'Model allocations'!$A$1:$L$317,11,FALSE)</f>
        <v>78418.343183290577</v>
      </c>
      <c r="G49" s="30">
        <f t="shared" si="17"/>
        <v>0.85</v>
      </c>
      <c r="H49">
        <f t="shared" si="18"/>
        <v>78418.343183290577</v>
      </c>
      <c r="I49">
        <f t="shared" si="0"/>
        <v>0</v>
      </c>
      <c r="J49">
        <f t="shared" si="1"/>
        <v>78418.343183290577</v>
      </c>
      <c r="K49">
        <f t="shared" si="2"/>
        <v>78371.931658343223</v>
      </c>
      <c r="L49">
        <f t="shared" si="3"/>
        <v>78371.931658343223</v>
      </c>
      <c r="M49">
        <f t="shared" si="4"/>
        <v>78418.343183290577</v>
      </c>
      <c r="N49" s="29">
        <f t="shared" si="5"/>
        <v>0</v>
      </c>
      <c r="O49" s="29">
        <f t="shared" si="6"/>
        <v>0</v>
      </c>
      <c r="P49" s="29">
        <f t="shared" si="7"/>
        <v>78418.343183290577</v>
      </c>
      <c r="Q49">
        <f t="shared" si="8"/>
        <v>0</v>
      </c>
      <c r="R49" s="29">
        <f t="shared" si="9"/>
        <v>0</v>
      </c>
      <c r="S49" s="29">
        <f t="shared" si="10"/>
        <v>0</v>
      </c>
      <c r="T49" s="29">
        <f t="shared" si="11"/>
        <v>78418.343183290577</v>
      </c>
      <c r="U49">
        <f t="shared" si="12"/>
        <v>0</v>
      </c>
      <c r="V49" s="29">
        <f t="shared" si="13"/>
        <v>0</v>
      </c>
      <c r="W49" s="29">
        <f t="shared" si="14"/>
        <v>0</v>
      </c>
      <c r="X49" s="29">
        <f t="shared" si="15"/>
        <v>78418.343183290577</v>
      </c>
      <c r="Y49">
        <f t="shared" si="16"/>
        <v>0</v>
      </c>
    </row>
    <row r="50" spans="1:25" x14ac:dyDescent="0.25">
      <c r="A50" s="4" t="s">
        <v>750</v>
      </c>
      <c r="B50" s="7" t="s">
        <v>111</v>
      </c>
      <c r="C50" s="2" t="s">
        <v>751</v>
      </c>
      <c r="D50">
        <f>VLOOKUP(B50,'Model allocations'!$A$1:$L$317,6,FALSE)</f>
        <v>33376.105927714569</v>
      </c>
      <c r="E50" s="31">
        <f>VLOOKUP(B50,'Initial adjusted formula count'!$A$1:$P$317,12,FALSE)</f>
        <v>8.6142322097378293E-2</v>
      </c>
      <c r="F50">
        <f>VLOOKUP(B50,'Model allocations'!$A$1:$L$317,11,FALSE)</f>
        <v>28369.690038557383</v>
      </c>
      <c r="G50" s="30">
        <f t="shared" si="17"/>
        <v>0.85</v>
      </c>
      <c r="H50">
        <f t="shared" si="18"/>
        <v>28369.690038557383</v>
      </c>
      <c r="I50">
        <f t="shared" si="0"/>
        <v>0</v>
      </c>
      <c r="J50">
        <f t="shared" si="1"/>
        <v>28369.690038557383</v>
      </c>
      <c r="K50">
        <f t="shared" si="2"/>
        <v>28352.899571894552</v>
      </c>
      <c r="L50">
        <f t="shared" si="3"/>
        <v>28352.899571894552</v>
      </c>
      <c r="M50">
        <f t="shared" si="4"/>
        <v>28369.690038557383</v>
      </c>
      <c r="N50" s="29">
        <f t="shared" si="5"/>
        <v>0</v>
      </c>
      <c r="O50" s="29">
        <f t="shared" si="6"/>
        <v>0</v>
      </c>
      <c r="P50" s="29">
        <f t="shared" si="7"/>
        <v>28369.690038557383</v>
      </c>
      <c r="Q50">
        <f t="shared" si="8"/>
        <v>0</v>
      </c>
      <c r="R50" s="29">
        <f t="shared" si="9"/>
        <v>0</v>
      </c>
      <c r="S50" s="29">
        <f t="shared" si="10"/>
        <v>0</v>
      </c>
      <c r="T50" s="29">
        <f t="shared" si="11"/>
        <v>28369.690038557383</v>
      </c>
      <c r="U50">
        <f t="shared" si="12"/>
        <v>0</v>
      </c>
      <c r="V50" s="29">
        <f t="shared" si="13"/>
        <v>0</v>
      </c>
      <c r="W50" s="29">
        <f t="shared" si="14"/>
        <v>0</v>
      </c>
      <c r="X50" s="29">
        <f t="shared" si="15"/>
        <v>28369.690038557383</v>
      </c>
      <c r="Y50">
        <f t="shared" si="16"/>
        <v>0</v>
      </c>
    </row>
    <row r="51" spans="1:25" x14ac:dyDescent="0.25">
      <c r="A51" s="4" t="s">
        <v>752</v>
      </c>
      <c r="B51" s="7" t="s">
        <v>113</v>
      </c>
      <c r="C51" s="2" t="s">
        <v>753</v>
      </c>
      <c r="D51">
        <f>VLOOKUP(B51,'Model allocations'!$A$1:$L$317,6,FALSE)</f>
        <v>27153.442110683045</v>
      </c>
      <c r="E51" s="31">
        <f>VLOOKUP(B51,'Initial adjusted formula count'!$A$1:$P$317,12,FALSE)</f>
        <v>0.117460317460317</v>
      </c>
      <c r="F51">
        <f>VLOOKUP(B51,'Model allocations'!$A$1:$L$317,11,FALSE)</f>
        <v>23227.788450643457</v>
      </c>
      <c r="G51" s="30">
        <f t="shared" si="17"/>
        <v>0.85</v>
      </c>
      <c r="H51">
        <f t="shared" si="18"/>
        <v>23080.425794080587</v>
      </c>
      <c r="I51">
        <f t="shared" si="0"/>
        <v>0</v>
      </c>
      <c r="J51">
        <f t="shared" si="1"/>
        <v>23227.788450643457</v>
      </c>
      <c r="K51">
        <f t="shared" si="2"/>
        <v>23214.041194078378</v>
      </c>
      <c r="L51">
        <f t="shared" si="3"/>
        <v>23214.041194078378</v>
      </c>
      <c r="M51">
        <f t="shared" si="4"/>
        <v>0</v>
      </c>
      <c r="N51" s="29">
        <f t="shared" si="5"/>
        <v>23214.041194078378</v>
      </c>
      <c r="O51" s="29">
        <f t="shared" si="6"/>
        <v>23212.279824678037</v>
      </c>
      <c r="P51" s="29">
        <f t="shared" si="7"/>
        <v>23212.279824678037</v>
      </c>
      <c r="Q51">
        <f t="shared" si="8"/>
        <v>0</v>
      </c>
      <c r="R51" s="29">
        <f t="shared" si="9"/>
        <v>23212.279824678037</v>
      </c>
      <c r="S51" s="29">
        <f t="shared" si="10"/>
        <v>23212.279824678018</v>
      </c>
      <c r="T51" s="29">
        <f t="shared" si="11"/>
        <v>23212.279824678018</v>
      </c>
      <c r="U51">
        <f t="shared" si="12"/>
        <v>0</v>
      </c>
      <c r="V51" s="29">
        <f t="shared" si="13"/>
        <v>23212.279824678018</v>
      </c>
      <c r="W51" s="29">
        <f t="shared" si="14"/>
        <v>23212.279824678018</v>
      </c>
      <c r="X51" s="29">
        <f t="shared" si="15"/>
        <v>23212.279824678018</v>
      </c>
      <c r="Y51">
        <f t="shared" si="16"/>
        <v>0</v>
      </c>
    </row>
    <row r="52" spans="1:25" x14ac:dyDescent="0.25">
      <c r="A52" s="4" t="s">
        <v>754</v>
      </c>
      <c r="B52" s="7" t="s">
        <v>358</v>
      </c>
      <c r="C52" s="2" t="s">
        <v>755</v>
      </c>
      <c r="D52">
        <f>VLOOKUP(B52,'Model allocations'!$A$1:$L$317,6,FALSE)</f>
        <v>23271.659567112169</v>
      </c>
      <c r="E52" s="31">
        <f>VLOOKUP(B52,'Initial adjusted formula count'!$A$1:$P$317,12,FALSE)</f>
        <v>0.19758064516129001</v>
      </c>
      <c r="F52">
        <f>VLOOKUP(B52,'Model allocations'!$A$1:$L$317,11,FALSE)</f>
        <v>32279.398374012282</v>
      </c>
      <c r="G52" s="30">
        <f t="shared" si="17"/>
        <v>0.9</v>
      </c>
      <c r="H52">
        <f t="shared" si="18"/>
        <v>20944.493610400954</v>
      </c>
      <c r="I52">
        <f t="shared" si="0"/>
        <v>0</v>
      </c>
      <c r="J52">
        <f t="shared" si="1"/>
        <v>32279.398374012282</v>
      </c>
      <c r="K52">
        <f t="shared" si="2"/>
        <v>32260.293964991299</v>
      </c>
      <c r="L52">
        <f t="shared" si="3"/>
        <v>32260.293964991299</v>
      </c>
      <c r="M52">
        <f t="shared" si="4"/>
        <v>0</v>
      </c>
      <c r="N52" s="29">
        <f t="shared" si="5"/>
        <v>32260.293964991299</v>
      </c>
      <c r="O52" s="29">
        <f t="shared" si="6"/>
        <v>32257.846209593565</v>
      </c>
      <c r="P52" s="29">
        <f t="shared" si="7"/>
        <v>32257.846209593565</v>
      </c>
      <c r="Q52">
        <f t="shared" si="8"/>
        <v>0</v>
      </c>
      <c r="R52" s="29">
        <f t="shared" si="9"/>
        <v>32257.846209593565</v>
      </c>
      <c r="S52" s="29">
        <f t="shared" si="10"/>
        <v>32257.846209593536</v>
      </c>
      <c r="T52" s="29">
        <f t="shared" si="11"/>
        <v>32257.846209593536</v>
      </c>
      <c r="U52">
        <f t="shared" si="12"/>
        <v>0</v>
      </c>
      <c r="V52" s="29">
        <f t="shared" si="13"/>
        <v>32257.846209593536</v>
      </c>
      <c r="W52" s="29">
        <f t="shared" si="14"/>
        <v>32257.846209593536</v>
      </c>
      <c r="X52" s="29">
        <f t="shared" si="15"/>
        <v>32257.846209593536</v>
      </c>
      <c r="Y52">
        <f t="shared" si="16"/>
        <v>0</v>
      </c>
    </row>
    <row r="53" spans="1:25" x14ac:dyDescent="0.25">
      <c r="A53" s="4" t="s">
        <v>756</v>
      </c>
      <c r="B53" s="7" t="s">
        <v>360</v>
      </c>
      <c r="C53" s="2" t="s">
        <v>757</v>
      </c>
      <c r="D53">
        <f>VLOOKUP(B53,'Model allocations'!$A$1:$L$317,6,FALSE)</f>
        <v>56618.107832923997</v>
      </c>
      <c r="E53" s="31">
        <f>VLOOKUP(B53,'Initial adjusted formula count'!$A$1:$P$317,12,FALSE)</f>
        <v>0.10213556174559001</v>
      </c>
      <c r="F53">
        <f>VLOOKUP(B53,'Model allocations'!$A$1:$L$317,11,FALSE)</f>
        <v>62544.632157526197</v>
      </c>
      <c r="G53" s="30">
        <f t="shared" si="17"/>
        <v>0.85</v>
      </c>
      <c r="H53">
        <f t="shared" si="18"/>
        <v>48125.391657985398</v>
      </c>
      <c r="I53">
        <f t="shared" si="0"/>
        <v>0</v>
      </c>
      <c r="J53">
        <f t="shared" si="1"/>
        <v>62544.632157526197</v>
      </c>
      <c r="K53">
        <f t="shared" si="2"/>
        <v>62507.61541325607</v>
      </c>
      <c r="L53">
        <f t="shared" si="3"/>
        <v>62507.61541325607</v>
      </c>
      <c r="M53">
        <f t="shared" si="4"/>
        <v>0</v>
      </c>
      <c r="N53" s="29">
        <f t="shared" si="5"/>
        <v>62507.61541325607</v>
      </c>
      <c r="O53" s="29">
        <f t="shared" si="6"/>
        <v>62502.872637099303</v>
      </c>
      <c r="P53" s="29">
        <f t="shared" si="7"/>
        <v>62502.872637099303</v>
      </c>
      <c r="Q53">
        <f t="shared" si="8"/>
        <v>0</v>
      </c>
      <c r="R53" s="29">
        <f t="shared" si="9"/>
        <v>62502.872637099303</v>
      </c>
      <c r="S53" s="29">
        <f t="shared" si="10"/>
        <v>62502.872637099244</v>
      </c>
      <c r="T53" s="29">
        <f t="shared" si="11"/>
        <v>62502.872637099244</v>
      </c>
      <c r="U53">
        <f t="shared" si="12"/>
        <v>0</v>
      </c>
      <c r="V53" s="29">
        <f t="shared" si="13"/>
        <v>62502.872637099244</v>
      </c>
      <c r="W53" s="29">
        <f t="shared" si="14"/>
        <v>62502.872637099244</v>
      </c>
      <c r="X53" s="29">
        <f t="shared" si="15"/>
        <v>62502.872637099244</v>
      </c>
      <c r="Y53">
        <f t="shared" si="16"/>
        <v>0</v>
      </c>
    </row>
    <row r="54" spans="1:25" x14ac:dyDescent="0.25">
      <c r="A54" s="4" t="s">
        <v>758</v>
      </c>
      <c r="B54" s="7" t="s">
        <v>362</v>
      </c>
      <c r="C54" s="2" t="s">
        <v>759</v>
      </c>
      <c r="D54">
        <f>VLOOKUP(B54,'Model allocations'!$A$1:$L$317,6,FALSE)</f>
        <v>43522.866402272775</v>
      </c>
      <c r="E54" s="31">
        <f>VLOOKUP(B54,'Initial adjusted formula count'!$A$1:$P$317,12,FALSE)</f>
        <v>0.181286549707602</v>
      </c>
      <c r="F54">
        <f>VLOOKUP(B54,'Model allocations'!$A$1:$L$317,11,FALSE)</f>
        <v>39170.579762045498</v>
      </c>
      <c r="G54" s="30">
        <f t="shared" si="17"/>
        <v>0.9</v>
      </c>
      <c r="H54">
        <f t="shared" si="18"/>
        <v>39170.579762045498</v>
      </c>
      <c r="I54">
        <f t="shared" si="0"/>
        <v>0</v>
      </c>
      <c r="J54">
        <f t="shared" si="1"/>
        <v>39170.579762045498</v>
      </c>
      <c r="K54">
        <f t="shared" si="2"/>
        <v>39147.396839963352</v>
      </c>
      <c r="L54">
        <f t="shared" si="3"/>
        <v>39147.396839963352</v>
      </c>
      <c r="M54">
        <f t="shared" si="4"/>
        <v>39170.579762045498</v>
      </c>
      <c r="N54" s="29">
        <f t="shared" si="5"/>
        <v>0</v>
      </c>
      <c r="O54" s="29">
        <f t="shared" si="6"/>
        <v>0</v>
      </c>
      <c r="P54" s="29">
        <f t="shared" si="7"/>
        <v>39170.579762045498</v>
      </c>
      <c r="Q54">
        <f t="shared" si="8"/>
        <v>0</v>
      </c>
      <c r="R54" s="29">
        <f t="shared" si="9"/>
        <v>0</v>
      </c>
      <c r="S54" s="29">
        <f t="shared" si="10"/>
        <v>0</v>
      </c>
      <c r="T54" s="29">
        <f t="shared" si="11"/>
        <v>39170.579762045498</v>
      </c>
      <c r="U54">
        <f t="shared" si="12"/>
        <v>0</v>
      </c>
      <c r="V54" s="29">
        <f t="shared" si="13"/>
        <v>0</v>
      </c>
      <c r="W54" s="29">
        <f t="shared" si="14"/>
        <v>0</v>
      </c>
      <c r="X54" s="29">
        <f t="shared" si="15"/>
        <v>39170.579762045498</v>
      </c>
      <c r="Y54">
        <f t="shared" si="16"/>
        <v>0</v>
      </c>
    </row>
    <row r="55" spans="1:25" x14ac:dyDescent="0.25">
      <c r="A55" s="8" t="s">
        <v>760</v>
      </c>
      <c r="B55" s="7" t="s">
        <v>364</v>
      </c>
      <c r="C55" s="2" t="s">
        <v>761</v>
      </c>
      <c r="D55">
        <f>VLOOKUP(B55,'Model allocations'!$A$1:$L$317,6,FALSE)</f>
        <v>9388.7092391401129</v>
      </c>
      <c r="E55" s="31">
        <f>VLOOKUP(B55,'Initial adjusted formula count'!$A$1:$P$317,12,FALSE)</f>
        <v>0.14912280701754399</v>
      </c>
      <c r="F55">
        <f>VLOOKUP(B55,'Model allocations'!$A$1:$L$317,11,FALSE)</f>
        <v>9665.9886061631387</v>
      </c>
      <c r="G55" s="30">
        <f t="shared" si="17"/>
        <v>0.85</v>
      </c>
      <c r="H55">
        <f t="shared" si="18"/>
        <v>7980.4028532690954</v>
      </c>
      <c r="I55">
        <f t="shared" si="0"/>
        <v>0</v>
      </c>
      <c r="J55">
        <f t="shared" si="1"/>
        <v>9665.9886061631387</v>
      </c>
      <c r="K55">
        <f t="shared" si="2"/>
        <v>9660.267836594121</v>
      </c>
      <c r="L55">
        <f t="shared" si="3"/>
        <v>9660.267836594121</v>
      </c>
      <c r="M55">
        <f t="shared" si="4"/>
        <v>0</v>
      </c>
      <c r="N55" s="29">
        <f t="shared" si="5"/>
        <v>9660.267836594121</v>
      </c>
      <c r="O55" s="29">
        <f t="shared" si="6"/>
        <v>9659.5348620971672</v>
      </c>
      <c r="P55" s="29">
        <f t="shared" si="7"/>
        <v>9659.5348620971672</v>
      </c>
      <c r="Q55">
        <f t="shared" si="8"/>
        <v>0</v>
      </c>
      <c r="R55" s="29">
        <f t="shared" si="9"/>
        <v>9659.5348620971672</v>
      </c>
      <c r="S55" s="29">
        <f t="shared" si="10"/>
        <v>9659.5348620971581</v>
      </c>
      <c r="T55" s="29">
        <f t="shared" si="11"/>
        <v>9659.5348620971581</v>
      </c>
      <c r="U55">
        <f t="shared" si="12"/>
        <v>0</v>
      </c>
      <c r="V55" s="29">
        <f t="shared" si="13"/>
        <v>9659.5348620971581</v>
      </c>
      <c r="W55" s="29">
        <f t="shared" si="14"/>
        <v>9659.5348620971581</v>
      </c>
      <c r="X55" s="29">
        <f t="shared" si="15"/>
        <v>9659.5348620971581</v>
      </c>
      <c r="Y55">
        <f t="shared" si="16"/>
        <v>0</v>
      </c>
    </row>
    <row r="56" spans="1:25" x14ac:dyDescent="0.25">
      <c r="A56" s="4" t="s">
        <v>762</v>
      </c>
      <c r="B56" s="7" t="s">
        <v>366</v>
      </c>
      <c r="C56" s="2" t="s">
        <v>763</v>
      </c>
      <c r="D56">
        <f>VLOOKUP(B56,'Model allocations'!$A$1:$L$317,6,FALSE)</f>
        <v>41772.52708652999</v>
      </c>
      <c r="E56" s="31">
        <f>VLOOKUP(B56,'Initial adjusted formula count'!$A$1:$P$317,12,FALSE)</f>
        <v>0.33333333333333298</v>
      </c>
      <c r="F56">
        <f>VLOOKUP(B56,'Model allocations'!$A$1:$L$317,11,FALSE)</f>
        <v>53893.927722238317</v>
      </c>
      <c r="G56" s="30">
        <f t="shared" si="17"/>
        <v>0.95</v>
      </c>
      <c r="H56">
        <f t="shared" si="18"/>
        <v>39683.900732203489</v>
      </c>
      <c r="I56">
        <f t="shared" si="0"/>
        <v>0</v>
      </c>
      <c r="J56">
        <f t="shared" si="1"/>
        <v>53893.927722238317</v>
      </c>
      <c r="K56">
        <f t="shared" si="2"/>
        <v>53862.030856410056</v>
      </c>
      <c r="L56">
        <f t="shared" si="3"/>
        <v>53862.030856410056</v>
      </c>
      <c r="M56">
        <f t="shared" si="4"/>
        <v>0</v>
      </c>
      <c r="N56" s="29">
        <f t="shared" si="5"/>
        <v>53862.030856410056</v>
      </c>
      <c r="O56" s="29">
        <f t="shared" si="6"/>
        <v>53857.944065480478</v>
      </c>
      <c r="P56" s="29">
        <f t="shared" si="7"/>
        <v>53857.944065480478</v>
      </c>
      <c r="Q56">
        <f t="shared" si="8"/>
        <v>0</v>
      </c>
      <c r="R56" s="29">
        <f t="shared" si="9"/>
        <v>53857.944065480478</v>
      </c>
      <c r="S56" s="29">
        <f t="shared" si="10"/>
        <v>53857.944065480435</v>
      </c>
      <c r="T56" s="29">
        <f t="shared" si="11"/>
        <v>53857.944065480435</v>
      </c>
      <c r="U56">
        <f t="shared" si="12"/>
        <v>0</v>
      </c>
      <c r="V56" s="29">
        <f t="shared" si="13"/>
        <v>53857.944065480435</v>
      </c>
      <c r="W56" s="29">
        <f t="shared" si="14"/>
        <v>53857.944065480435</v>
      </c>
      <c r="X56" s="29">
        <f t="shared" si="15"/>
        <v>53857.944065480435</v>
      </c>
      <c r="Y56">
        <f t="shared" si="16"/>
        <v>0</v>
      </c>
    </row>
    <row r="57" spans="1:25" x14ac:dyDescent="0.25">
      <c r="A57" s="4" t="s">
        <v>764</v>
      </c>
      <c r="B57" s="7" t="s">
        <v>368</v>
      </c>
      <c r="C57" s="2" t="s">
        <v>765</v>
      </c>
      <c r="D57">
        <f>VLOOKUP(B57,'Model allocations'!$A$1:$L$317,6,FALSE)</f>
        <v>74511.21780435952</v>
      </c>
      <c r="E57" s="31">
        <f>VLOOKUP(B57,'Initial adjusted formula count'!$A$1:$P$317,12,FALSE)</f>
        <v>0.232198142414861</v>
      </c>
      <c r="F57">
        <f>VLOOKUP(B57,'Model allocations'!$A$1:$L$317,11,FALSE)</f>
        <v>67060.096023923572</v>
      </c>
      <c r="G57" s="30">
        <f t="shared" si="17"/>
        <v>0.9</v>
      </c>
      <c r="H57">
        <f t="shared" si="18"/>
        <v>67060.096023923572</v>
      </c>
      <c r="I57">
        <f t="shared" si="0"/>
        <v>0</v>
      </c>
      <c r="J57">
        <f t="shared" si="1"/>
        <v>67060.096023923572</v>
      </c>
      <c r="K57">
        <f t="shared" si="2"/>
        <v>67020.406823753758</v>
      </c>
      <c r="L57">
        <f t="shared" si="3"/>
        <v>67020.406823753758</v>
      </c>
      <c r="M57">
        <f t="shared" si="4"/>
        <v>67060.096023923572</v>
      </c>
      <c r="N57" s="29">
        <f t="shared" si="5"/>
        <v>0</v>
      </c>
      <c r="O57" s="29">
        <f t="shared" si="6"/>
        <v>0</v>
      </c>
      <c r="P57" s="29">
        <f t="shared" si="7"/>
        <v>67060.096023923572</v>
      </c>
      <c r="Q57">
        <f t="shared" si="8"/>
        <v>0</v>
      </c>
      <c r="R57" s="29">
        <f t="shared" si="9"/>
        <v>0</v>
      </c>
      <c r="S57" s="29">
        <f t="shared" si="10"/>
        <v>0</v>
      </c>
      <c r="T57" s="29">
        <f t="shared" si="11"/>
        <v>67060.096023923572</v>
      </c>
      <c r="U57">
        <f t="shared" si="12"/>
        <v>0</v>
      </c>
      <c r="V57" s="29">
        <f t="shared" si="13"/>
        <v>0</v>
      </c>
      <c r="W57" s="29">
        <f t="shared" si="14"/>
        <v>0</v>
      </c>
      <c r="X57" s="29">
        <f t="shared" si="15"/>
        <v>67060.096023923572</v>
      </c>
      <c r="Y57">
        <f t="shared" si="16"/>
        <v>0</v>
      </c>
    </row>
    <row r="58" spans="1:25" x14ac:dyDescent="0.25">
      <c r="A58" s="4" t="s">
        <v>766</v>
      </c>
      <c r="B58" s="7" t="s">
        <v>115</v>
      </c>
      <c r="C58" s="2" t="s">
        <v>767</v>
      </c>
      <c r="D58">
        <f>VLOOKUP(B58,'Model allocations'!$A$1:$L$317,6,FALSE)</f>
        <v>0</v>
      </c>
      <c r="E58" s="31">
        <f>VLOOKUP(B58,'Initial adjusted formula count'!$A$1:$P$317,12,FALSE)</f>
        <v>2.6548672566371698E-2</v>
      </c>
      <c r="F58">
        <f>VLOOKUP(B58,'Model allocations'!$A$1:$L$317,11,FALSE)</f>
        <v>0</v>
      </c>
      <c r="G58" s="30">
        <f t="shared" si="17"/>
        <v>0.85</v>
      </c>
      <c r="H58">
        <f t="shared" si="18"/>
        <v>0</v>
      </c>
      <c r="I58">
        <f t="shared" si="0"/>
        <v>0</v>
      </c>
      <c r="J58">
        <f t="shared" si="1"/>
        <v>0</v>
      </c>
      <c r="K58">
        <f t="shared" si="2"/>
        <v>0</v>
      </c>
      <c r="L58">
        <f t="shared" si="3"/>
        <v>0</v>
      </c>
      <c r="M58">
        <f t="shared" si="4"/>
        <v>0</v>
      </c>
      <c r="N58" s="29">
        <f t="shared" si="5"/>
        <v>0</v>
      </c>
      <c r="O58" s="29">
        <f t="shared" si="6"/>
        <v>0</v>
      </c>
      <c r="P58" s="29">
        <f t="shared" si="7"/>
        <v>0</v>
      </c>
      <c r="Q58">
        <f t="shared" si="8"/>
        <v>0</v>
      </c>
      <c r="R58" s="29">
        <f t="shared" si="9"/>
        <v>0</v>
      </c>
      <c r="S58" s="29">
        <f t="shared" si="10"/>
        <v>0</v>
      </c>
      <c r="T58" s="29">
        <f t="shared" si="11"/>
        <v>0</v>
      </c>
      <c r="U58">
        <f t="shared" si="12"/>
        <v>0</v>
      </c>
      <c r="V58" s="29">
        <f t="shared" si="13"/>
        <v>0</v>
      </c>
      <c r="W58" s="29">
        <f t="shared" si="14"/>
        <v>0</v>
      </c>
      <c r="X58" s="29">
        <f t="shared" si="15"/>
        <v>0</v>
      </c>
      <c r="Y58">
        <f t="shared" si="16"/>
        <v>0</v>
      </c>
    </row>
    <row r="59" spans="1:25" x14ac:dyDescent="0.25">
      <c r="A59" s="4" t="s">
        <v>768</v>
      </c>
      <c r="B59" s="7" t="s">
        <v>272</v>
      </c>
      <c r="C59" s="2" t="s">
        <v>769</v>
      </c>
      <c r="D59">
        <f>VLOOKUP(B59,'Model allocations'!$A$1:$L$317,6,FALSE)</f>
        <v>39428.528077974399</v>
      </c>
      <c r="E59" s="31">
        <f>VLOOKUP(B59,'Initial adjusted formula count'!$A$1:$P$317,12,FALSE)</f>
        <v>8.89328063241107E-2</v>
      </c>
      <c r="F59">
        <f>VLOOKUP(B59,'Model allocations'!$A$1:$L$317,11,FALSE)</f>
        <v>33514.248866278242</v>
      </c>
      <c r="G59" s="30">
        <f t="shared" si="17"/>
        <v>0.85</v>
      </c>
      <c r="H59">
        <f t="shared" si="18"/>
        <v>33514.248866278242</v>
      </c>
      <c r="I59">
        <f t="shared" si="0"/>
        <v>0</v>
      </c>
      <c r="J59">
        <f t="shared" si="1"/>
        <v>33514.248866278242</v>
      </c>
      <c r="K59">
        <f t="shared" si="2"/>
        <v>33494.413616842867</v>
      </c>
      <c r="L59">
        <f t="shared" si="3"/>
        <v>33494.413616842867</v>
      </c>
      <c r="M59">
        <f t="shared" si="4"/>
        <v>33514.248866278242</v>
      </c>
      <c r="N59" s="29">
        <f t="shared" si="5"/>
        <v>0</v>
      </c>
      <c r="O59" s="29">
        <f t="shared" si="6"/>
        <v>0</v>
      </c>
      <c r="P59" s="29">
        <f t="shared" si="7"/>
        <v>33514.248866278242</v>
      </c>
      <c r="Q59">
        <f t="shared" si="8"/>
        <v>0</v>
      </c>
      <c r="R59" s="29">
        <f t="shared" si="9"/>
        <v>0</v>
      </c>
      <c r="S59" s="29">
        <f t="shared" si="10"/>
        <v>0</v>
      </c>
      <c r="T59" s="29">
        <f t="shared" si="11"/>
        <v>33514.248866278242</v>
      </c>
      <c r="U59">
        <f t="shared" si="12"/>
        <v>0</v>
      </c>
      <c r="V59" s="29">
        <f t="shared" si="13"/>
        <v>0</v>
      </c>
      <c r="W59" s="29">
        <f t="shared" si="14"/>
        <v>0</v>
      </c>
      <c r="X59" s="29">
        <f t="shared" si="15"/>
        <v>33514.248866278242</v>
      </c>
      <c r="Y59">
        <f t="shared" si="16"/>
        <v>0</v>
      </c>
    </row>
    <row r="60" spans="1:25" x14ac:dyDescent="0.25">
      <c r="A60" s="4" t="s">
        <v>770</v>
      </c>
      <c r="B60" s="7" t="s">
        <v>370</v>
      </c>
      <c r="C60" s="2" t="s">
        <v>771</v>
      </c>
      <c r="D60">
        <f>VLOOKUP(B60,'Model allocations'!$A$1:$L$317,6,FALSE)</f>
        <v>45821.433561777616</v>
      </c>
      <c r="E60" s="31">
        <f>VLOOKUP(B60,'Initial adjusted formula count'!$A$1:$P$317,12,FALSE)</f>
        <v>0.13945578231292499</v>
      </c>
      <c r="F60">
        <f>VLOOKUP(B60,'Model allocations'!$A$1:$L$317,11,FALSE)</f>
        <v>46624.180335610443</v>
      </c>
      <c r="G60" s="30">
        <f t="shared" si="17"/>
        <v>0.85</v>
      </c>
      <c r="H60">
        <f t="shared" si="18"/>
        <v>38948.218527510973</v>
      </c>
      <c r="I60">
        <f t="shared" si="0"/>
        <v>0</v>
      </c>
      <c r="J60">
        <f t="shared" si="1"/>
        <v>46624.180335610443</v>
      </c>
      <c r="K60">
        <f t="shared" si="2"/>
        <v>46596.586035336346</v>
      </c>
      <c r="L60">
        <f t="shared" si="3"/>
        <v>46596.586035336346</v>
      </c>
      <c r="M60">
        <f t="shared" si="4"/>
        <v>0</v>
      </c>
      <c r="N60" s="29">
        <f t="shared" si="5"/>
        <v>46596.586035336346</v>
      </c>
      <c r="O60" s="29">
        <f t="shared" si="6"/>
        <v>46593.050511292218</v>
      </c>
      <c r="P60" s="29">
        <f t="shared" si="7"/>
        <v>46593.050511292218</v>
      </c>
      <c r="Q60">
        <f t="shared" si="8"/>
        <v>0</v>
      </c>
      <c r="R60" s="29">
        <f t="shared" si="9"/>
        <v>46593.050511292218</v>
      </c>
      <c r="S60" s="29">
        <f t="shared" si="10"/>
        <v>46593.050511292182</v>
      </c>
      <c r="T60" s="29">
        <f t="shared" si="11"/>
        <v>46593.050511292182</v>
      </c>
      <c r="U60">
        <f t="shared" si="12"/>
        <v>0</v>
      </c>
      <c r="V60" s="29">
        <f t="shared" si="13"/>
        <v>46593.050511292182</v>
      </c>
      <c r="W60" s="29">
        <f t="shared" si="14"/>
        <v>46593.050511292182</v>
      </c>
      <c r="X60" s="29">
        <f t="shared" si="15"/>
        <v>46593.050511292182</v>
      </c>
      <c r="Y60">
        <f t="shared" si="16"/>
        <v>0</v>
      </c>
    </row>
    <row r="61" spans="1:25" x14ac:dyDescent="0.25">
      <c r="A61" s="4" t="s">
        <v>772</v>
      </c>
      <c r="B61" s="7" t="s">
        <v>372</v>
      </c>
      <c r="C61" s="2" t="s">
        <v>773</v>
      </c>
      <c r="D61">
        <f>VLOOKUP(B61,'Model allocations'!$A$1:$L$317,6,FALSE)</f>
        <v>53121.479364421146</v>
      </c>
      <c r="E61" s="31">
        <f>VLOOKUP(B61,'Initial adjusted formula count'!$A$1:$P$317,12,FALSE)</f>
        <v>0.179883945841393</v>
      </c>
      <c r="F61">
        <f>VLOOKUP(B61,'Model allocations'!$A$1:$L$317,11,FALSE)</f>
        <v>58188.426957132746</v>
      </c>
      <c r="G61" s="30">
        <f t="shared" si="17"/>
        <v>0.9</v>
      </c>
      <c r="H61">
        <f t="shared" si="18"/>
        <v>47809.331427979036</v>
      </c>
      <c r="I61">
        <f t="shared" si="0"/>
        <v>0</v>
      </c>
      <c r="J61">
        <f t="shared" si="1"/>
        <v>58188.426957132746</v>
      </c>
      <c r="K61">
        <f t="shared" si="2"/>
        <v>58153.988412275241</v>
      </c>
      <c r="L61">
        <f t="shared" si="3"/>
        <v>58153.988412275241</v>
      </c>
      <c r="M61">
        <f t="shared" si="4"/>
        <v>0</v>
      </c>
      <c r="N61" s="29">
        <f t="shared" si="5"/>
        <v>58153.988412275241</v>
      </c>
      <c r="O61" s="29">
        <f t="shared" si="6"/>
        <v>58149.575968321988</v>
      </c>
      <c r="P61" s="29">
        <f t="shared" si="7"/>
        <v>58149.575968321988</v>
      </c>
      <c r="Q61">
        <f t="shared" si="8"/>
        <v>0</v>
      </c>
      <c r="R61" s="29">
        <f t="shared" si="9"/>
        <v>58149.575968321988</v>
      </c>
      <c r="S61" s="29">
        <f t="shared" si="10"/>
        <v>58149.575968321937</v>
      </c>
      <c r="T61" s="29">
        <f t="shared" si="11"/>
        <v>58149.575968321937</v>
      </c>
      <c r="U61">
        <f t="shared" si="12"/>
        <v>0</v>
      </c>
      <c r="V61" s="29">
        <f t="shared" si="13"/>
        <v>58149.575968321937</v>
      </c>
      <c r="W61" s="29">
        <f t="shared" si="14"/>
        <v>58149.575968321937</v>
      </c>
      <c r="X61" s="29">
        <f t="shared" si="15"/>
        <v>58149.575968321937</v>
      </c>
      <c r="Y61">
        <f t="shared" si="16"/>
        <v>0</v>
      </c>
    </row>
    <row r="62" spans="1:25" x14ac:dyDescent="0.25">
      <c r="A62" s="4" t="s">
        <v>774</v>
      </c>
      <c r="B62" s="7" t="s">
        <v>374</v>
      </c>
      <c r="C62" s="2" t="s">
        <v>775</v>
      </c>
      <c r="D62">
        <f>VLOOKUP(B62,'Model allocations'!$A$1:$L$317,6,FALSE)</f>
        <v>191205.48819605962</v>
      </c>
      <c r="E62" s="31">
        <f>VLOOKUP(B62,'Initial adjusted formula count'!$A$1:$P$317,12,FALSE)</f>
        <v>9.9287808965228305E-2</v>
      </c>
      <c r="F62">
        <f>VLOOKUP(B62,'Model allocations'!$A$1:$L$317,11,FALSE)</f>
        <v>162524.66496665069</v>
      </c>
      <c r="G62" s="30">
        <f t="shared" si="17"/>
        <v>0.85</v>
      </c>
      <c r="H62">
        <f t="shared" si="18"/>
        <v>162524.66496665069</v>
      </c>
      <c r="I62">
        <f t="shared" si="0"/>
        <v>0</v>
      </c>
      <c r="J62">
        <f t="shared" si="1"/>
        <v>162524.66496665069</v>
      </c>
      <c r="K62">
        <f t="shared" si="2"/>
        <v>162428.47551356532</v>
      </c>
      <c r="L62">
        <f t="shared" si="3"/>
        <v>162428.47551356532</v>
      </c>
      <c r="M62">
        <f t="shared" si="4"/>
        <v>162524.66496665069</v>
      </c>
      <c r="N62" s="29">
        <f t="shared" si="5"/>
        <v>0</v>
      </c>
      <c r="O62" s="29">
        <f t="shared" si="6"/>
        <v>0</v>
      </c>
      <c r="P62" s="29">
        <f t="shared" si="7"/>
        <v>162524.66496665069</v>
      </c>
      <c r="Q62">
        <f t="shared" si="8"/>
        <v>0</v>
      </c>
      <c r="R62" s="29">
        <f t="shared" si="9"/>
        <v>0</v>
      </c>
      <c r="S62" s="29">
        <f t="shared" si="10"/>
        <v>0</v>
      </c>
      <c r="T62" s="29">
        <f t="shared" si="11"/>
        <v>162524.66496665069</v>
      </c>
      <c r="U62">
        <f t="shared" si="12"/>
        <v>0</v>
      </c>
      <c r="V62" s="29">
        <f t="shared" si="13"/>
        <v>0</v>
      </c>
      <c r="W62" s="29">
        <f t="shared" si="14"/>
        <v>0</v>
      </c>
      <c r="X62" s="29">
        <f t="shared" si="15"/>
        <v>162524.66496665069</v>
      </c>
      <c r="Y62">
        <f t="shared" si="16"/>
        <v>0</v>
      </c>
    </row>
    <row r="63" spans="1:25" x14ac:dyDescent="0.25">
      <c r="A63" s="4" t="s">
        <v>776</v>
      </c>
      <c r="B63" s="7" t="s">
        <v>274</v>
      </c>
      <c r="C63" s="2" t="s">
        <v>777</v>
      </c>
      <c r="D63">
        <f>VLOOKUP(B63,'Model allocations'!$A$1:$L$317,6,FALSE)</f>
        <v>0</v>
      </c>
      <c r="E63" s="31">
        <f>VLOOKUP(B63,'Initial adjusted formula count'!$A$1:$P$317,12,FALSE)</f>
        <v>4.4483209768861803E-2</v>
      </c>
      <c r="F63">
        <f>VLOOKUP(B63,'Model allocations'!$A$1:$L$317,11,FALSE)</f>
        <v>0</v>
      </c>
      <c r="G63" s="30">
        <f t="shared" si="17"/>
        <v>0.85</v>
      </c>
      <c r="H63">
        <f t="shared" si="18"/>
        <v>0</v>
      </c>
      <c r="I63">
        <f t="shared" si="0"/>
        <v>0</v>
      </c>
      <c r="J63">
        <f t="shared" si="1"/>
        <v>0</v>
      </c>
      <c r="K63">
        <f t="shared" si="2"/>
        <v>0</v>
      </c>
      <c r="L63">
        <f t="shared" si="3"/>
        <v>0</v>
      </c>
      <c r="M63">
        <f t="shared" si="4"/>
        <v>0</v>
      </c>
      <c r="N63" s="29">
        <f t="shared" si="5"/>
        <v>0</v>
      </c>
      <c r="O63" s="29">
        <f t="shared" si="6"/>
        <v>0</v>
      </c>
      <c r="P63" s="29">
        <f t="shared" si="7"/>
        <v>0</v>
      </c>
      <c r="Q63">
        <f t="shared" si="8"/>
        <v>0</v>
      </c>
      <c r="R63" s="29">
        <f t="shared" si="9"/>
        <v>0</v>
      </c>
      <c r="S63" s="29">
        <f t="shared" si="10"/>
        <v>0</v>
      </c>
      <c r="T63" s="29">
        <f t="shared" si="11"/>
        <v>0</v>
      </c>
      <c r="U63">
        <f t="shared" si="12"/>
        <v>0</v>
      </c>
      <c r="V63" s="29">
        <f t="shared" si="13"/>
        <v>0</v>
      </c>
      <c r="W63" s="29">
        <f t="shared" si="14"/>
        <v>0</v>
      </c>
      <c r="X63" s="29">
        <f t="shared" si="15"/>
        <v>0</v>
      </c>
      <c r="Y63">
        <f t="shared" si="16"/>
        <v>0</v>
      </c>
    </row>
    <row r="64" spans="1:25" x14ac:dyDescent="0.25">
      <c r="A64" s="4" t="s">
        <v>778</v>
      </c>
      <c r="B64" s="7" t="s">
        <v>376</v>
      </c>
      <c r="C64" s="2" t="s">
        <v>779</v>
      </c>
      <c r="D64">
        <f>VLOOKUP(B64,'Model allocations'!$A$1:$L$317,6,FALSE)</f>
        <v>0</v>
      </c>
      <c r="E64" s="31">
        <f>VLOOKUP(B64,'Initial adjusted formula count'!$A$1:$P$317,12,FALSE)</f>
        <v>0.08</v>
      </c>
      <c r="F64">
        <f>VLOOKUP(B64,'Model allocations'!$A$1:$L$317,11,FALSE)</f>
        <v>0</v>
      </c>
      <c r="G64" s="30">
        <f t="shared" si="17"/>
        <v>0.85</v>
      </c>
      <c r="H64">
        <f t="shared" si="18"/>
        <v>0</v>
      </c>
      <c r="I64">
        <f t="shared" si="0"/>
        <v>0</v>
      </c>
      <c r="J64">
        <f t="shared" si="1"/>
        <v>0</v>
      </c>
      <c r="K64">
        <f t="shared" si="2"/>
        <v>0</v>
      </c>
      <c r="L64">
        <f t="shared" si="3"/>
        <v>0</v>
      </c>
      <c r="M64">
        <f t="shared" si="4"/>
        <v>0</v>
      </c>
      <c r="N64" s="29">
        <f t="shared" si="5"/>
        <v>0</v>
      </c>
      <c r="O64" s="29">
        <f t="shared" si="6"/>
        <v>0</v>
      </c>
      <c r="P64" s="29">
        <f t="shared" si="7"/>
        <v>0</v>
      </c>
      <c r="Q64">
        <f t="shared" si="8"/>
        <v>0</v>
      </c>
      <c r="R64" s="29">
        <f t="shared" si="9"/>
        <v>0</v>
      </c>
      <c r="S64" s="29">
        <f t="shared" si="10"/>
        <v>0</v>
      </c>
      <c r="T64" s="29">
        <f t="shared" si="11"/>
        <v>0</v>
      </c>
      <c r="U64">
        <f t="shared" si="12"/>
        <v>0</v>
      </c>
      <c r="V64" s="29">
        <f t="shared" si="13"/>
        <v>0</v>
      </c>
      <c r="W64" s="29">
        <f t="shared" si="14"/>
        <v>0</v>
      </c>
      <c r="X64" s="29">
        <f t="shared" si="15"/>
        <v>0</v>
      </c>
      <c r="Y64">
        <f t="shared" si="16"/>
        <v>0</v>
      </c>
    </row>
    <row r="65" spans="1:25" x14ac:dyDescent="0.25">
      <c r="A65" s="4" t="s">
        <v>780</v>
      </c>
      <c r="B65" s="7" t="s">
        <v>378</v>
      </c>
      <c r="C65" s="2" t="s">
        <v>781</v>
      </c>
      <c r="D65">
        <f>VLOOKUP(B65,'Model allocations'!$A$1:$L$317,6,FALSE)</f>
        <v>492585.41720499872</v>
      </c>
      <c r="E65" s="31">
        <f>VLOOKUP(B65,'Initial adjusted formula count'!$A$1:$P$317,12,FALSE)</f>
        <v>0.126458731169107</v>
      </c>
      <c r="F65">
        <f>VLOOKUP(B65,'Model allocations'!$A$1:$L$317,11,FALSE)</f>
        <v>418697.60462424892</v>
      </c>
      <c r="G65" s="30">
        <f t="shared" si="17"/>
        <v>0.85</v>
      </c>
      <c r="H65">
        <f t="shared" si="18"/>
        <v>418697.60462424892</v>
      </c>
      <c r="I65">
        <f t="shared" si="0"/>
        <v>0</v>
      </c>
      <c r="J65">
        <f t="shared" si="1"/>
        <v>418697.60462424892</v>
      </c>
      <c r="K65">
        <f t="shared" si="2"/>
        <v>418449.80043031176</v>
      </c>
      <c r="L65">
        <f t="shared" si="3"/>
        <v>418449.80043031176</v>
      </c>
      <c r="M65">
        <f t="shared" si="4"/>
        <v>418697.60462424892</v>
      </c>
      <c r="N65" s="29">
        <f t="shared" si="5"/>
        <v>0</v>
      </c>
      <c r="O65" s="29">
        <f t="shared" si="6"/>
        <v>0</v>
      </c>
      <c r="P65" s="29">
        <f t="shared" si="7"/>
        <v>418697.60462424892</v>
      </c>
      <c r="Q65">
        <f t="shared" si="8"/>
        <v>0</v>
      </c>
      <c r="R65" s="29">
        <f t="shared" si="9"/>
        <v>0</v>
      </c>
      <c r="S65" s="29">
        <f t="shared" si="10"/>
        <v>0</v>
      </c>
      <c r="T65" s="29">
        <f t="shared" si="11"/>
        <v>418697.60462424892</v>
      </c>
      <c r="U65">
        <f t="shared" si="12"/>
        <v>0</v>
      </c>
      <c r="V65" s="29">
        <f t="shared" si="13"/>
        <v>0</v>
      </c>
      <c r="W65" s="29">
        <f t="shared" si="14"/>
        <v>0</v>
      </c>
      <c r="X65" s="29">
        <f t="shared" si="15"/>
        <v>418697.60462424892</v>
      </c>
      <c r="Y65">
        <f t="shared" si="16"/>
        <v>0</v>
      </c>
    </row>
    <row r="66" spans="1:25" x14ac:dyDescent="0.25">
      <c r="A66" s="4" t="s">
        <v>782</v>
      </c>
      <c r="B66" s="7" t="s">
        <v>380</v>
      </c>
      <c r="C66" s="2" t="s">
        <v>783</v>
      </c>
      <c r="D66">
        <f>VLOOKUP(B66,'Model allocations'!$A$1:$L$317,6,FALSE)</f>
        <v>237592.61846847655</v>
      </c>
      <c r="E66" s="31">
        <f>VLOOKUP(B66,'Initial adjusted formula count'!$A$1:$P$317,12,FALSE)</f>
        <v>0.137717818999438</v>
      </c>
      <c r="F66">
        <f>VLOOKUP(B66,'Model allocations'!$A$1:$L$317,11,FALSE)</f>
        <v>278607.90688352578</v>
      </c>
      <c r="G66" s="30">
        <f t="shared" si="17"/>
        <v>0.85</v>
      </c>
      <c r="H66">
        <f t="shared" si="18"/>
        <v>201953.72569820506</v>
      </c>
      <c r="I66">
        <f t="shared" si="0"/>
        <v>0</v>
      </c>
      <c r="J66">
        <f t="shared" si="1"/>
        <v>278607.90688352578</v>
      </c>
      <c r="K66">
        <f t="shared" si="2"/>
        <v>278443.01411359524</v>
      </c>
      <c r="L66">
        <f t="shared" si="3"/>
        <v>278443.01411359524</v>
      </c>
      <c r="M66">
        <f t="shared" si="4"/>
        <v>0</v>
      </c>
      <c r="N66" s="29">
        <f t="shared" si="5"/>
        <v>278443.01411359524</v>
      </c>
      <c r="O66" s="29">
        <f t="shared" si="6"/>
        <v>278421.88720162422</v>
      </c>
      <c r="P66" s="29">
        <f t="shared" si="7"/>
        <v>278421.88720162422</v>
      </c>
      <c r="Q66">
        <f t="shared" si="8"/>
        <v>0</v>
      </c>
      <c r="R66" s="29">
        <f t="shared" si="9"/>
        <v>278421.88720162422</v>
      </c>
      <c r="S66" s="29">
        <f t="shared" si="10"/>
        <v>278421.88720162399</v>
      </c>
      <c r="T66" s="29">
        <f t="shared" si="11"/>
        <v>278421.88720162399</v>
      </c>
      <c r="U66">
        <f t="shared" si="12"/>
        <v>0</v>
      </c>
      <c r="V66" s="29">
        <f t="shared" si="13"/>
        <v>278421.88720162399</v>
      </c>
      <c r="W66" s="29">
        <f t="shared" si="14"/>
        <v>278421.88720162399</v>
      </c>
      <c r="X66" s="29">
        <f t="shared" si="15"/>
        <v>278421.88720162399</v>
      </c>
      <c r="Y66">
        <f t="shared" si="16"/>
        <v>0</v>
      </c>
    </row>
    <row r="67" spans="1:25" x14ac:dyDescent="0.25">
      <c r="A67" s="4" t="s">
        <v>784</v>
      </c>
      <c r="B67" s="7" t="s">
        <v>382</v>
      </c>
      <c r="C67" s="2" t="s">
        <v>785</v>
      </c>
      <c r="D67">
        <f>VLOOKUP(B67,'Model allocations'!$A$1:$L$317,6,FALSE)</f>
        <v>360348.80467718944</v>
      </c>
      <c r="E67" s="31">
        <f>VLOOKUP(B67,'Initial adjusted formula count'!$A$1:$P$317,12,FALSE)</f>
        <v>0.138697557921102</v>
      </c>
      <c r="F67">
        <f>VLOOKUP(B67,'Model allocations'!$A$1:$L$317,11,FALSE)</f>
        <v>559205.87024479103</v>
      </c>
      <c r="G67" s="30">
        <f t="shared" si="17"/>
        <v>0.85</v>
      </c>
      <c r="H67">
        <f t="shared" si="18"/>
        <v>306296.48397561105</v>
      </c>
      <c r="I67">
        <f t="shared" si="0"/>
        <v>0</v>
      </c>
      <c r="J67">
        <f t="shared" si="1"/>
        <v>559205.87024479103</v>
      </c>
      <c r="K67">
        <f t="shared" si="2"/>
        <v>558874.90689943044</v>
      </c>
      <c r="L67">
        <f t="shared" si="3"/>
        <v>558874.90689943044</v>
      </c>
      <c r="M67">
        <f t="shared" si="4"/>
        <v>0</v>
      </c>
      <c r="N67" s="29">
        <f t="shared" si="5"/>
        <v>558874.90689943044</v>
      </c>
      <c r="O67" s="29">
        <f t="shared" si="6"/>
        <v>558832.50216897426</v>
      </c>
      <c r="P67" s="29">
        <f t="shared" si="7"/>
        <v>558832.50216897426</v>
      </c>
      <c r="Q67">
        <f t="shared" si="8"/>
        <v>0</v>
      </c>
      <c r="R67" s="29">
        <f t="shared" si="9"/>
        <v>558832.50216897426</v>
      </c>
      <c r="S67" s="29">
        <f t="shared" si="10"/>
        <v>558832.50216897379</v>
      </c>
      <c r="T67" s="29">
        <f t="shared" si="11"/>
        <v>558832.50216897379</v>
      </c>
      <c r="U67">
        <f t="shared" si="12"/>
        <v>0</v>
      </c>
      <c r="V67" s="29">
        <f t="shared" si="13"/>
        <v>558832.50216897379</v>
      </c>
      <c r="W67" s="29">
        <f t="shared" si="14"/>
        <v>558832.50216897379</v>
      </c>
      <c r="X67" s="29">
        <f t="shared" si="15"/>
        <v>558832.50216897379</v>
      </c>
      <c r="Y67">
        <f t="shared" si="16"/>
        <v>0</v>
      </c>
    </row>
    <row r="68" spans="1:25" x14ac:dyDescent="0.25">
      <c r="A68" s="4" t="s">
        <v>786</v>
      </c>
      <c r="B68" s="7" t="s">
        <v>117</v>
      </c>
      <c r="C68" s="2" t="s">
        <v>787</v>
      </c>
      <c r="D68">
        <f>VLOOKUP(B68,'Model allocations'!$A$1:$L$317,6,FALSE)</f>
        <v>0</v>
      </c>
      <c r="E68" s="31">
        <f>VLOOKUP(B68,'Initial adjusted formula count'!$A$1:$P$317,12,FALSE)</f>
        <v>0.13375796178343899</v>
      </c>
      <c r="F68">
        <f>VLOOKUP(B68,'Model allocations'!$A$1:$L$317,11,FALSE)</f>
        <v>11940.338866436818</v>
      </c>
      <c r="G68" s="30">
        <f t="shared" si="17"/>
        <v>0.85</v>
      </c>
      <c r="H68">
        <f t="shared" si="18"/>
        <v>0</v>
      </c>
      <c r="I68">
        <f t="shared" ref="I68:I131" si="19">IF(F68&lt;H68,H68,0)</f>
        <v>0</v>
      </c>
      <c r="J68">
        <f t="shared" ref="J68:J131" si="20">IF(I68=0,F68,0)</f>
        <v>11940.338866436818</v>
      </c>
      <c r="K68">
        <f t="shared" ref="K68:K131" si="21">(J68/$J$3)*($F$3-$I$3)</f>
        <v>11933.272033439795</v>
      </c>
      <c r="L68">
        <f t="shared" ref="L68:L131" si="22">I68+K68</f>
        <v>11933.272033439795</v>
      </c>
      <c r="M68">
        <f t="shared" ref="M68:M131" si="23">IF(L68&lt;H68,H68,0)</f>
        <v>0</v>
      </c>
      <c r="N68" s="29">
        <f t="shared" ref="N68:N131" si="24">IF($I68+$M68=0,L68,0)</f>
        <v>11933.272033439795</v>
      </c>
      <c r="O68" s="29">
        <f t="shared" ref="O68:O131" si="25">((N68/$N$3)*($F$3-$I$3-$M$3))</f>
        <v>11932.366594355322</v>
      </c>
      <c r="P68" s="29">
        <f t="shared" ref="P68:P131" si="26">$I68+$M68+O68</f>
        <v>11932.366594355322</v>
      </c>
      <c r="Q68">
        <f t="shared" ref="Q68:Q131" si="27">IF(P68&lt;H68,H68,0)</f>
        <v>0</v>
      </c>
      <c r="R68" s="29">
        <f t="shared" ref="R68:R131" si="28">IF($I68+$M68+$Q68=0,P68,0)</f>
        <v>11932.366594355322</v>
      </c>
      <c r="S68" s="29">
        <f t="shared" ref="S68:S131" si="29">((R68/$R$3)*($F$3-$I$3-$M$3-$Q$3))</f>
        <v>11932.366594355313</v>
      </c>
      <c r="T68" s="29">
        <f t="shared" ref="T68:T131" si="30">$I68+$M68+$Q68+S68</f>
        <v>11932.366594355313</v>
      </c>
      <c r="U68">
        <f t="shared" ref="U68:U131" si="31">IF(T68&lt;H68,H68,0)</f>
        <v>0</v>
      </c>
      <c r="V68" s="29">
        <f t="shared" ref="V68:V131" si="32">IF($I68+$M68+$Q68+U68=0,T68,0)</f>
        <v>11932.366594355313</v>
      </c>
      <c r="W68" s="29">
        <f t="shared" ref="W68:W131" si="33">((V68/$V$3)*($F$3-$I$3-$M$3-$Q$3-$U$3))</f>
        <v>11932.366594355313</v>
      </c>
      <c r="X68" s="29">
        <f t="shared" ref="X68:X131" si="34">$I68+$M68+$Q68+$U68+W68</f>
        <v>11932.366594355313</v>
      </c>
      <c r="Y68">
        <f t="shared" ref="Y68:Y131" si="35">IF(X68&lt;H68,H68,0)</f>
        <v>0</v>
      </c>
    </row>
    <row r="69" spans="1:25" x14ac:dyDescent="0.25">
      <c r="A69" s="4" t="s">
        <v>788</v>
      </c>
      <c r="B69" s="7" t="s">
        <v>119</v>
      </c>
      <c r="C69" s="2" t="s">
        <v>789</v>
      </c>
      <c r="D69">
        <f>VLOOKUP(B69,'Model allocations'!$A$1:$L$317,6,FALSE)</f>
        <v>108048.0717320929</v>
      </c>
      <c r="E69" s="31">
        <f>VLOOKUP(B69,'Initial adjusted formula count'!$A$1:$P$317,12,FALSE)</f>
        <v>7.0657065706570599E-2</v>
      </c>
      <c r="F69">
        <f>VLOOKUP(B69,'Model allocations'!$A$1:$L$317,11,FALSE)</f>
        <v>91840.860972278955</v>
      </c>
      <c r="G69" s="30">
        <f t="shared" ref="G69:G132" si="36">IF(E69&lt;0.15,0.85,IF(AND(E69&gt;=0.15,E69&lt;0.3),0.9,0.95))</f>
        <v>0.85</v>
      </c>
      <c r="H69">
        <f t="shared" ref="H69:H132" si="37">IF(F69 = 0, 0, D69*G69)</f>
        <v>91840.860972278955</v>
      </c>
      <c r="I69">
        <f t="shared" si="19"/>
        <v>0</v>
      </c>
      <c r="J69">
        <f t="shared" si="20"/>
        <v>91840.860972278955</v>
      </c>
      <c r="K69">
        <f t="shared" si="21"/>
        <v>91786.505393760293</v>
      </c>
      <c r="L69">
        <f t="shared" si="22"/>
        <v>91786.505393760293</v>
      </c>
      <c r="M69">
        <f t="shared" si="23"/>
        <v>91840.860972278955</v>
      </c>
      <c r="N69" s="29">
        <f t="shared" si="24"/>
        <v>0</v>
      </c>
      <c r="O69" s="29">
        <f t="shared" si="25"/>
        <v>0</v>
      </c>
      <c r="P69" s="29">
        <f t="shared" si="26"/>
        <v>91840.860972278955</v>
      </c>
      <c r="Q69">
        <f t="shared" si="27"/>
        <v>0</v>
      </c>
      <c r="R69" s="29">
        <f t="shared" si="28"/>
        <v>0</v>
      </c>
      <c r="S69" s="29">
        <f t="shared" si="29"/>
        <v>0</v>
      </c>
      <c r="T69" s="29">
        <f t="shared" si="30"/>
        <v>91840.860972278955</v>
      </c>
      <c r="U69">
        <f t="shared" si="31"/>
        <v>0</v>
      </c>
      <c r="V69" s="29">
        <f t="shared" si="32"/>
        <v>0</v>
      </c>
      <c r="W69" s="29">
        <f t="shared" si="33"/>
        <v>0</v>
      </c>
      <c r="X69" s="29">
        <f t="shared" si="34"/>
        <v>91840.860972278955</v>
      </c>
      <c r="Y69">
        <f t="shared" si="35"/>
        <v>0</v>
      </c>
    </row>
    <row r="70" spans="1:25" x14ac:dyDescent="0.25">
      <c r="A70" s="4" t="s">
        <v>790</v>
      </c>
      <c r="B70" s="7" t="s">
        <v>121</v>
      </c>
      <c r="C70" s="2" t="s">
        <v>791</v>
      </c>
      <c r="D70">
        <f>VLOOKUP(B70,'Model allocations'!$A$1:$L$317,6,FALSE)</f>
        <v>1595830.4207132678</v>
      </c>
      <c r="E70" s="31">
        <f>VLOOKUP(B70,'Initial adjusted formula count'!$A$1:$P$317,12,FALSE)</f>
        <v>9.6499488229273303E-2</v>
      </c>
      <c r="F70">
        <f>VLOOKUP(B70,'Model allocations'!$A$1:$L$317,11,FALSE)</f>
        <v>1840802.2419090094</v>
      </c>
      <c r="G70" s="30">
        <f t="shared" si="36"/>
        <v>0.85</v>
      </c>
      <c r="H70">
        <f t="shared" si="37"/>
        <v>1356455.8576062776</v>
      </c>
      <c r="I70">
        <f t="shared" si="19"/>
        <v>0</v>
      </c>
      <c r="J70">
        <f t="shared" si="20"/>
        <v>1840802.2419090094</v>
      </c>
      <c r="K70">
        <f t="shared" si="21"/>
        <v>1839712.7718219683</v>
      </c>
      <c r="L70">
        <f t="shared" si="22"/>
        <v>1839712.7718219683</v>
      </c>
      <c r="M70">
        <f t="shared" si="23"/>
        <v>0</v>
      </c>
      <c r="N70" s="29">
        <f t="shared" si="24"/>
        <v>1839712.7718219683</v>
      </c>
      <c r="O70" s="29">
        <f t="shared" si="25"/>
        <v>1839573.1832964453</v>
      </c>
      <c r="P70" s="29">
        <f t="shared" si="26"/>
        <v>1839573.1832964453</v>
      </c>
      <c r="Q70">
        <f t="shared" si="27"/>
        <v>0</v>
      </c>
      <c r="R70" s="29">
        <f t="shared" si="28"/>
        <v>1839573.1832964453</v>
      </c>
      <c r="S70" s="29">
        <f t="shared" si="29"/>
        <v>1839573.1832964437</v>
      </c>
      <c r="T70" s="29">
        <f t="shared" si="30"/>
        <v>1839573.1832964437</v>
      </c>
      <c r="U70">
        <f t="shared" si="31"/>
        <v>0</v>
      </c>
      <c r="V70" s="29">
        <f t="shared" si="32"/>
        <v>1839573.1832964437</v>
      </c>
      <c r="W70" s="29">
        <f t="shared" si="33"/>
        <v>1839573.1832964437</v>
      </c>
      <c r="X70" s="29">
        <f t="shared" si="34"/>
        <v>1839573.1832964437</v>
      </c>
      <c r="Y70">
        <f t="shared" si="35"/>
        <v>0</v>
      </c>
    </row>
    <row r="71" spans="1:25" x14ac:dyDescent="0.25">
      <c r="A71" s="4" t="s">
        <v>792</v>
      </c>
      <c r="B71" s="7" t="s">
        <v>384</v>
      </c>
      <c r="C71" s="2" t="s">
        <v>793</v>
      </c>
      <c r="D71">
        <f>VLOOKUP(B71,'Model allocations'!$A$1:$L$317,6,FALSE)</f>
        <v>224015.89741313504</v>
      </c>
      <c r="E71" s="31">
        <f>VLOOKUP(B71,'Initial adjusted formula count'!$A$1:$P$317,12,FALSE)</f>
        <v>0.12371420628301399</v>
      </c>
      <c r="F71">
        <f>VLOOKUP(B71,'Model allocations'!$A$1:$L$317,11,FALSE)</f>
        <v>253021.46645544688</v>
      </c>
      <c r="G71" s="30">
        <f t="shared" si="36"/>
        <v>0.85</v>
      </c>
      <c r="H71">
        <f t="shared" si="37"/>
        <v>190413.51280116479</v>
      </c>
      <c r="I71">
        <f t="shared" si="19"/>
        <v>0</v>
      </c>
      <c r="J71">
        <f t="shared" si="20"/>
        <v>253021.46645544688</v>
      </c>
      <c r="K71">
        <f t="shared" si="21"/>
        <v>252871.7168990814</v>
      </c>
      <c r="L71">
        <f t="shared" si="22"/>
        <v>252871.7168990814</v>
      </c>
      <c r="M71">
        <f t="shared" si="23"/>
        <v>0</v>
      </c>
      <c r="N71" s="29">
        <f t="shared" si="24"/>
        <v>252871.7168990814</v>
      </c>
      <c r="O71" s="29">
        <f t="shared" si="25"/>
        <v>252852.53021371993</v>
      </c>
      <c r="P71" s="29">
        <f t="shared" si="26"/>
        <v>252852.53021371993</v>
      </c>
      <c r="Q71">
        <f t="shared" si="27"/>
        <v>0</v>
      </c>
      <c r="R71" s="29">
        <f t="shared" si="28"/>
        <v>252852.53021371993</v>
      </c>
      <c r="S71" s="29">
        <f t="shared" si="29"/>
        <v>252852.53021371973</v>
      </c>
      <c r="T71" s="29">
        <f t="shared" si="30"/>
        <v>252852.53021371973</v>
      </c>
      <c r="U71">
        <f t="shared" si="31"/>
        <v>0</v>
      </c>
      <c r="V71" s="29">
        <f t="shared" si="32"/>
        <v>252852.53021371973</v>
      </c>
      <c r="W71" s="29">
        <f t="shared" si="33"/>
        <v>252852.53021371973</v>
      </c>
      <c r="X71" s="29">
        <f t="shared" si="34"/>
        <v>252852.53021371973</v>
      </c>
      <c r="Y71">
        <f t="shared" si="35"/>
        <v>0</v>
      </c>
    </row>
    <row r="72" spans="1:25" x14ac:dyDescent="0.25">
      <c r="A72" s="4" t="s">
        <v>794</v>
      </c>
      <c r="B72" s="7" t="s">
        <v>386</v>
      </c>
      <c r="C72" s="2" t="s">
        <v>795</v>
      </c>
      <c r="D72">
        <f>VLOOKUP(B72,'Model allocations'!$A$1:$L$317,6,FALSE)</f>
        <v>219740.47481346581</v>
      </c>
      <c r="E72" s="31">
        <f>VLOOKUP(B72,'Initial adjusted formula count'!$A$1:$P$317,12,FALSE)</f>
        <v>0.15379786566227199</v>
      </c>
      <c r="F72">
        <f>VLOOKUP(B72,'Model allocations'!$A$1:$L$317,11,FALSE)</f>
        <v>197766.42733211923</v>
      </c>
      <c r="G72" s="30">
        <f t="shared" si="36"/>
        <v>0.9</v>
      </c>
      <c r="H72">
        <f t="shared" si="37"/>
        <v>197766.42733211923</v>
      </c>
      <c r="I72">
        <f t="shared" si="19"/>
        <v>0</v>
      </c>
      <c r="J72">
        <f t="shared" si="20"/>
        <v>197766.42733211923</v>
      </c>
      <c r="K72">
        <f t="shared" si="21"/>
        <v>197649.38020891719</v>
      </c>
      <c r="L72">
        <f t="shared" si="22"/>
        <v>197649.38020891719</v>
      </c>
      <c r="M72">
        <f t="shared" si="23"/>
        <v>197766.42733211923</v>
      </c>
      <c r="N72" s="29">
        <f t="shared" si="24"/>
        <v>0</v>
      </c>
      <c r="O72" s="29">
        <f t="shared" si="25"/>
        <v>0</v>
      </c>
      <c r="P72" s="29">
        <f t="shared" si="26"/>
        <v>197766.42733211923</v>
      </c>
      <c r="Q72">
        <f t="shared" si="27"/>
        <v>0</v>
      </c>
      <c r="R72" s="29">
        <f t="shared" si="28"/>
        <v>0</v>
      </c>
      <c r="S72" s="29">
        <f t="shared" si="29"/>
        <v>0</v>
      </c>
      <c r="T72" s="29">
        <f t="shared" si="30"/>
        <v>197766.42733211923</v>
      </c>
      <c r="U72">
        <f t="shared" si="31"/>
        <v>0</v>
      </c>
      <c r="V72" s="29">
        <f t="shared" si="32"/>
        <v>0</v>
      </c>
      <c r="W72" s="29">
        <f t="shared" si="33"/>
        <v>0</v>
      </c>
      <c r="X72" s="29">
        <f t="shared" si="34"/>
        <v>197766.42733211923</v>
      </c>
      <c r="Y72">
        <f t="shared" si="35"/>
        <v>0</v>
      </c>
    </row>
    <row r="73" spans="1:25" x14ac:dyDescent="0.25">
      <c r="A73" s="4" t="s">
        <v>796</v>
      </c>
      <c r="B73" s="7" t="s">
        <v>388</v>
      </c>
      <c r="C73" s="2" t="s">
        <v>797</v>
      </c>
      <c r="D73">
        <f>VLOOKUP(B73,'Model allocations'!$A$1:$L$317,6,FALSE)</f>
        <v>14716.854244394846</v>
      </c>
      <c r="E73" s="31">
        <f>VLOOKUP(B73,'Initial adjusted formula count'!$A$1:$P$317,12,FALSE)</f>
        <v>0.24444444444444399</v>
      </c>
      <c r="F73">
        <f>VLOOKUP(B73,'Model allocations'!$A$1:$L$317,11,FALSE)</f>
        <v>16807.021982748694</v>
      </c>
      <c r="G73" s="30">
        <f t="shared" si="36"/>
        <v>0.9</v>
      </c>
      <c r="H73">
        <f t="shared" si="37"/>
        <v>13245.168819955363</v>
      </c>
      <c r="I73">
        <f t="shared" si="19"/>
        <v>0</v>
      </c>
      <c r="J73">
        <f t="shared" si="20"/>
        <v>16807.021982748694</v>
      </c>
      <c r="K73">
        <f t="shared" si="21"/>
        <v>16797.074826402633</v>
      </c>
      <c r="L73">
        <f t="shared" si="22"/>
        <v>16797.074826402633</v>
      </c>
      <c r="M73">
        <f t="shared" si="23"/>
        <v>0</v>
      </c>
      <c r="N73" s="29">
        <f t="shared" si="24"/>
        <v>16797.074826402633</v>
      </c>
      <c r="O73" s="29">
        <f t="shared" si="25"/>
        <v>16795.80034543798</v>
      </c>
      <c r="P73" s="29">
        <f t="shared" si="26"/>
        <v>16795.80034543798</v>
      </c>
      <c r="Q73">
        <f t="shared" si="27"/>
        <v>0</v>
      </c>
      <c r="R73" s="29">
        <f t="shared" si="28"/>
        <v>16795.80034543798</v>
      </c>
      <c r="S73" s="29">
        <f t="shared" si="29"/>
        <v>16795.800345437965</v>
      </c>
      <c r="T73" s="29">
        <f t="shared" si="30"/>
        <v>16795.800345437965</v>
      </c>
      <c r="U73">
        <f t="shared" si="31"/>
        <v>0</v>
      </c>
      <c r="V73" s="29">
        <f t="shared" si="32"/>
        <v>16795.800345437965</v>
      </c>
      <c r="W73" s="29">
        <f t="shared" si="33"/>
        <v>16795.800345437965</v>
      </c>
      <c r="X73" s="29">
        <f t="shared" si="34"/>
        <v>16795.800345437965</v>
      </c>
      <c r="Y73">
        <f t="shared" si="35"/>
        <v>0</v>
      </c>
    </row>
    <row r="74" spans="1:25" x14ac:dyDescent="0.25">
      <c r="A74" s="4" t="s">
        <v>798</v>
      </c>
      <c r="B74" s="7" t="s">
        <v>390</v>
      </c>
      <c r="C74" s="2" t="s">
        <v>799</v>
      </c>
      <c r="D74">
        <f>VLOOKUP(B74,'Model allocations'!$A$1:$L$317,6,FALSE)</f>
        <v>42460.572834198923</v>
      </c>
      <c r="E74" s="31">
        <f>VLOOKUP(B74,'Initial adjusted formula count'!$A$1:$P$317,12,FALSE)</f>
        <v>0.17114914425427899</v>
      </c>
      <c r="F74">
        <f>VLOOKUP(B74,'Model allocations'!$A$1:$L$317,11,FALSE)</f>
        <v>42478.238816779289</v>
      </c>
      <c r="G74" s="30">
        <f t="shared" si="36"/>
        <v>0.9</v>
      </c>
      <c r="H74">
        <f t="shared" si="37"/>
        <v>38214.515550779033</v>
      </c>
      <c r="I74">
        <f t="shared" si="19"/>
        <v>0</v>
      </c>
      <c r="J74">
        <f t="shared" si="20"/>
        <v>42478.238816779289</v>
      </c>
      <c r="K74">
        <f t="shared" si="21"/>
        <v>42453.098272353898</v>
      </c>
      <c r="L74">
        <f t="shared" si="22"/>
        <v>42453.098272353898</v>
      </c>
      <c r="M74">
        <f t="shared" si="23"/>
        <v>0</v>
      </c>
      <c r="N74" s="29">
        <f t="shared" si="24"/>
        <v>42453.098272353898</v>
      </c>
      <c r="O74" s="29">
        <f t="shared" si="25"/>
        <v>42449.877136162162</v>
      </c>
      <c r="P74" s="29">
        <f t="shared" si="26"/>
        <v>42449.877136162162</v>
      </c>
      <c r="Q74">
        <f t="shared" si="27"/>
        <v>0</v>
      </c>
      <c r="R74" s="29">
        <f t="shared" si="28"/>
        <v>42449.877136162162</v>
      </c>
      <c r="S74" s="29">
        <f t="shared" si="29"/>
        <v>42449.877136162126</v>
      </c>
      <c r="T74" s="29">
        <f t="shared" si="30"/>
        <v>42449.877136162126</v>
      </c>
      <c r="U74">
        <f t="shared" si="31"/>
        <v>0</v>
      </c>
      <c r="V74" s="29">
        <f t="shared" si="32"/>
        <v>42449.877136162126</v>
      </c>
      <c r="W74" s="29">
        <f t="shared" si="33"/>
        <v>42449.877136162126</v>
      </c>
      <c r="X74" s="29">
        <f t="shared" si="34"/>
        <v>42449.877136162126</v>
      </c>
      <c r="Y74">
        <f t="shared" si="35"/>
        <v>0</v>
      </c>
    </row>
    <row r="75" spans="1:25" x14ac:dyDescent="0.25">
      <c r="A75" s="4" t="s">
        <v>800</v>
      </c>
      <c r="B75" s="7" t="s">
        <v>123</v>
      </c>
      <c r="C75" s="2" t="s">
        <v>801</v>
      </c>
      <c r="D75">
        <f>VLOOKUP(B75,'Model allocations'!$A$1:$L$317,6,FALSE)</f>
        <v>170274.70990240821</v>
      </c>
      <c r="E75" s="31">
        <f>VLOOKUP(B75,'Initial adjusted formula count'!$A$1:$P$317,12,FALSE)</f>
        <v>6.2126387702818101E-2</v>
      </c>
      <c r="F75">
        <f>VLOOKUP(B75,'Model allocations'!$A$1:$L$317,11,FALSE)</f>
        <v>165458.98143491024</v>
      </c>
      <c r="G75" s="30">
        <f t="shared" si="36"/>
        <v>0.85</v>
      </c>
      <c r="H75">
        <f t="shared" si="37"/>
        <v>144733.50341704697</v>
      </c>
      <c r="I75">
        <f t="shared" si="19"/>
        <v>0</v>
      </c>
      <c r="J75">
        <f t="shared" si="20"/>
        <v>165458.98143491024</v>
      </c>
      <c r="K75">
        <f t="shared" si="21"/>
        <v>165361.05532052292</v>
      </c>
      <c r="L75">
        <f t="shared" si="22"/>
        <v>165361.05532052292</v>
      </c>
      <c r="M75">
        <f t="shared" si="23"/>
        <v>0</v>
      </c>
      <c r="N75" s="29">
        <f t="shared" si="24"/>
        <v>165361.05532052292</v>
      </c>
      <c r="O75" s="29">
        <f t="shared" si="25"/>
        <v>165348.50852178095</v>
      </c>
      <c r="P75" s="29">
        <f t="shared" si="26"/>
        <v>165348.50852178095</v>
      </c>
      <c r="Q75">
        <f t="shared" si="27"/>
        <v>0</v>
      </c>
      <c r="R75" s="29">
        <f t="shared" si="28"/>
        <v>165348.50852178095</v>
      </c>
      <c r="S75" s="29">
        <f t="shared" si="29"/>
        <v>165348.50852178081</v>
      </c>
      <c r="T75" s="29">
        <f t="shared" si="30"/>
        <v>165348.50852178081</v>
      </c>
      <c r="U75">
        <f t="shared" si="31"/>
        <v>0</v>
      </c>
      <c r="V75" s="29">
        <f t="shared" si="32"/>
        <v>165348.50852178081</v>
      </c>
      <c r="W75" s="29">
        <f t="shared" si="33"/>
        <v>165348.50852178081</v>
      </c>
      <c r="X75" s="29">
        <f t="shared" si="34"/>
        <v>165348.50852178081</v>
      </c>
      <c r="Y75">
        <f t="shared" si="35"/>
        <v>0</v>
      </c>
    </row>
    <row r="76" spans="1:25" x14ac:dyDescent="0.25">
      <c r="A76" s="4" t="s">
        <v>802</v>
      </c>
      <c r="B76" s="7" t="s">
        <v>392</v>
      </c>
      <c r="C76" s="2" t="s">
        <v>803</v>
      </c>
      <c r="D76">
        <f>VLOOKUP(B76,'Model allocations'!$A$1:$L$317,6,FALSE)</f>
        <v>268310.37412871973</v>
      </c>
      <c r="E76" s="31">
        <f>VLOOKUP(B76,'Initial adjusted formula count'!$A$1:$P$317,12,FALSE)</f>
        <v>0.147867950481431</v>
      </c>
      <c r="F76">
        <f>VLOOKUP(B76,'Model allocations'!$A$1:$L$317,11,FALSE)</f>
        <v>244492.65297942064</v>
      </c>
      <c r="G76" s="30">
        <f t="shared" si="36"/>
        <v>0.85</v>
      </c>
      <c r="H76">
        <f t="shared" si="37"/>
        <v>228063.81800941177</v>
      </c>
      <c r="I76">
        <f t="shared" si="19"/>
        <v>0</v>
      </c>
      <c r="J76">
        <f t="shared" si="20"/>
        <v>244492.65297942064</v>
      </c>
      <c r="K76">
        <f t="shared" si="21"/>
        <v>244347.95116091019</v>
      </c>
      <c r="L76">
        <f t="shared" si="22"/>
        <v>244347.95116091019</v>
      </c>
      <c r="M76">
        <f t="shared" si="23"/>
        <v>0</v>
      </c>
      <c r="N76" s="29">
        <f t="shared" si="24"/>
        <v>244347.95116091019</v>
      </c>
      <c r="O76" s="29">
        <f t="shared" si="25"/>
        <v>244329.41121775194</v>
      </c>
      <c r="P76" s="29">
        <f t="shared" si="26"/>
        <v>244329.41121775194</v>
      </c>
      <c r="Q76">
        <f t="shared" si="27"/>
        <v>0</v>
      </c>
      <c r="R76" s="29">
        <f t="shared" si="28"/>
        <v>244329.41121775194</v>
      </c>
      <c r="S76" s="29">
        <f t="shared" si="29"/>
        <v>244329.41121775174</v>
      </c>
      <c r="T76" s="29">
        <f t="shared" si="30"/>
        <v>244329.41121775174</v>
      </c>
      <c r="U76">
        <f t="shared" si="31"/>
        <v>0</v>
      </c>
      <c r="V76" s="29">
        <f t="shared" si="32"/>
        <v>244329.41121775174</v>
      </c>
      <c r="W76" s="29">
        <f t="shared" si="33"/>
        <v>244329.41121775174</v>
      </c>
      <c r="X76" s="29">
        <f t="shared" si="34"/>
        <v>244329.41121775174</v>
      </c>
      <c r="Y76">
        <f t="shared" si="35"/>
        <v>0</v>
      </c>
    </row>
    <row r="77" spans="1:25" x14ac:dyDescent="0.25">
      <c r="A77" s="4" t="s">
        <v>804</v>
      </c>
      <c r="B77" s="7" t="s">
        <v>394</v>
      </c>
      <c r="C77" s="2" t="s">
        <v>805</v>
      </c>
      <c r="D77">
        <f>VLOOKUP(B77,'Model allocations'!$A$1:$L$317,6,FALSE)</f>
        <v>24288.804384618092</v>
      </c>
      <c r="E77" s="31">
        <f>VLOOKUP(B77,'Initial adjusted formula count'!$A$1:$P$317,12,FALSE)</f>
        <v>0.130769230769231</v>
      </c>
      <c r="F77">
        <f>VLOOKUP(B77,'Model allocations'!$A$1:$L$317,11,FALSE)</f>
        <v>20645.483726925377</v>
      </c>
      <c r="G77" s="30">
        <f t="shared" si="36"/>
        <v>0.85</v>
      </c>
      <c r="H77">
        <f t="shared" si="37"/>
        <v>20645.483726925377</v>
      </c>
      <c r="I77">
        <f t="shared" si="19"/>
        <v>0</v>
      </c>
      <c r="J77">
        <f t="shared" si="20"/>
        <v>20645.483726925377</v>
      </c>
      <c r="K77">
        <f t="shared" si="21"/>
        <v>20633.264795178718</v>
      </c>
      <c r="L77">
        <f t="shared" si="22"/>
        <v>20633.264795178718</v>
      </c>
      <c r="M77">
        <f t="shared" si="23"/>
        <v>20645.483726925377</v>
      </c>
      <c r="N77" s="29">
        <f t="shared" si="24"/>
        <v>0</v>
      </c>
      <c r="O77" s="29">
        <f t="shared" si="25"/>
        <v>0</v>
      </c>
      <c r="P77" s="29">
        <f t="shared" si="26"/>
        <v>20645.483726925377</v>
      </c>
      <c r="Q77">
        <f t="shared" si="27"/>
        <v>0</v>
      </c>
      <c r="R77" s="29">
        <f t="shared" si="28"/>
        <v>0</v>
      </c>
      <c r="S77" s="29">
        <f t="shared" si="29"/>
        <v>0</v>
      </c>
      <c r="T77" s="29">
        <f t="shared" si="30"/>
        <v>20645.483726925377</v>
      </c>
      <c r="U77">
        <f t="shared" si="31"/>
        <v>0</v>
      </c>
      <c r="V77" s="29">
        <f t="shared" si="32"/>
        <v>0</v>
      </c>
      <c r="W77" s="29">
        <f t="shared" si="33"/>
        <v>0</v>
      </c>
      <c r="X77" s="29">
        <f t="shared" si="34"/>
        <v>20645.483726925377</v>
      </c>
      <c r="Y77">
        <f t="shared" si="35"/>
        <v>0</v>
      </c>
    </row>
    <row r="78" spans="1:25" x14ac:dyDescent="0.25">
      <c r="A78" s="4" t="s">
        <v>806</v>
      </c>
      <c r="B78" s="7" t="s">
        <v>125</v>
      </c>
      <c r="C78" s="2" t="s">
        <v>807</v>
      </c>
      <c r="D78">
        <f>VLOOKUP(B78,'Model allocations'!$A$1:$L$317,6,FALSE)</f>
        <v>1821260.5599030007</v>
      </c>
      <c r="E78" s="31">
        <f>VLOOKUP(B78,'Initial adjusted formula count'!$A$1:$P$317,12,FALSE)</f>
        <v>0.106415389972145</v>
      </c>
      <c r="F78">
        <f>VLOOKUP(B78,'Model allocations'!$A$1:$L$317,11,FALSE)</f>
        <v>1940873.6533610513</v>
      </c>
      <c r="G78" s="30">
        <f t="shared" si="36"/>
        <v>0.85</v>
      </c>
      <c r="H78">
        <f t="shared" si="37"/>
        <v>1548071.4759175505</v>
      </c>
      <c r="I78">
        <f t="shared" si="19"/>
        <v>0</v>
      </c>
      <c r="J78">
        <f t="shared" si="20"/>
        <v>1940873.6533610513</v>
      </c>
      <c r="K78">
        <f t="shared" si="21"/>
        <v>1939724.9564831778</v>
      </c>
      <c r="L78">
        <f t="shared" si="22"/>
        <v>1939724.9564831778</v>
      </c>
      <c r="M78">
        <f t="shared" si="23"/>
        <v>0</v>
      </c>
      <c r="N78" s="29">
        <f t="shared" si="24"/>
        <v>1939724.9564831778</v>
      </c>
      <c r="O78" s="29">
        <f t="shared" si="25"/>
        <v>1939577.779515804</v>
      </c>
      <c r="P78" s="29">
        <f t="shared" si="26"/>
        <v>1939577.779515804</v>
      </c>
      <c r="Q78">
        <f t="shared" si="27"/>
        <v>0</v>
      </c>
      <c r="R78" s="29">
        <f t="shared" si="28"/>
        <v>1939577.779515804</v>
      </c>
      <c r="S78" s="29">
        <f t="shared" si="29"/>
        <v>1939577.7795158024</v>
      </c>
      <c r="T78" s="29">
        <f t="shared" si="30"/>
        <v>1939577.7795158024</v>
      </c>
      <c r="U78">
        <f t="shared" si="31"/>
        <v>0</v>
      </c>
      <c r="V78" s="29">
        <f t="shared" si="32"/>
        <v>1939577.7795158024</v>
      </c>
      <c r="W78" s="29">
        <f t="shared" si="33"/>
        <v>1939577.7795158024</v>
      </c>
      <c r="X78" s="29">
        <f t="shared" si="34"/>
        <v>1939577.7795158024</v>
      </c>
      <c r="Y78">
        <f t="shared" si="35"/>
        <v>0</v>
      </c>
    </row>
    <row r="79" spans="1:25" x14ac:dyDescent="0.25">
      <c r="A79" s="4" t="s">
        <v>808</v>
      </c>
      <c r="B79" s="7" t="s">
        <v>276</v>
      </c>
      <c r="C79" s="2" t="s">
        <v>809</v>
      </c>
      <c r="D79">
        <f>VLOOKUP(B79,'Model allocations'!$A$1:$L$317,6,FALSE)</f>
        <v>2159547.1928652599</v>
      </c>
      <c r="E79" s="31">
        <f>VLOOKUP(B79,'Initial adjusted formula count'!$A$1:$P$317,12,FALSE)</f>
        <v>9.8521250046560094E-2</v>
      </c>
      <c r="F79">
        <f>VLOOKUP(B79,'Model allocations'!$A$1:$L$317,11,FALSE)</f>
        <v>2168308.6793884193</v>
      </c>
      <c r="G79" s="30">
        <f t="shared" si="36"/>
        <v>0.85</v>
      </c>
      <c r="H79">
        <f t="shared" si="37"/>
        <v>1835615.1139354708</v>
      </c>
      <c r="I79">
        <f t="shared" si="19"/>
        <v>0</v>
      </c>
      <c r="J79">
        <f t="shared" si="20"/>
        <v>2168308.6793884193</v>
      </c>
      <c r="K79">
        <f t="shared" si="21"/>
        <v>2167025.3761677453</v>
      </c>
      <c r="L79">
        <f t="shared" si="22"/>
        <v>2167025.3761677453</v>
      </c>
      <c r="M79">
        <f t="shared" si="23"/>
        <v>0</v>
      </c>
      <c r="N79" s="29">
        <f t="shared" si="24"/>
        <v>2167025.3761677453</v>
      </c>
      <c r="O79" s="29">
        <f t="shared" si="25"/>
        <v>2166860.9527416197</v>
      </c>
      <c r="P79" s="29">
        <f t="shared" si="26"/>
        <v>2166860.9527416197</v>
      </c>
      <c r="Q79">
        <f t="shared" si="27"/>
        <v>0</v>
      </c>
      <c r="R79" s="29">
        <f t="shared" si="28"/>
        <v>2166860.9527416197</v>
      </c>
      <c r="S79" s="29">
        <f t="shared" si="29"/>
        <v>2166860.9527416178</v>
      </c>
      <c r="T79" s="29">
        <f t="shared" si="30"/>
        <v>2166860.9527416178</v>
      </c>
      <c r="U79">
        <f t="shared" si="31"/>
        <v>0</v>
      </c>
      <c r="V79" s="29">
        <f t="shared" si="32"/>
        <v>2166860.9527416178</v>
      </c>
      <c r="W79" s="29">
        <f t="shared" si="33"/>
        <v>2166860.9527416178</v>
      </c>
      <c r="X79" s="29">
        <f t="shared" si="34"/>
        <v>2166860.9527416178</v>
      </c>
      <c r="Y79">
        <f t="shared" si="35"/>
        <v>0</v>
      </c>
    </row>
    <row r="80" spans="1:25" x14ac:dyDescent="0.25">
      <c r="A80" s="4" t="s">
        <v>810</v>
      </c>
      <c r="B80" s="7" t="s">
        <v>396</v>
      </c>
      <c r="C80" s="2" t="s">
        <v>811</v>
      </c>
      <c r="D80">
        <f>VLOOKUP(B80,'Model allocations'!$A$1:$L$317,6,FALSE)</f>
        <v>14375.049208215831</v>
      </c>
      <c r="E80" s="31">
        <f>VLOOKUP(B80,'Initial adjusted formula count'!$A$1:$P$317,12,FALSE)</f>
        <v>0.31578947368421001</v>
      </c>
      <c r="F80">
        <f>VLOOKUP(B80,'Model allocations'!$A$1:$L$317,11,FALSE)</f>
        <v>16769.992717573616</v>
      </c>
      <c r="G80" s="30">
        <f t="shared" si="36"/>
        <v>0.95</v>
      </c>
      <c r="H80">
        <f t="shared" si="37"/>
        <v>13656.296747805038</v>
      </c>
      <c r="I80">
        <f t="shared" si="19"/>
        <v>0</v>
      </c>
      <c r="J80">
        <f t="shared" si="20"/>
        <v>16769.992717573616</v>
      </c>
      <c r="K80">
        <f t="shared" si="21"/>
        <v>16760.067476822744</v>
      </c>
      <c r="L80">
        <f t="shared" si="22"/>
        <v>16760.067476822744</v>
      </c>
      <c r="M80">
        <f t="shared" si="23"/>
        <v>0</v>
      </c>
      <c r="N80" s="29">
        <f t="shared" si="24"/>
        <v>16760.067476822744</v>
      </c>
      <c r="O80" s="29">
        <f t="shared" si="25"/>
        <v>16758.795803797158</v>
      </c>
      <c r="P80" s="29">
        <f t="shared" si="26"/>
        <v>16758.795803797158</v>
      </c>
      <c r="Q80">
        <f t="shared" si="27"/>
        <v>0</v>
      </c>
      <c r="R80" s="29">
        <f t="shared" si="28"/>
        <v>16758.795803797158</v>
      </c>
      <c r="S80" s="29">
        <f t="shared" si="29"/>
        <v>16758.795803797144</v>
      </c>
      <c r="T80" s="29">
        <f t="shared" si="30"/>
        <v>16758.795803797144</v>
      </c>
      <c r="U80">
        <f t="shared" si="31"/>
        <v>0</v>
      </c>
      <c r="V80" s="29">
        <f t="shared" si="32"/>
        <v>16758.795803797144</v>
      </c>
      <c r="W80" s="29">
        <f t="shared" si="33"/>
        <v>16758.795803797144</v>
      </c>
      <c r="X80" s="29">
        <f t="shared" si="34"/>
        <v>16758.795803797144</v>
      </c>
      <c r="Y80">
        <f t="shared" si="35"/>
        <v>0</v>
      </c>
    </row>
    <row r="81" spans="1:25" x14ac:dyDescent="0.25">
      <c r="A81" s="4" t="s">
        <v>812</v>
      </c>
      <c r="B81" s="7" t="s">
        <v>398</v>
      </c>
      <c r="C81" s="2" t="s">
        <v>813</v>
      </c>
      <c r="D81">
        <f>VLOOKUP(B81,'Model allocations'!$A$1:$L$317,6,FALSE)</f>
        <v>3976565.027438466</v>
      </c>
      <c r="E81" s="31">
        <f>VLOOKUP(B81,'Initial adjusted formula count'!$A$1:$P$317,12,FALSE)</f>
        <v>0.17547778605112899</v>
      </c>
      <c r="F81">
        <f>VLOOKUP(B81,'Model allocations'!$A$1:$L$317,11,FALSE)</f>
        <v>3984377.3622169518</v>
      </c>
      <c r="G81" s="30">
        <f t="shared" si="36"/>
        <v>0.9</v>
      </c>
      <c r="H81">
        <f t="shared" si="37"/>
        <v>3578908.5246946192</v>
      </c>
      <c r="I81">
        <f t="shared" si="19"/>
        <v>0</v>
      </c>
      <c r="J81">
        <f t="shared" si="20"/>
        <v>3984377.3622169518</v>
      </c>
      <c r="K81">
        <f t="shared" si="21"/>
        <v>3982019.2273490163</v>
      </c>
      <c r="L81">
        <f t="shared" si="22"/>
        <v>3982019.2273490163</v>
      </c>
      <c r="M81">
        <f t="shared" si="23"/>
        <v>0</v>
      </c>
      <c r="N81" s="29">
        <f t="shared" si="24"/>
        <v>3982019.2273490163</v>
      </c>
      <c r="O81" s="29">
        <f t="shared" si="25"/>
        <v>3981717.090949757</v>
      </c>
      <c r="P81" s="29">
        <f t="shared" si="26"/>
        <v>3981717.090949757</v>
      </c>
      <c r="Q81">
        <f t="shared" si="27"/>
        <v>0</v>
      </c>
      <c r="R81" s="29">
        <f t="shared" si="28"/>
        <v>3981717.090949757</v>
      </c>
      <c r="S81" s="29">
        <f t="shared" si="29"/>
        <v>3981717.0909497533</v>
      </c>
      <c r="T81" s="29">
        <f t="shared" si="30"/>
        <v>3981717.0909497533</v>
      </c>
      <c r="U81">
        <f t="shared" si="31"/>
        <v>0</v>
      </c>
      <c r="V81" s="29">
        <f t="shared" si="32"/>
        <v>3981717.0909497533</v>
      </c>
      <c r="W81" s="29">
        <f t="shared" si="33"/>
        <v>3981717.0909497533</v>
      </c>
      <c r="X81" s="29">
        <f t="shared" si="34"/>
        <v>3981717.0909497533</v>
      </c>
      <c r="Y81">
        <f t="shared" si="35"/>
        <v>0</v>
      </c>
    </row>
    <row r="82" spans="1:25" x14ac:dyDescent="0.25">
      <c r="A82" s="4" t="s">
        <v>814</v>
      </c>
      <c r="B82" s="7" t="s">
        <v>127</v>
      </c>
      <c r="C82" s="2" t="s">
        <v>815</v>
      </c>
      <c r="D82">
        <f>VLOOKUP(B82,'Model allocations'!$A$1:$L$317,6,FALSE)</f>
        <v>552832.09355562367</v>
      </c>
      <c r="E82" s="31">
        <f>VLOOKUP(B82,'Initial adjusted formula count'!$A$1:$P$317,12,FALSE)</f>
        <v>0.12687893971229999</v>
      </c>
      <c r="F82">
        <f>VLOOKUP(B82,'Model allocations'!$A$1:$L$317,11,FALSE)</f>
        <v>473064.85413692531</v>
      </c>
      <c r="G82" s="30">
        <f t="shared" si="36"/>
        <v>0.85</v>
      </c>
      <c r="H82">
        <f t="shared" si="37"/>
        <v>469907.27952228009</v>
      </c>
      <c r="I82">
        <f t="shared" si="19"/>
        <v>0</v>
      </c>
      <c r="J82">
        <f t="shared" si="20"/>
        <v>473064.85413692531</v>
      </c>
      <c r="K82">
        <f t="shared" si="21"/>
        <v>472784.87294390041</v>
      </c>
      <c r="L82">
        <f t="shared" si="22"/>
        <v>472784.87294390041</v>
      </c>
      <c r="M82">
        <f t="shared" si="23"/>
        <v>0</v>
      </c>
      <c r="N82" s="29">
        <f t="shared" si="24"/>
        <v>472784.87294390041</v>
      </c>
      <c r="O82" s="29">
        <f t="shared" si="25"/>
        <v>472749.00030969654</v>
      </c>
      <c r="P82" s="29">
        <f t="shared" si="26"/>
        <v>472749.00030969654</v>
      </c>
      <c r="Q82">
        <f t="shared" si="27"/>
        <v>0</v>
      </c>
      <c r="R82" s="29">
        <f t="shared" si="28"/>
        <v>472749.00030969654</v>
      </c>
      <c r="S82" s="29">
        <f t="shared" si="29"/>
        <v>472749.00030969619</v>
      </c>
      <c r="T82" s="29">
        <f t="shared" si="30"/>
        <v>472749.00030969619</v>
      </c>
      <c r="U82">
        <f t="shared" si="31"/>
        <v>0</v>
      </c>
      <c r="V82" s="29">
        <f t="shared" si="32"/>
        <v>472749.00030969619</v>
      </c>
      <c r="W82" s="29">
        <f t="shared" si="33"/>
        <v>472749.00030969619</v>
      </c>
      <c r="X82" s="29">
        <f t="shared" si="34"/>
        <v>472749.00030969619</v>
      </c>
      <c r="Y82">
        <f t="shared" si="35"/>
        <v>0</v>
      </c>
    </row>
    <row r="83" spans="1:25" x14ac:dyDescent="0.25">
      <c r="A83" s="4" t="s">
        <v>816</v>
      </c>
      <c r="B83" s="7" t="s">
        <v>129</v>
      </c>
      <c r="C83" s="2" t="s">
        <v>817</v>
      </c>
      <c r="D83">
        <f>VLOOKUP(B83,'Model allocations'!$A$1:$L$317,6,FALSE)</f>
        <v>206479.2993833189</v>
      </c>
      <c r="E83" s="31">
        <f>VLOOKUP(B83,'Initial adjusted formula count'!$A$1:$P$317,12,FALSE)</f>
        <v>9.7215437225207604E-2</v>
      </c>
      <c r="F83">
        <f>VLOOKUP(B83,'Model allocations'!$A$1:$L$317,11,FALSE)</f>
        <v>226297.85089723111</v>
      </c>
      <c r="G83" s="30">
        <f t="shared" si="36"/>
        <v>0.85</v>
      </c>
      <c r="H83">
        <f t="shared" si="37"/>
        <v>175507.40447582107</v>
      </c>
      <c r="I83">
        <f t="shared" si="19"/>
        <v>0</v>
      </c>
      <c r="J83">
        <f t="shared" si="20"/>
        <v>226297.85089723111</v>
      </c>
      <c r="K83">
        <f t="shared" si="21"/>
        <v>226163.91758614467</v>
      </c>
      <c r="L83">
        <f t="shared" si="22"/>
        <v>226163.91758614467</v>
      </c>
      <c r="M83">
        <f t="shared" si="23"/>
        <v>0</v>
      </c>
      <c r="N83" s="29">
        <f t="shared" si="24"/>
        <v>226163.91758614467</v>
      </c>
      <c r="O83" s="29">
        <f t="shared" si="25"/>
        <v>226146.75735968657</v>
      </c>
      <c r="P83" s="29">
        <f t="shared" si="26"/>
        <v>226146.75735968657</v>
      </c>
      <c r="Q83">
        <f t="shared" si="27"/>
        <v>0</v>
      </c>
      <c r="R83" s="29">
        <f t="shared" si="28"/>
        <v>226146.75735968657</v>
      </c>
      <c r="S83" s="29">
        <f t="shared" si="29"/>
        <v>226146.75735968637</v>
      </c>
      <c r="T83" s="29">
        <f t="shared" si="30"/>
        <v>226146.75735968637</v>
      </c>
      <c r="U83">
        <f t="shared" si="31"/>
        <v>0</v>
      </c>
      <c r="V83" s="29">
        <f t="shared" si="32"/>
        <v>226146.75735968637</v>
      </c>
      <c r="W83" s="29">
        <f t="shared" si="33"/>
        <v>226146.75735968637</v>
      </c>
      <c r="X83" s="29">
        <f t="shared" si="34"/>
        <v>226146.75735968637</v>
      </c>
      <c r="Y83">
        <f t="shared" si="35"/>
        <v>0</v>
      </c>
    </row>
    <row r="84" spans="1:25" x14ac:dyDescent="0.25">
      <c r="A84" s="4" t="s">
        <v>818</v>
      </c>
      <c r="B84" s="7" t="s">
        <v>400</v>
      </c>
      <c r="C84" s="2" t="s">
        <v>819</v>
      </c>
      <c r="D84">
        <f>VLOOKUP(B84,'Model allocations'!$A$1:$L$317,6,FALSE)</f>
        <v>72950.679185382731</v>
      </c>
      <c r="E84" s="31">
        <f>VLOOKUP(B84,'Initial adjusted formula count'!$A$1:$P$317,12,FALSE)</f>
        <v>0.13369565217391299</v>
      </c>
      <c r="F84">
        <f>VLOOKUP(B84,'Model allocations'!$A$1:$L$317,11,FALSE)</f>
        <v>69936.270503415653</v>
      </c>
      <c r="G84" s="30">
        <f t="shared" si="36"/>
        <v>0.85</v>
      </c>
      <c r="H84">
        <f t="shared" si="37"/>
        <v>62008.077307575317</v>
      </c>
      <c r="I84">
        <f t="shared" si="19"/>
        <v>0</v>
      </c>
      <c r="J84">
        <f t="shared" si="20"/>
        <v>69936.270503415653</v>
      </c>
      <c r="K84">
        <f t="shared" si="21"/>
        <v>69894.879053004523</v>
      </c>
      <c r="L84">
        <f t="shared" si="22"/>
        <v>69894.879053004523</v>
      </c>
      <c r="M84">
        <f t="shared" si="23"/>
        <v>0</v>
      </c>
      <c r="N84" s="29">
        <f t="shared" si="24"/>
        <v>69894.879053004523</v>
      </c>
      <c r="O84" s="29">
        <f t="shared" si="25"/>
        <v>69889.575766938317</v>
      </c>
      <c r="P84" s="29">
        <f t="shared" si="26"/>
        <v>69889.575766938317</v>
      </c>
      <c r="Q84">
        <f t="shared" si="27"/>
        <v>0</v>
      </c>
      <c r="R84" s="29">
        <f t="shared" si="28"/>
        <v>69889.575766938317</v>
      </c>
      <c r="S84" s="29">
        <f t="shared" si="29"/>
        <v>69889.575766938258</v>
      </c>
      <c r="T84" s="29">
        <f t="shared" si="30"/>
        <v>69889.575766938258</v>
      </c>
      <c r="U84">
        <f t="shared" si="31"/>
        <v>0</v>
      </c>
      <c r="V84" s="29">
        <f t="shared" si="32"/>
        <v>69889.575766938258</v>
      </c>
      <c r="W84" s="29">
        <f t="shared" si="33"/>
        <v>69889.575766938258</v>
      </c>
      <c r="X84" s="29">
        <f t="shared" si="34"/>
        <v>69889.575766938258</v>
      </c>
      <c r="Y84">
        <f t="shared" si="35"/>
        <v>0</v>
      </c>
    </row>
    <row r="85" spans="1:25" x14ac:dyDescent="0.25">
      <c r="A85" s="4" t="s">
        <v>820</v>
      </c>
      <c r="B85" s="7" t="s">
        <v>402</v>
      </c>
      <c r="C85" s="2" t="s">
        <v>821</v>
      </c>
      <c r="D85">
        <f>VLOOKUP(B85,'Model allocations'!$A$1:$L$317,6,FALSE)</f>
        <v>872021.47945037286</v>
      </c>
      <c r="E85" s="31">
        <f>VLOOKUP(B85,'Initial adjusted formula count'!$A$1:$P$317,12,FALSE)</f>
        <v>0.15117773019271999</v>
      </c>
      <c r="F85">
        <f>VLOOKUP(B85,'Model allocations'!$A$1:$L$317,11,FALSE)</f>
        <v>1007821.4590837745</v>
      </c>
      <c r="G85" s="30">
        <f t="shared" si="36"/>
        <v>0.9</v>
      </c>
      <c r="H85">
        <f t="shared" si="37"/>
        <v>784819.33150533563</v>
      </c>
      <c r="I85">
        <f t="shared" si="19"/>
        <v>0</v>
      </c>
      <c r="J85">
        <f t="shared" si="20"/>
        <v>1007821.4590837745</v>
      </c>
      <c r="K85">
        <f t="shared" si="21"/>
        <v>1007224.9847272401</v>
      </c>
      <c r="L85">
        <f t="shared" si="22"/>
        <v>1007224.9847272401</v>
      </c>
      <c r="M85">
        <f t="shared" si="23"/>
        <v>0</v>
      </c>
      <c r="N85" s="29">
        <f t="shared" si="24"/>
        <v>1007224.9847272401</v>
      </c>
      <c r="O85" s="29">
        <f t="shared" si="25"/>
        <v>1007148.5613568958</v>
      </c>
      <c r="P85" s="29">
        <f t="shared" si="26"/>
        <v>1007148.5613568958</v>
      </c>
      <c r="Q85">
        <f t="shared" si="27"/>
        <v>0</v>
      </c>
      <c r="R85" s="29">
        <f t="shared" si="28"/>
        <v>1007148.5613568958</v>
      </c>
      <c r="S85" s="29">
        <f t="shared" si="29"/>
        <v>1007148.5613568949</v>
      </c>
      <c r="T85" s="29">
        <f t="shared" si="30"/>
        <v>1007148.5613568949</v>
      </c>
      <c r="U85">
        <f t="shared" si="31"/>
        <v>0</v>
      </c>
      <c r="V85" s="29">
        <f t="shared" si="32"/>
        <v>1007148.5613568949</v>
      </c>
      <c r="W85" s="29">
        <f t="shared" si="33"/>
        <v>1007148.5613568949</v>
      </c>
      <c r="X85" s="29">
        <f t="shared" si="34"/>
        <v>1007148.5613568949</v>
      </c>
      <c r="Y85">
        <f t="shared" si="35"/>
        <v>0</v>
      </c>
    </row>
    <row r="86" spans="1:25" x14ac:dyDescent="0.25">
      <c r="A86" s="4" t="s">
        <v>822</v>
      </c>
      <c r="B86" s="7" t="s">
        <v>131</v>
      </c>
      <c r="C86" s="2" t="s">
        <v>823</v>
      </c>
      <c r="D86">
        <f>VLOOKUP(B86,'Model allocations'!$A$1:$L$317,6,FALSE)</f>
        <v>28284.835531961493</v>
      </c>
      <c r="E86" s="31">
        <f>VLOOKUP(B86,'Initial adjusted formula count'!$A$1:$P$317,12,FALSE)</f>
        <v>3.5964035964036002E-2</v>
      </c>
      <c r="F86">
        <f>VLOOKUP(B86,'Model allocations'!$A$1:$L$317,11,FALSE)</f>
        <v>0</v>
      </c>
      <c r="G86" s="30">
        <f t="shared" si="36"/>
        <v>0.85</v>
      </c>
      <c r="H86">
        <f t="shared" si="37"/>
        <v>0</v>
      </c>
      <c r="I86">
        <f t="shared" si="19"/>
        <v>0</v>
      </c>
      <c r="J86">
        <f t="shared" si="20"/>
        <v>0</v>
      </c>
      <c r="K86">
        <f t="shared" si="21"/>
        <v>0</v>
      </c>
      <c r="L86">
        <f t="shared" si="22"/>
        <v>0</v>
      </c>
      <c r="M86">
        <f t="shared" si="23"/>
        <v>0</v>
      </c>
      <c r="N86" s="29">
        <f t="shared" si="24"/>
        <v>0</v>
      </c>
      <c r="O86" s="29">
        <f t="shared" si="25"/>
        <v>0</v>
      </c>
      <c r="P86" s="29">
        <f t="shared" si="26"/>
        <v>0</v>
      </c>
      <c r="Q86">
        <f t="shared" si="27"/>
        <v>0</v>
      </c>
      <c r="R86" s="29">
        <f t="shared" si="28"/>
        <v>0</v>
      </c>
      <c r="S86" s="29">
        <f t="shared" si="29"/>
        <v>0</v>
      </c>
      <c r="T86" s="29">
        <f t="shared" si="30"/>
        <v>0</v>
      </c>
      <c r="U86">
        <f t="shared" si="31"/>
        <v>0</v>
      </c>
      <c r="V86" s="29">
        <f t="shared" si="32"/>
        <v>0</v>
      </c>
      <c r="W86" s="29">
        <f t="shared" si="33"/>
        <v>0</v>
      </c>
      <c r="X86" s="29">
        <f t="shared" si="34"/>
        <v>0</v>
      </c>
      <c r="Y86">
        <f t="shared" si="35"/>
        <v>0</v>
      </c>
    </row>
    <row r="87" spans="1:25" x14ac:dyDescent="0.25">
      <c r="A87" s="4" t="s">
        <v>824</v>
      </c>
      <c r="B87" s="7" t="s">
        <v>404</v>
      </c>
      <c r="C87" s="2" t="s">
        <v>825</v>
      </c>
      <c r="D87">
        <f>VLOOKUP(B87,'Model allocations'!$A$1:$L$317,6,FALSE)</f>
        <v>29190.105835579689</v>
      </c>
      <c r="E87" s="31">
        <f>VLOOKUP(B87,'Initial adjusted formula count'!$A$1:$P$317,12,FALSE)</f>
        <v>0.25</v>
      </c>
      <c r="F87">
        <f>VLOOKUP(B87,'Model allocations'!$A$1:$L$317,11,FALSE)</f>
        <v>26271.095252021722</v>
      </c>
      <c r="G87" s="30">
        <f t="shared" si="36"/>
        <v>0.9</v>
      </c>
      <c r="H87">
        <f t="shared" si="37"/>
        <v>26271.095252021722</v>
      </c>
      <c r="I87">
        <f t="shared" si="19"/>
        <v>0</v>
      </c>
      <c r="J87">
        <f t="shared" si="20"/>
        <v>26271.095252021722</v>
      </c>
      <c r="K87">
        <f t="shared" si="21"/>
        <v>26255.546828742314</v>
      </c>
      <c r="L87">
        <f t="shared" si="22"/>
        <v>26255.546828742314</v>
      </c>
      <c r="M87">
        <f t="shared" si="23"/>
        <v>26271.095252021722</v>
      </c>
      <c r="N87" s="29">
        <f t="shared" si="24"/>
        <v>0</v>
      </c>
      <c r="O87" s="29">
        <f t="shared" si="25"/>
        <v>0</v>
      </c>
      <c r="P87" s="29">
        <f t="shared" si="26"/>
        <v>26271.095252021722</v>
      </c>
      <c r="Q87">
        <f t="shared" si="27"/>
        <v>0</v>
      </c>
      <c r="R87" s="29">
        <f t="shared" si="28"/>
        <v>0</v>
      </c>
      <c r="S87" s="29">
        <f t="shared" si="29"/>
        <v>0</v>
      </c>
      <c r="T87" s="29">
        <f t="shared" si="30"/>
        <v>26271.095252021722</v>
      </c>
      <c r="U87">
        <f t="shared" si="31"/>
        <v>0</v>
      </c>
      <c r="V87" s="29">
        <f t="shared" si="32"/>
        <v>0</v>
      </c>
      <c r="W87" s="29">
        <f t="shared" si="33"/>
        <v>0</v>
      </c>
      <c r="X87" s="29">
        <f t="shared" si="34"/>
        <v>26271.095252021722</v>
      </c>
      <c r="Y87">
        <f t="shared" si="35"/>
        <v>0</v>
      </c>
    </row>
    <row r="88" spans="1:25" x14ac:dyDescent="0.25">
      <c r="A88" s="4" t="s">
        <v>826</v>
      </c>
      <c r="B88" s="7" t="s">
        <v>133</v>
      </c>
      <c r="C88" s="2" t="s">
        <v>827</v>
      </c>
      <c r="D88">
        <f>VLOOKUP(B88,'Model allocations'!$A$1:$L$317,6,FALSE)</f>
        <v>10953.605579511985</v>
      </c>
      <c r="E88" s="31">
        <f>VLOOKUP(B88,'Initial adjusted formula count'!$A$1:$P$317,12,FALSE)</f>
        <v>0.16129032258064499</v>
      </c>
      <c r="F88">
        <f>VLOOKUP(B88,'Model allocations'!$A$1:$L$317,11,FALSE)</f>
        <v>9858.245021560786</v>
      </c>
      <c r="G88" s="30">
        <f t="shared" si="36"/>
        <v>0.9</v>
      </c>
      <c r="H88">
        <f t="shared" si="37"/>
        <v>9858.245021560786</v>
      </c>
      <c r="I88">
        <f t="shared" si="19"/>
        <v>0</v>
      </c>
      <c r="J88">
        <f t="shared" si="20"/>
        <v>9858.245021560786</v>
      </c>
      <c r="K88">
        <f t="shared" si="21"/>
        <v>9852.4104659430268</v>
      </c>
      <c r="L88">
        <f t="shared" si="22"/>
        <v>9852.4104659430268</v>
      </c>
      <c r="M88">
        <f t="shared" si="23"/>
        <v>9858.245021560786</v>
      </c>
      <c r="N88" s="29">
        <f t="shared" si="24"/>
        <v>0</v>
      </c>
      <c r="O88" s="29">
        <f t="shared" si="25"/>
        <v>0</v>
      </c>
      <c r="P88" s="29">
        <f t="shared" si="26"/>
        <v>9858.245021560786</v>
      </c>
      <c r="Q88">
        <f t="shared" si="27"/>
        <v>0</v>
      </c>
      <c r="R88" s="29">
        <f t="shared" si="28"/>
        <v>0</v>
      </c>
      <c r="S88" s="29">
        <f t="shared" si="29"/>
        <v>0</v>
      </c>
      <c r="T88" s="29">
        <f t="shared" si="30"/>
        <v>9858.245021560786</v>
      </c>
      <c r="U88">
        <f t="shared" si="31"/>
        <v>0</v>
      </c>
      <c r="V88" s="29">
        <f t="shared" si="32"/>
        <v>0</v>
      </c>
      <c r="W88" s="29">
        <f t="shared" si="33"/>
        <v>0</v>
      </c>
      <c r="X88" s="29">
        <f t="shared" si="34"/>
        <v>9858.245021560786</v>
      </c>
      <c r="Y88">
        <f t="shared" si="35"/>
        <v>0</v>
      </c>
    </row>
    <row r="89" spans="1:25" x14ac:dyDescent="0.25">
      <c r="A89" s="4" t="s">
        <v>828</v>
      </c>
      <c r="B89" s="7" t="s">
        <v>406</v>
      </c>
      <c r="C89" s="2" t="s">
        <v>829</v>
      </c>
      <c r="D89">
        <f>VLOOKUP(B89,'Model allocations'!$A$1:$L$317,6,FALSE)</f>
        <v>156236.25920459378</v>
      </c>
      <c r="E89" s="31">
        <f>VLOOKUP(B89,'Initial adjusted formula count'!$A$1:$P$317,12,FALSE)</f>
        <v>0.151627906976744</v>
      </c>
      <c r="F89">
        <f>VLOOKUP(B89,'Model allocations'!$A$1:$L$317,11,FALSE)</f>
        <v>140612.63328413441</v>
      </c>
      <c r="G89" s="30">
        <f t="shared" si="36"/>
        <v>0.9</v>
      </c>
      <c r="H89">
        <f t="shared" si="37"/>
        <v>140612.63328413441</v>
      </c>
      <c r="I89">
        <f t="shared" si="19"/>
        <v>0</v>
      </c>
      <c r="J89">
        <f t="shared" si="20"/>
        <v>140612.63328413441</v>
      </c>
      <c r="K89">
        <f t="shared" si="21"/>
        <v>140529.41236320362</v>
      </c>
      <c r="L89">
        <f t="shared" si="22"/>
        <v>140529.41236320362</v>
      </c>
      <c r="M89">
        <f t="shared" si="23"/>
        <v>140612.63328413441</v>
      </c>
      <c r="N89" s="29">
        <f t="shared" si="24"/>
        <v>0</v>
      </c>
      <c r="O89" s="29">
        <f t="shared" si="25"/>
        <v>0</v>
      </c>
      <c r="P89" s="29">
        <f t="shared" si="26"/>
        <v>140612.63328413441</v>
      </c>
      <c r="Q89">
        <f t="shared" si="27"/>
        <v>0</v>
      </c>
      <c r="R89" s="29">
        <f t="shared" si="28"/>
        <v>0</v>
      </c>
      <c r="S89" s="29">
        <f t="shared" si="29"/>
        <v>0</v>
      </c>
      <c r="T89" s="29">
        <f t="shared" si="30"/>
        <v>140612.63328413441</v>
      </c>
      <c r="U89">
        <f t="shared" si="31"/>
        <v>0</v>
      </c>
      <c r="V89" s="29">
        <f t="shared" si="32"/>
        <v>0</v>
      </c>
      <c r="W89" s="29">
        <f t="shared" si="33"/>
        <v>0</v>
      </c>
      <c r="X89" s="29">
        <f t="shared" si="34"/>
        <v>140612.63328413441</v>
      </c>
      <c r="Y89">
        <f t="shared" si="35"/>
        <v>0</v>
      </c>
    </row>
    <row r="90" spans="1:25" x14ac:dyDescent="0.25">
      <c r="A90" s="4" t="s">
        <v>830</v>
      </c>
      <c r="B90" s="7" t="s">
        <v>408</v>
      </c>
      <c r="C90" s="2" t="s">
        <v>831</v>
      </c>
      <c r="D90">
        <f>VLOOKUP(B90,'Model allocations'!$A$1:$L$317,6,FALSE)</f>
        <v>66983.496955573952</v>
      </c>
      <c r="E90" s="31">
        <f>VLOOKUP(B90,'Initial adjusted formula count'!$A$1:$P$317,12,FALSE)</f>
        <v>0.16964285714285701</v>
      </c>
      <c r="F90">
        <f>VLOOKUP(B90,'Model allocations'!$A$1:$L$317,11,FALSE)</f>
        <v>68785.904141769221</v>
      </c>
      <c r="G90" s="30">
        <f t="shared" si="36"/>
        <v>0.9</v>
      </c>
      <c r="H90">
        <f t="shared" si="37"/>
        <v>60285.147260016558</v>
      </c>
      <c r="I90">
        <f t="shared" si="19"/>
        <v>0</v>
      </c>
      <c r="J90">
        <f t="shared" si="20"/>
        <v>68785.904141769221</v>
      </c>
      <c r="K90">
        <f t="shared" si="21"/>
        <v>68745.193530239965</v>
      </c>
      <c r="L90">
        <f t="shared" si="22"/>
        <v>68745.193530239965</v>
      </c>
      <c r="M90">
        <f t="shared" si="23"/>
        <v>0</v>
      </c>
      <c r="N90" s="29">
        <f t="shared" si="24"/>
        <v>68745.193530239965</v>
      </c>
      <c r="O90" s="29">
        <f t="shared" si="25"/>
        <v>68739.977476762127</v>
      </c>
      <c r="P90" s="29">
        <f t="shared" si="26"/>
        <v>68739.977476762127</v>
      </c>
      <c r="Q90">
        <f t="shared" si="27"/>
        <v>0</v>
      </c>
      <c r="R90" s="29">
        <f t="shared" si="28"/>
        <v>68739.977476762127</v>
      </c>
      <c r="S90" s="29">
        <f t="shared" si="29"/>
        <v>68739.977476762069</v>
      </c>
      <c r="T90" s="29">
        <f t="shared" si="30"/>
        <v>68739.977476762069</v>
      </c>
      <c r="U90">
        <f t="shared" si="31"/>
        <v>0</v>
      </c>
      <c r="V90" s="29">
        <f t="shared" si="32"/>
        <v>68739.977476762069</v>
      </c>
      <c r="W90" s="29">
        <f t="shared" si="33"/>
        <v>68739.977476762069</v>
      </c>
      <c r="X90" s="29">
        <f t="shared" si="34"/>
        <v>68739.977476762069</v>
      </c>
      <c r="Y90">
        <f t="shared" si="35"/>
        <v>0</v>
      </c>
    </row>
    <row r="91" spans="1:25" x14ac:dyDescent="0.25">
      <c r="A91" s="4" t="s">
        <v>832</v>
      </c>
      <c r="B91" s="7" t="s">
        <v>410</v>
      </c>
      <c r="C91" s="2" t="s">
        <v>833</v>
      </c>
      <c r="D91">
        <f>VLOOKUP(B91,'Model allocations'!$A$1:$L$317,6,FALSE)</f>
        <v>414608.05723551963</v>
      </c>
      <c r="E91" s="31">
        <f>VLOOKUP(B91,'Initial adjusted formula count'!$A$1:$P$317,12,FALSE)</f>
        <v>0.219871451526513</v>
      </c>
      <c r="F91">
        <f>VLOOKUP(B91,'Model allocations'!$A$1:$L$317,11,FALSE)</f>
        <v>568833.25175528601</v>
      </c>
      <c r="G91" s="30">
        <f t="shared" si="36"/>
        <v>0.9</v>
      </c>
      <c r="H91">
        <f t="shared" si="37"/>
        <v>373147.25151196768</v>
      </c>
      <c r="I91">
        <f t="shared" si="19"/>
        <v>0</v>
      </c>
      <c r="J91">
        <f t="shared" si="20"/>
        <v>568833.25175528601</v>
      </c>
      <c r="K91">
        <f t="shared" si="21"/>
        <v>568496.59048978309</v>
      </c>
      <c r="L91">
        <f t="shared" si="22"/>
        <v>568496.59048978309</v>
      </c>
      <c r="M91">
        <f t="shared" si="23"/>
        <v>0</v>
      </c>
      <c r="N91" s="29">
        <f t="shared" si="24"/>
        <v>568496.59048978309</v>
      </c>
      <c r="O91" s="29">
        <f t="shared" si="25"/>
        <v>568453.45571241633</v>
      </c>
      <c r="P91" s="29">
        <f t="shared" si="26"/>
        <v>568453.45571241633</v>
      </c>
      <c r="Q91">
        <f t="shared" si="27"/>
        <v>0</v>
      </c>
      <c r="R91" s="29">
        <f t="shared" si="28"/>
        <v>568453.45571241633</v>
      </c>
      <c r="S91" s="29">
        <f t="shared" si="29"/>
        <v>568453.45571241586</v>
      </c>
      <c r="T91" s="29">
        <f t="shared" si="30"/>
        <v>568453.45571241586</v>
      </c>
      <c r="U91">
        <f t="shared" si="31"/>
        <v>0</v>
      </c>
      <c r="V91" s="29">
        <f t="shared" si="32"/>
        <v>568453.45571241586</v>
      </c>
      <c r="W91" s="29">
        <f t="shared" si="33"/>
        <v>568453.45571241586</v>
      </c>
      <c r="X91" s="29">
        <f t="shared" si="34"/>
        <v>568453.45571241586</v>
      </c>
      <c r="Y91">
        <f t="shared" si="35"/>
        <v>0</v>
      </c>
    </row>
    <row r="92" spans="1:25" x14ac:dyDescent="0.25">
      <c r="A92" s="4" t="s">
        <v>834</v>
      </c>
      <c r="B92" s="7" t="s">
        <v>412</v>
      </c>
      <c r="C92" s="2" t="s">
        <v>835</v>
      </c>
      <c r="D92">
        <f>VLOOKUP(B92,'Model allocations'!$A$1:$L$317,6,FALSE)</f>
        <v>270909.19895981409</v>
      </c>
      <c r="E92" s="31">
        <f>VLOOKUP(B92,'Initial adjusted formula count'!$A$1:$P$317,12,FALSE)</f>
        <v>0.15942028985507201</v>
      </c>
      <c r="F92">
        <f>VLOOKUP(B92,'Model allocations'!$A$1:$L$317,11,FALSE)</f>
        <v>243818.27906383268</v>
      </c>
      <c r="G92" s="30">
        <f t="shared" si="36"/>
        <v>0.9</v>
      </c>
      <c r="H92">
        <f t="shared" si="37"/>
        <v>243818.27906383268</v>
      </c>
      <c r="I92">
        <f t="shared" si="19"/>
        <v>0</v>
      </c>
      <c r="J92">
        <f t="shared" si="20"/>
        <v>243818.27906383268</v>
      </c>
      <c r="K92">
        <f t="shared" si="21"/>
        <v>243673.97637032965</v>
      </c>
      <c r="L92">
        <f t="shared" si="22"/>
        <v>243673.97637032965</v>
      </c>
      <c r="M92">
        <f t="shared" si="23"/>
        <v>243818.27906383268</v>
      </c>
      <c r="N92" s="29">
        <f t="shared" si="24"/>
        <v>0</v>
      </c>
      <c r="O92" s="29">
        <f t="shared" si="25"/>
        <v>0</v>
      </c>
      <c r="P92" s="29">
        <f t="shared" si="26"/>
        <v>243818.27906383268</v>
      </c>
      <c r="Q92">
        <f t="shared" si="27"/>
        <v>0</v>
      </c>
      <c r="R92" s="29">
        <f t="shared" si="28"/>
        <v>0</v>
      </c>
      <c r="S92" s="29">
        <f t="shared" si="29"/>
        <v>0</v>
      </c>
      <c r="T92" s="29">
        <f t="shared" si="30"/>
        <v>243818.27906383268</v>
      </c>
      <c r="U92">
        <f t="shared" si="31"/>
        <v>0</v>
      </c>
      <c r="V92" s="29">
        <f t="shared" si="32"/>
        <v>0</v>
      </c>
      <c r="W92" s="29">
        <f t="shared" si="33"/>
        <v>0</v>
      </c>
      <c r="X92" s="29">
        <f t="shared" si="34"/>
        <v>243818.27906383268</v>
      </c>
      <c r="Y92">
        <f t="shared" si="35"/>
        <v>0</v>
      </c>
    </row>
    <row r="93" spans="1:25" x14ac:dyDescent="0.25">
      <c r="A93" s="4" t="s">
        <v>836</v>
      </c>
      <c r="B93" s="7" t="s">
        <v>135</v>
      </c>
      <c r="C93" s="2" t="s">
        <v>837</v>
      </c>
      <c r="D93">
        <f>VLOOKUP(B93,'Model allocations'!$A$1:$L$317,6,FALSE)</f>
        <v>122756.18620871288</v>
      </c>
      <c r="E93" s="31">
        <f>VLOOKUP(B93,'Initial adjusted formula count'!$A$1:$P$317,12,FALSE)</f>
        <v>6.4561901383469303E-2</v>
      </c>
      <c r="F93">
        <f>VLOOKUP(B93,'Model allocations'!$A$1:$L$317,11,FALSE)</f>
        <v>104392.66802553463</v>
      </c>
      <c r="G93" s="30">
        <f t="shared" si="36"/>
        <v>0.85</v>
      </c>
      <c r="H93">
        <f t="shared" si="37"/>
        <v>104342.75827740594</v>
      </c>
      <c r="I93">
        <f t="shared" si="19"/>
        <v>0</v>
      </c>
      <c r="J93">
        <f t="shared" si="20"/>
        <v>104392.66802553463</v>
      </c>
      <c r="K93">
        <f t="shared" si="21"/>
        <v>104330.88371946909</v>
      </c>
      <c r="L93">
        <f t="shared" si="22"/>
        <v>104330.88371946909</v>
      </c>
      <c r="M93">
        <f t="shared" si="23"/>
        <v>104342.75827740594</v>
      </c>
      <c r="N93" s="29">
        <f t="shared" si="24"/>
        <v>0</v>
      </c>
      <c r="O93" s="29">
        <f t="shared" si="25"/>
        <v>0</v>
      </c>
      <c r="P93" s="29">
        <f t="shared" si="26"/>
        <v>104342.75827740594</v>
      </c>
      <c r="Q93">
        <f t="shared" si="27"/>
        <v>0</v>
      </c>
      <c r="R93" s="29">
        <f t="shared" si="28"/>
        <v>0</v>
      </c>
      <c r="S93" s="29">
        <f t="shared" si="29"/>
        <v>0</v>
      </c>
      <c r="T93" s="29">
        <f t="shared" si="30"/>
        <v>104342.75827740594</v>
      </c>
      <c r="U93">
        <f t="shared" si="31"/>
        <v>0</v>
      </c>
      <c r="V93" s="29">
        <f t="shared" si="32"/>
        <v>0</v>
      </c>
      <c r="W93" s="29">
        <f t="shared" si="33"/>
        <v>0</v>
      </c>
      <c r="X93" s="29">
        <f t="shared" si="34"/>
        <v>104342.75827740594</v>
      </c>
      <c r="Y93">
        <f t="shared" si="35"/>
        <v>0</v>
      </c>
    </row>
    <row r="94" spans="1:25" x14ac:dyDescent="0.25">
      <c r="A94" s="4" t="s">
        <v>838</v>
      </c>
      <c r="B94" s="7" t="s">
        <v>414</v>
      </c>
      <c r="C94" s="2" t="s">
        <v>839</v>
      </c>
      <c r="D94">
        <f>VLOOKUP(B94,'Model allocations'!$A$1:$L$317,6,FALSE)</f>
        <v>22094.871349433746</v>
      </c>
      <c r="E94" s="31">
        <f>VLOOKUP(B94,'Initial adjusted formula count'!$A$1:$P$317,12,FALSE)</f>
        <v>0.10233918128654999</v>
      </c>
      <c r="F94">
        <f>VLOOKUP(B94,'Model allocations'!$A$1:$L$317,11,FALSE)</f>
        <v>19900.564777394698</v>
      </c>
      <c r="G94" s="30">
        <f t="shared" si="36"/>
        <v>0.85</v>
      </c>
      <c r="H94">
        <f t="shared" si="37"/>
        <v>18780.640647018685</v>
      </c>
      <c r="I94">
        <f t="shared" si="19"/>
        <v>0</v>
      </c>
      <c r="J94">
        <f t="shared" si="20"/>
        <v>19900.564777394698</v>
      </c>
      <c r="K94">
        <f t="shared" si="21"/>
        <v>19888.786722399658</v>
      </c>
      <c r="L94">
        <f t="shared" si="22"/>
        <v>19888.786722399658</v>
      </c>
      <c r="M94">
        <f t="shared" si="23"/>
        <v>0</v>
      </c>
      <c r="N94" s="29">
        <f t="shared" si="24"/>
        <v>19888.786722399658</v>
      </c>
      <c r="O94" s="29">
        <f t="shared" si="25"/>
        <v>19887.27765725887</v>
      </c>
      <c r="P94" s="29">
        <f t="shared" si="26"/>
        <v>19887.27765725887</v>
      </c>
      <c r="Q94">
        <f t="shared" si="27"/>
        <v>0</v>
      </c>
      <c r="R94" s="29">
        <f t="shared" si="28"/>
        <v>19887.27765725887</v>
      </c>
      <c r="S94" s="29">
        <f t="shared" si="29"/>
        <v>19887.277657258855</v>
      </c>
      <c r="T94" s="29">
        <f t="shared" si="30"/>
        <v>19887.277657258855</v>
      </c>
      <c r="U94">
        <f t="shared" si="31"/>
        <v>0</v>
      </c>
      <c r="V94" s="29">
        <f t="shared" si="32"/>
        <v>19887.277657258855</v>
      </c>
      <c r="W94" s="29">
        <f t="shared" si="33"/>
        <v>19887.277657258855</v>
      </c>
      <c r="X94" s="29">
        <f t="shared" si="34"/>
        <v>19887.277657258855</v>
      </c>
      <c r="Y94">
        <f t="shared" si="35"/>
        <v>0</v>
      </c>
    </row>
    <row r="95" spans="1:25" x14ac:dyDescent="0.25">
      <c r="A95" s="4" t="s">
        <v>840</v>
      </c>
      <c r="B95" s="7" t="s">
        <v>416</v>
      </c>
      <c r="C95" s="2" t="s">
        <v>841</v>
      </c>
      <c r="D95">
        <f>VLOOKUP(B95,'Model allocations'!$A$1:$L$317,6,FALSE)</f>
        <v>30909.540987567634</v>
      </c>
      <c r="E95" s="31">
        <f>VLOOKUP(B95,'Initial adjusted formula count'!$A$1:$P$317,12,FALSE)</f>
        <v>0.19148936170212799</v>
      </c>
      <c r="F95">
        <f>VLOOKUP(B95,'Model allocations'!$A$1:$L$317,11,FALSE)</f>
        <v>27818.586888810871</v>
      </c>
      <c r="G95" s="30">
        <f t="shared" si="36"/>
        <v>0.9</v>
      </c>
      <c r="H95">
        <f t="shared" si="37"/>
        <v>27818.586888810871</v>
      </c>
      <c r="I95">
        <f t="shared" si="19"/>
        <v>0</v>
      </c>
      <c r="J95">
        <f t="shared" si="20"/>
        <v>27818.586888810871</v>
      </c>
      <c r="K95">
        <f t="shared" si="21"/>
        <v>27802.122589936658</v>
      </c>
      <c r="L95">
        <f t="shared" si="22"/>
        <v>27802.122589936658</v>
      </c>
      <c r="M95">
        <f t="shared" si="23"/>
        <v>27818.586888810871</v>
      </c>
      <c r="N95" s="29">
        <f t="shared" si="24"/>
        <v>0</v>
      </c>
      <c r="O95" s="29">
        <f t="shared" si="25"/>
        <v>0</v>
      </c>
      <c r="P95" s="29">
        <f t="shared" si="26"/>
        <v>27818.586888810871</v>
      </c>
      <c r="Q95">
        <f t="shared" si="27"/>
        <v>0</v>
      </c>
      <c r="R95" s="29">
        <f t="shared" si="28"/>
        <v>0</v>
      </c>
      <c r="S95" s="29">
        <f t="shared" si="29"/>
        <v>0</v>
      </c>
      <c r="T95" s="29">
        <f t="shared" si="30"/>
        <v>27818.586888810871</v>
      </c>
      <c r="U95">
        <f t="shared" si="31"/>
        <v>0</v>
      </c>
      <c r="V95" s="29">
        <f t="shared" si="32"/>
        <v>0</v>
      </c>
      <c r="W95" s="29">
        <f t="shared" si="33"/>
        <v>0</v>
      </c>
      <c r="X95" s="29">
        <f t="shared" si="34"/>
        <v>27818.586888810871</v>
      </c>
      <c r="Y95">
        <f t="shared" si="35"/>
        <v>0</v>
      </c>
    </row>
    <row r="96" spans="1:25" x14ac:dyDescent="0.25">
      <c r="A96" s="4" t="s">
        <v>842</v>
      </c>
      <c r="B96" s="7" t="s">
        <v>137</v>
      </c>
      <c r="C96" s="2" t="s">
        <v>843</v>
      </c>
      <c r="D96">
        <f>VLOOKUP(B96,'Model allocations'!$A$1:$L$317,6,FALSE)</f>
        <v>9051.1473702276762</v>
      </c>
      <c r="E96" s="31">
        <f>VLOOKUP(B96,'Initial adjusted formula count'!$A$1:$P$317,12,FALSE)</f>
        <v>5.8252427184466E-2</v>
      </c>
      <c r="F96">
        <f>VLOOKUP(B96,'Model allocations'!$A$1:$L$317,11,FALSE)</f>
        <v>7693.4752646935249</v>
      </c>
      <c r="G96" s="30">
        <f t="shared" si="36"/>
        <v>0.85</v>
      </c>
      <c r="H96">
        <f t="shared" si="37"/>
        <v>7693.4752646935249</v>
      </c>
      <c r="I96">
        <f t="shared" si="19"/>
        <v>0</v>
      </c>
      <c r="J96">
        <f t="shared" si="20"/>
        <v>7693.4752646935249</v>
      </c>
      <c r="K96">
        <f t="shared" si="21"/>
        <v>7688.9219178019093</v>
      </c>
      <c r="L96">
        <f t="shared" si="22"/>
        <v>7688.9219178019093</v>
      </c>
      <c r="M96">
        <f t="shared" si="23"/>
        <v>7693.4752646935249</v>
      </c>
      <c r="N96" s="29">
        <f t="shared" si="24"/>
        <v>0</v>
      </c>
      <c r="O96" s="29">
        <f t="shared" si="25"/>
        <v>0</v>
      </c>
      <c r="P96" s="29">
        <f t="shared" si="26"/>
        <v>7693.4752646935249</v>
      </c>
      <c r="Q96">
        <f t="shared" si="27"/>
        <v>0</v>
      </c>
      <c r="R96" s="29">
        <f t="shared" si="28"/>
        <v>0</v>
      </c>
      <c r="S96" s="29">
        <f t="shared" si="29"/>
        <v>0</v>
      </c>
      <c r="T96" s="29">
        <f t="shared" si="30"/>
        <v>7693.4752646935249</v>
      </c>
      <c r="U96">
        <f t="shared" si="31"/>
        <v>0</v>
      </c>
      <c r="V96" s="29">
        <f t="shared" si="32"/>
        <v>0</v>
      </c>
      <c r="W96" s="29">
        <f t="shared" si="33"/>
        <v>0</v>
      </c>
      <c r="X96" s="29">
        <f t="shared" si="34"/>
        <v>7693.4752646935249</v>
      </c>
      <c r="Y96">
        <f t="shared" si="35"/>
        <v>0</v>
      </c>
    </row>
    <row r="97" spans="1:25" x14ac:dyDescent="0.25">
      <c r="A97" s="4" t="s">
        <v>844</v>
      </c>
      <c r="B97" s="7" t="s">
        <v>139</v>
      </c>
      <c r="C97" s="2" t="s">
        <v>845</v>
      </c>
      <c r="D97">
        <f>VLOOKUP(B97,'Model allocations'!$A$1:$L$317,6,FALSE)</f>
        <v>32681.99720437076</v>
      </c>
      <c r="E97" s="31">
        <f>VLOOKUP(B97,'Initial adjusted formula count'!$A$1:$P$317,12,FALSE)</f>
        <v>5.2338530066815103E-2</v>
      </c>
      <c r="F97">
        <f>VLOOKUP(B97,'Model allocations'!$A$1:$L$317,11,FALSE)</f>
        <v>27779.697623715147</v>
      </c>
      <c r="G97" s="30">
        <f t="shared" si="36"/>
        <v>0.85</v>
      </c>
      <c r="H97">
        <f t="shared" si="37"/>
        <v>27779.697623715147</v>
      </c>
      <c r="I97">
        <f t="shared" si="19"/>
        <v>0</v>
      </c>
      <c r="J97">
        <f t="shared" si="20"/>
        <v>27779.697623715147</v>
      </c>
      <c r="K97">
        <f t="shared" si="21"/>
        <v>27763.256341268261</v>
      </c>
      <c r="L97">
        <f t="shared" si="22"/>
        <v>27763.256341268261</v>
      </c>
      <c r="M97">
        <f t="shared" si="23"/>
        <v>27779.697623715147</v>
      </c>
      <c r="N97" s="29">
        <f t="shared" si="24"/>
        <v>0</v>
      </c>
      <c r="O97" s="29">
        <f t="shared" si="25"/>
        <v>0</v>
      </c>
      <c r="P97" s="29">
        <f t="shared" si="26"/>
        <v>27779.697623715147</v>
      </c>
      <c r="Q97">
        <f t="shared" si="27"/>
        <v>0</v>
      </c>
      <c r="R97" s="29">
        <f t="shared" si="28"/>
        <v>0</v>
      </c>
      <c r="S97" s="29">
        <f t="shared" si="29"/>
        <v>0</v>
      </c>
      <c r="T97" s="29">
        <f t="shared" si="30"/>
        <v>27779.697623715147</v>
      </c>
      <c r="U97">
        <f t="shared" si="31"/>
        <v>0</v>
      </c>
      <c r="V97" s="29">
        <f t="shared" si="32"/>
        <v>0</v>
      </c>
      <c r="W97" s="29">
        <f t="shared" si="33"/>
        <v>0</v>
      </c>
      <c r="X97" s="29">
        <f t="shared" si="34"/>
        <v>27779.697623715147</v>
      </c>
      <c r="Y97">
        <f t="shared" si="35"/>
        <v>0</v>
      </c>
    </row>
    <row r="98" spans="1:25" x14ac:dyDescent="0.25">
      <c r="A98" s="4" t="s">
        <v>846</v>
      </c>
      <c r="B98" s="7" t="s">
        <v>418</v>
      </c>
      <c r="C98" s="2" t="s">
        <v>847</v>
      </c>
      <c r="D98">
        <f>VLOOKUP(B98,'Model allocations'!$A$1:$L$317,6,FALSE)</f>
        <v>17606.980663407961</v>
      </c>
      <c r="E98" s="31">
        <f>VLOOKUP(B98,'Initial adjusted formula count'!$A$1:$P$317,12,FALSE)</f>
        <v>0.17241379310344801</v>
      </c>
      <c r="F98">
        <f>VLOOKUP(B98,'Model allocations'!$A$1:$L$317,11,FALSE)</f>
        <v>15846.282597067166</v>
      </c>
      <c r="G98" s="30">
        <f t="shared" si="36"/>
        <v>0.9</v>
      </c>
      <c r="H98">
        <f t="shared" si="37"/>
        <v>15846.282597067166</v>
      </c>
      <c r="I98">
        <f t="shared" si="19"/>
        <v>0</v>
      </c>
      <c r="J98">
        <f t="shared" si="20"/>
        <v>15846.282597067166</v>
      </c>
      <c r="K98">
        <f t="shared" si="21"/>
        <v>15836.904049775525</v>
      </c>
      <c r="L98">
        <f t="shared" si="22"/>
        <v>15836.904049775525</v>
      </c>
      <c r="M98">
        <f t="shared" si="23"/>
        <v>15846.282597067166</v>
      </c>
      <c r="N98" s="29">
        <f t="shared" si="24"/>
        <v>0</v>
      </c>
      <c r="O98" s="29">
        <f t="shared" si="25"/>
        <v>0</v>
      </c>
      <c r="P98" s="29">
        <f t="shared" si="26"/>
        <v>15846.282597067166</v>
      </c>
      <c r="Q98">
        <f t="shared" si="27"/>
        <v>0</v>
      </c>
      <c r="R98" s="29">
        <f t="shared" si="28"/>
        <v>0</v>
      </c>
      <c r="S98" s="29">
        <f t="shared" si="29"/>
        <v>0</v>
      </c>
      <c r="T98" s="29">
        <f t="shared" si="30"/>
        <v>15846.282597067166</v>
      </c>
      <c r="U98">
        <f t="shared" si="31"/>
        <v>0</v>
      </c>
      <c r="V98" s="29">
        <f t="shared" si="32"/>
        <v>0</v>
      </c>
      <c r="W98" s="29">
        <f t="shared" si="33"/>
        <v>0</v>
      </c>
      <c r="X98" s="29">
        <f t="shared" si="34"/>
        <v>15846.282597067166</v>
      </c>
      <c r="Y98">
        <f t="shared" si="35"/>
        <v>0</v>
      </c>
    </row>
    <row r="99" spans="1:25" x14ac:dyDescent="0.25">
      <c r="A99" s="4" t="s">
        <v>848</v>
      </c>
      <c r="B99" s="7" t="s">
        <v>420</v>
      </c>
      <c r="C99" s="2" t="s">
        <v>849</v>
      </c>
      <c r="D99">
        <f>VLOOKUP(B99,'Model allocations'!$A$1:$L$317,6,FALSE)</f>
        <v>148561.45991860051</v>
      </c>
      <c r="E99" s="31">
        <f>VLOOKUP(B99,'Initial adjusted formula count'!$A$1:$P$317,12,FALSE)</f>
        <v>0.11242138364779899</v>
      </c>
      <c r="F99">
        <f>VLOOKUP(B99,'Model allocations'!$A$1:$L$317,11,FALSE)</f>
        <v>126277.24093081043</v>
      </c>
      <c r="G99" s="30">
        <f t="shared" si="36"/>
        <v>0.85</v>
      </c>
      <c r="H99">
        <f t="shared" si="37"/>
        <v>126277.24093081043</v>
      </c>
      <c r="I99">
        <f t="shared" si="19"/>
        <v>0</v>
      </c>
      <c r="J99">
        <f t="shared" si="20"/>
        <v>126277.24093081043</v>
      </c>
      <c r="K99">
        <f t="shared" si="21"/>
        <v>126202.50434393756</v>
      </c>
      <c r="L99">
        <f t="shared" si="22"/>
        <v>126202.50434393756</v>
      </c>
      <c r="M99">
        <f t="shared" si="23"/>
        <v>126277.24093081043</v>
      </c>
      <c r="N99" s="29">
        <f t="shared" si="24"/>
        <v>0</v>
      </c>
      <c r="O99" s="29">
        <f t="shared" si="25"/>
        <v>0</v>
      </c>
      <c r="P99" s="29">
        <f t="shared" si="26"/>
        <v>126277.24093081043</v>
      </c>
      <c r="Q99">
        <f t="shared" si="27"/>
        <v>0</v>
      </c>
      <c r="R99" s="29">
        <f t="shared" si="28"/>
        <v>0</v>
      </c>
      <c r="S99" s="29">
        <f t="shared" si="29"/>
        <v>0</v>
      </c>
      <c r="T99" s="29">
        <f t="shared" si="30"/>
        <v>126277.24093081043</v>
      </c>
      <c r="U99">
        <f t="shared" si="31"/>
        <v>0</v>
      </c>
      <c r="V99" s="29">
        <f t="shared" si="32"/>
        <v>0</v>
      </c>
      <c r="W99" s="29">
        <f t="shared" si="33"/>
        <v>0</v>
      </c>
      <c r="X99" s="29">
        <f t="shared" si="34"/>
        <v>126277.24093081043</v>
      </c>
      <c r="Y99">
        <f t="shared" si="35"/>
        <v>0</v>
      </c>
    </row>
    <row r="100" spans="1:25" x14ac:dyDescent="0.25">
      <c r="A100" s="4" t="s">
        <v>18</v>
      </c>
      <c r="B100" s="7" t="s">
        <v>57</v>
      </c>
      <c r="C100" s="2" t="s">
        <v>850</v>
      </c>
      <c r="D100">
        <f>VLOOKUP(B100,'Model allocations'!$A$1:$L$317,6,FALSE)</f>
        <v>2613058.4321100381</v>
      </c>
      <c r="E100" s="31">
        <f>VLOOKUP(B100,'Initial adjusted formula count'!$A$1:$P$317,12,FALSE)</f>
        <v>0.16867413714330101</v>
      </c>
      <c r="F100">
        <f>VLOOKUP(B100,'Model allocations'!$A$1:$L$317,11,FALSE)</f>
        <v>2952897.4521088358</v>
      </c>
      <c r="G100" s="30">
        <f t="shared" si="36"/>
        <v>0.9</v>
      </c>
      <c r="H100">
        <f t="shared" si="37"/>
        <v>2351752.5888990345</v>
      </c>
      <c r="I100">
        <f t="shared" si="19"/>
        <v>0</v>
      </c>
      <c r="J100">
        <f t="shared" si="20"/>
        <v>2952897.4521088358</v>
      </c>
      <c r="K100">
        <f t="shared" si="21"/>
        <v>2951149.7937396043</v>
      </c>
      <c r="L100">
        <f t="shared" si="22"/>
        <v>2951149.7937396043</v>
      </c>
      <c r="M100">
        <f t="shared" si="23"/>
        <v>0</v>
      </c>
      <c r="N100" s="29">
        <f t="shared" si="24"/>
        <v>2951149.7937396043</v>
      </c>
      <c r="O100" s="29">
        <f t="shared" si="25"/>
        <v>2950925.8747373475</v>
      </c>
      <c r="P100" s="29">
        <f t="shared" si="26"/>
        <v>2950925.8747373475</v>
      </c>
      <c r="Q100">
        <f t="shared" si="27"/>
        <v>0</v>
      </c>
      <c r="R100" s="29">
        <f t="shared" si="28"/>
        <v>2950925.8747373475</v>
      </c>
      <c r="S100" s="29">
        <f t="shared" si="29"/>
        <v>2950925.8747373451</v>
      </c>
      <c r="T100" s="29">
        <f t="shared" si="30"/>
        <v>2950925.8747373451</v>
      </c>
      <c r="U100">
        <f t="shared" si="31"/>
        <v>0</v>
      </c>
      <c r="V100" s="29">
        <f t="shared" si="32"/>
        <v>2950925.8747373451</v>
      </c>
      <c r="W100" s="29">
        <f t="shared" si="33"/>
        <v>2950925.8747373451</v>
      </c>
      <c r="X100" s="29">
        <f t="shared" si="34"/>
        <v>2950925.8747373451</v>
      </c>
      <c r="Y100">
        <f t="shared" si="35"/>
        <v>0</v>
      </c>
    </row>
    <row r="101" spans="1:25" x14ac:dyDescent="0.25">
      <c r="A101" s="4" t="s">
        <v>851</v>
      </c>
      <c r="B101" s="7" t="s">
        <v>141</v>
      </c>
      <c r="C101" s="2" t="s">
        <v>852</v>
      </c>
      <c r="D101">
        <f>VLOOKUP(B101,'Model allocations'!$A$1:$L$317,6,FALSE)</f>
        <v>0</v>
      </c>
      <c r="E101" s="31">
        <f>VLOOKUP(B101,'Initial adjusted formula count'!$A$1:$P$317,12,FALSE)</f>
        <v>4.8490393412625801E-2</v>
      </c>
      <c r="F101">
        <f>VLOOKUP(B101,'Model allocations'!$A$1:$L$317,11,FALSE)</f>
        <v>0</v>
      </c>
      <c r="G101" s="30">
        <f t="shared" si="36"/>
        <v>0.85</v>
      </c>
      <c r="H101">
        <f t="shared" si="37"/>
        <v>0</v>
      </c>
      <c r="I101">
        <f t="shared" si="19"/>
        <v>0</v>
      </c>
      <c r="J101">
        <f t="shared" si="20"/>
        <v>0</v>
      </c>
      <c r="K101">
        <f t="shared" si="21"/>
        <v>0</v>
      </c>
      <c r="L101">
        <f t="shared" si="22"/>
        <v>0</v>
      </c>
      <c r="M101">
        <f t="shared" si="23"/>
        <v>0</v>
      </c>
      <c r="N101" s="29">
        <f t="shared" si="24"/>
        <v>0</v>
      </c>
      <c r="O101" s="29">
        <f t="shared" si="25"/>
        <v>0</v>
      </c>
      <c r="P101" s="29">
        <f t="shared" si="26"/>
        <v>0</v>
      </c>
      <c r="Q101">
        <f t="shared" si="27"/>
        <v>0</v>
      </c>
      <c r="R101" s="29">
        <f t="shared" si="28"/>
        <v>0</v>
      </c>
      <c r="S101" s="29">
        <f t="shared" si="29"/>
        <v>0</v>
      </c>
      <c r="T101" s="29">
        <f t="shared" si="30"/>
        <v>0</v>
      </c>
      <c r="U101">
        <f t="shared" si="31"/>
        <v>0</v>
      </c>
      <c r="V101" s="29">
        <f t="shared" si="32"/>
        <v>0</v>
      </c>
      <c r="W101" s="29">
        <f t="shared" si="33"/>
        <v>0</v>
      </c>
      <c r="X101" s="29">
        <f t="shared" si="34"/>
        <v>0</v>
      </c>
      <c r="Y101">
        <f t="shared" si="35"/>
        <v>0</v>
      </c>
    </row>
    <row r="102" spans="1:25" x14ac:dyDescent="0.25">
      <c r="A102" s="4" t="s">
        <v>853</v>
      </c>
      <c r="B102" s="7" t="s">
        <v>422</v>
      </c>
      <c r="C102" s="2" t="s">
        <v>854</v>
      </c>
      <c r="D102">
        <f>VLOOKUP(B102,'Model allocations'!$A$1:$L$317,6,FALSE)</f>
        <v>79543.973792301535</v>
      </c>
      <c r="E102" s="31">
        <f>VLOOKUP(B102,'Initial adjusted formula count'!$A$1:$P$317,12,FALSE)</f>
        <v>0.20028409090909099</v>
      </c>
      <c r="F102">
        <f>VLOOKUP(B102,'Model allocations'!$A$1:$L$317,11,FALSE)</f>
        <v>93525.603967948206</v>
      </c>
      <c r="G102" s="30">
        <f t="shared" si="36"/>
        <v>0.9</v>
      </c>
      <c r="H102">
        <f t="shared" si="37"/>
        <v>71589.57641307138</v>
      </c>
      <c r="I102">
        <f t="shared" si="19"/>
        <v>0</v>
      </c>
      <c r="J102">
        <f t="shared" si="20"/>
        <v>93525.603967948206</v>
      </c>
      <c r="K102">
        <f t="shared" si="21"/>
        <v>93470.251282268146</v>
      </c>
      <c r="L102">
        <f t="shared" si="22"/>
        <v>93470.251282268146</v>
      </c>
      <c r="M102">
        <f t="shared" si="23"/>
        <v>0</v>
      </c>
      <c r="N102" s="29">
        <f t="shared" si="24"/>
        <v>93470.251282268146</v>
      </c>
      <c r="O102" s="29">
        <f t="shared" si="25"/>
        <v>93463.159210746671</v>
      </c>
      <c r="P102" s="29">
        <f t="shared" si="26"/>
        <v>93463.159210746671</v>
      </c>
      <c r="Q102">
        <f t="shared" si="27"/>
        <v>0</v>
      </c>
      <c r="R102" s="29">
        <f t="shared" si="28"/>
        <v>93463.159210746671</v>
      </c>
      <c r="S102" s="29">
        <f t="shared" si="29"/>
        <v>93463.159210746599</v>
      </c>
      <c r="T102" s="29">
        <f t="shared" si="30"/>
        <v>93463.159210746599</v>
      </c>
      <c r="U102">
        <f t="shared" si="31"/>
        <v>0</v>
      </c>
      <c r="V102" s="29">
        <f t="shared" si="32"/>
        <v>93463.159210746599</v>
      </c>
      <c r="W102" s="29">
        <f t="shared" si="33"/>
        <v>93463.159210746599</v>
      </c>
      <c r="X102" s="29">
        <f t="shared" si="34"/>
        <v>93463.159210746599</v>
      </c>
      <c r="Y102">
        <f t="shared" si="35"/>
        <v>0</v>
      </c>
    </row>
    <row r="103" spans="1:25" x14ac:dyDescent="0.25">
      <c r="A103" s="4" t="s">
        <v>855</v>
      </c>
      <c r="B103" s="7" t="s">
        <v>424</v>
      </c>
      <c r="C103" s="2" t="s">
        <v>856</v>
      </c>
      <c r="D103">
        <f>VLOOKUP(B103,'Model allocations'!$A$1:$L$317,6,FALSE)</f>
        <v>416727.38339225843</v>
      </c>
      <c r="E103" s="31">
        <f>VLOOKUP(B103,'Initial adjusted formula count'!$A$1:$P$317,12,FALSE)</f>
        <v>0.21856123009335501</v>
      </c>
      <c r="F103">
        <f>VLOOKUP(B103,'Model allocations'!$A$1:$L$317,11,FALSE)</f>
        <v>375054.64505303261</v>
      </c>
      <c r="G103" s="30">
        <f t="shared" si="36"/>
        <v>0.9</v>
      </c>
      <c r="H103">
        <f t="shared" si="37"/>
        <v>375054.64505303261</v>
      </c>
      <c r="I103">
        <f t="shared" si="19"/>
        <v>0</v>
      </c>
      <c r="J103">
        <f t="shared" si="20"/>
        <v>375054.64505303261</v>
      </c>
      <c r="K103">
        <f t="shared" si="21"/>
        <v>374832.67073798215</v>
      </c>
      <c r="L103">
        <f t="shared" si="22"/>
        <v>374832.67073798215</v>
      </c>
      <c r="M103">
        <f t="shared" si="23"/>
        <v>375054.64505303261</v>
      </c>
      <c r="N103" s="29">
        <f t="shared" si="24"/>
        <v>0</v>
      </c>
      <c r="O103" s="29">
        <f t="shared" si="25"/>
        <v>0</v>
      </c>
      <c r="P103" s="29">
        <f t="shared" si="26"/>
        <v>375054.64505303261</v>
      </c>
      <c r="Q103">
        <f t="shared" si="27"/>
        <v>0</v>
      </c>
      <c r="R103" s="29">
        <f t="shared" si="28"/>
        <v>0</v>
      </c>
      <c r="S103" s="29">
        <f t="shared" si="29"/>
        <v>0</v>
      </c>
      <c r="T103" s="29">
        <f t="shared" si="30"/>
        <v>375054.64505303261</v>
      </c>
      <c r="U103">
        <f t="shared" si="31"/>
        <v>0</v>
      </c>
      <c r="V103" s="29">
        <f t="shared" si="32"/>
        <v>0</v>
      </c>
      <c r="W103" s="29">
        <f t="shared" si="33"/>
        <v>0</v>
      </c>
      <c r="X103" s="29">
        <f t="shared" si="34"/>
        <v>375054.64505303261</v>
      </c>
      <c r="Y103">
        <f t="shared" si="35"/>
        <v>0</v>
      </c>
    </row>
    <row r="104" spans="1:25" x14ac:dyDescent="0.25">
      <c r="A104" s="4" t="s">
        <v>37</v>
      </c>
      <c r="B104" s="7" t="s">
        <v>79</v>
      </c>
      <c r="C104" s="2" t="s">
        <v>857</v>
      </c>
      <c r="D104">
        <f>VLOOKUP(B104,'Model allocations'!$A$1:$L$317,6,FALSE)</f>
        <v>43854.213580422482</v>
      </c>
      <c r="E104" s="31">
        <f>VLOOKUP(B104,'Initial adjusted formula count'!$A$1:$P$317,12,FALSE)</f>
        <v>0.14665504406806101</v>
      </c>
      <c r="F104">
        <f>VLOOKUP(B104,'Model allocations'!$A$1:$L$317,11,FALSE)</f>
        <v>42550.800784885192</v>
      </c>
      <c r="G104" s="30">
        <f t="shared" si="36"/>
        <v>0.85</v>
      </c>
      <c r="H104">
        <f t="shared" si="37"/>
        <v>37276.081543359105</v>
      </c>
      <c r="I104">
        <f t="shared" si="19"/>
        <v>0</v>
      </c>
      <c r="J104">
        <f t="shared" si="20"/>
        <v>42550.800784885192</v>
      </c>
      <c r="K104">
        <f t="shared" si="21"/>
        <v>42525.617295002703</v>
      </c>
      <c r="L104">
        <f t="shared" si="22"/>
        <v>42525.617295002703</v>
      </c>
      <c r="M104">
        <f t="shared" si="23"/>
        <v>0</v>
      </c>
      <c r="N104" s="29">
        <f t="shared" si="24"/>
        <v>42525.617295002703</v>
      </c>
      <c r="O104" s="29">
        <f t="shared" si="25"/>
        <v>42522.390656417549</v>
      </c>
      <c r="P104" s="29">
        <f t="shared" si="26"/>
        <v>42522.390656417549</v>
      </c>
      <c r="Q104">
        <f t="shared" si="27"/>
        <v>0</v>
      </c>
      <c r="R104" s="29">
        <f t="shared" si="28"/>
        <v>42522.390656417549</v>
      </c>
      <c r="S104" s="29">
        <f t="shared" si="29"/>
        <v>42522.390656417512</v>
      </c>
      <c r="T104" s="29">
        <f t="shared" si="30"/>
        <v>42522.390656417512</v>
      </c>
      <c r="U104">
        <f t="shared" si="31"/>
        <v>0</v>
      </c>
      <c r="V104" s="29">
        <f t="shared" si="32"/>
        <v>42522.390656417512</v>
      </c>
      <c r="W104" s="29">
        <f t="shared" si="33"/>
        <v>42522.390656417512</v>
      </c>
      <c r="X104" s="29">
        <f t="shared" si="34"/>
        <v>42522.390656417512</v>
      </c>
      <c r="Y104">
        <f t="shared" si="35"/>
        <v>0</v>
      </c>
    </row>
    <row r="105" spans="1:25" x14ac:dyDescent="0.25">
      <c r="A105" s="4" t="s">
        <v>40</v>
      </c>
      <c r="B105" s="7" t="s">
        <v>74</v>
      </c>
      <c r="C105" s="2" t="s">
        <v>858</v>
      </c>
      <c r="D105">
        <f>VLOOKUP(B105,'Model allocations'!$A$1:$L$317,6,FALSE)</f>
        <v>54769.762478472476</v>
      </c>
      <c r="E105" s="31">
        <f>VLOOKUP(B105,'Initial adjusted formula count'!$A$1:$P$317,12,FALSE)</f>
        <v>0.20059580587053799</v>
      </c>
      <c r="F105">
        <f>VLOOKUP(B105,'Model allocations'!$A$1:$L$317,11,FALSE)</f>
        <v>56373.72021577054</v>
      </c>
      <c r="G105" s="30">
        <f t="shared" si="36"/>
        <v>0.9</v>
      </c>
      <c r="H105">
        <f t="shared" si="37"/>
        <v>49292.786230625228</v>
      </c>
      <c r="I105">
        <f t="shared" si="19"/>
        <v>0</v>
      </c>
      <c r="J105">
        <f t="shared" si="20"/>
        <v>56373.72021577054</v>
      </c>
      <c r="K105">
        <f t="shared" si="21"/>
        <v>56340.355696501691</v>
      </c>
      <c r="L105">
        <f t="shared" si="22"/>
        <v>56340.355696501691</v>
      </c>
      <c r="M105">
        <f t="shared" si="23"/>
        <v>0</v>
      </c>
      <c r="N105" s="29">
        <f t="shared" si="24"/>
        <v>56340.355696501691</v>
      </c>
      <c r="O105" s="29">
        <f t="shared" si="25"/>
        <v>56336.080862245188</v>
      </c>
      <c r="P105" s="29">
        <f t="shared" si="26"/>
        <v>56336.080862245188</v>
      </c>
      <c r="Q105">
        <f t="shared" si="27"/>
        <v>0</v>
      </c>
      <c r="R105" s="29">
        <f t="shared" si="28"/>
        <v>56336.080862245188</v>
      </c>
      <c r="S105" s="29">
        <f t="shared" si="29"/>
        <v>56336.080862245137</v>
      </c>
      <c r="T105" s="29">
        <f t="shared" si="30"/>
        <v>56336.080862245137</v>
      </c>
      <c r="U105">
        <f t="shared" si="31"/>
        <v>0</v>
      </c>
      <c r="V105" s="29">
        <f t="shared" si="32"/>
        <v>56336.080862245137</v>
      </c>
      <c r="W105" s="29">
        <f t="shared" si="33"/>
        <v>56336.080862245137</v>
      </c>
      <c r="X105" s="29">
        <f t="shared" si="34"/>
        <v>56336.080862245137</v>
      </c>
      <c r="Y105">
        <f t="shared" si="35"/>
        <v>0</v>
      </c>
    </row>
    <row r="106" spans="1:25" x14ac:dyDescent="0.25">
      <c r="A106" s="4" t="s">
        <v>44</v>
      </c>
      <c r="B106" s="7" t="s">
        <v>75</v>
      </c>
      <c r="C106" s="2" t="s">
        <v>859</v>
      </c>
      <c r="D106">
        <f>VLOOKUP(B106,'Model allocations'!$A$1:$L$317,6,FALSE)</f>
        <v>41244.302842020392</v>
      </c>
      <c r="E106" s="31">
        <f>VLOOKUP(B106,'Initial adjusted formula count'!$A$1:$P$317,12,FALSE)</f>
        <v>0.18899764894447399</v>
      </c>
      <c r="F106">
        <f>VLOOKUP(B106,'Model allocations'!$A$1:$L$317,11,FALSE)</f>
        <v>41485.70508460261</v>
      </c>
      <c r="G106" s="30">
        <f t="shared" si="36"/>
        <v>0.9</v>
      </c>
      <c r="H106">
        <f t="shared" si="37"/>
        <v>37119.872557818351</v>
      </c>
      <c r="I106">
        <f t="shared" si="19"/>
        <v>0</v>
      </c>
      <c r="J106">
        <f t="shared" si="20"/>
        <v>41485.70508460261</v>
      </c>
      <c r="K106">
        <f t="shared" si="21"/>
        <v>41461.151966565005</v>
      </c>
      <c r="L106">
        <f t="shared" si="22"/>
        <v>41461.151966565005</v>
      </c>
      <c r="M106">
        <f t="shared" si="23"/>
        <v>0</v>
      </c>
      <c r="N106" s="29">
        <f t="shared" si="24"/>
        <v>41461.151966565005</v>
      </c>
      <c r="O106" s="29">
        <f t="shared" si="25"/>
        <v>41458.006094471202</v>
      </c>
      <c r="P106" s="29">
        <f t="shared" si="26"/>
        <v>41458.006094471202</v>
      </c>
      <c r="Q106">
        <f t="shared" si="27"/>
        <v>0</v>
      </c>
      <c r="R106" s="29">
        <f t="shared" si="28"/>
        <v>41458.006094471202</v>
      </c>
      <c r="S106" s="29">
        <f t="shared" si="29"/>
        <v>41458.006094471166</v>
      </c>
      <c r="T106" s="29">
        <f t="shared" si="30"/>
        <v>41458.006094471166</v>
      </c>
      <c r="U106">
        <f t="shared" si="31"/>
        <v>0</v>
      </c>
      <c r="V106" s="29">
        <f t="shared" si="32"/>
        <v>41458.006094471166</v>
      </c>
      <c r="W106" s="29">
        <f t="shared" si="33"/>
        <v>41458.006094471166</v>
      </c>
      <c r="X106" s="29">
        <f t="shared" si="34"/>
        <v>41458.006094471166</v>
      </c>
      <c r="Y106">
        <f t="shared" si="35"/>
        <v>0</v>
      </c>
    </row>
    <row r="107" spans="1:25" x14ac:dyDescent="0.25">
      <c r="A107" s="4" t="s">
        <v>860</v>
      </c>
      <c r="B107" s="7" t="s">
        <v>426</v>
      </c>
      <c r="C107" s="2" t="s">
        <v>861</v>
      </c>
      <c r="D107">
        <f>VLOOKUP(B107,'Model allocations'!$A$1:$L$317,6,FALSE)</f>
        <v>33418.207905403884</v>
      </c>
      <c r="E107" s="31">
        <f>VLOOKUP(B107,'Initial adjusted formula count'!$A$1:$P$317,12,FALSE)</f>
        <v>0.29797979797979801</v>
      </c>
      <c r="F107">
        <f>VLOOKUP(B107,'Model allocations'!$A$1:$L$317,11,FALSE)</f>
        <v>52043.01883636025</v>
      </c>
      <c r="G107" s="30">
        <f t="shared" si="36"/>
        <v>0.9</v>
      </c>
      <c r="H107">
        <f t="shared" si="37"/>
        <v>30076.387114863497</v>
      </c>
      <c r="I107">
        <f t="shared" si="19"/>
        <v>0</v>
      </c>
      <c r="J107">
        <f t="shared" si="20"/>
        <v>52043.01883636025</v>
      </c>
      <c r="K107">
        <f t="shared" si="21"/>
        <v>52012.217422188383</v>
      </c>
      <c r="L107">
        <f t="shared" si="22"/>
        <v>52012.217422188383</v>
      </c>
      <c r="M107">
        <f t="shared" si="23"/>
        <v>0</v>
      </c>
      <c r="N107" s="29">
        <f t="shared" si="24"/>
        <v>52012.217422188383</v>
      </c>
      <c r="O107" s="29">
        <f t="shared" si="25"/>
        <v>52008.270986173833</v>
      </c>
      <c r="P107" s="29">
        <f t="shared" si="26"/>
        <v>52008.270986173833</v>
      </c>
      <c r="Q107">
        <f t="shared" si="27"/>
        <v>0</v>
      </c>
      <c r="R107" s="29">
        <f t="shared" si="28"/>
        <v>52008.270986173833</v>
      </c>
      <c r="S107" s="29">
        <f t="shared" si="29"/>
        <v>52008.270986173797</v>
      </c>
      <c r="T107" s="29">
        <f t="shared" si="30"/>
        <v>52008.270986173797</v>
      </c>
      <c r="U107">
        <f t="shared" si="31"/>
        <v>0</v>
      </c>
      <c r="V107" s="29">
        <f t="shared" si="32"/>
        <v>52008.270986173797</v>
      </c>
      <c r="W107" s="29">
        <f t="shared" si="33"/>
        <v>52008.270986173797</v>
      </c>
      <c r="X107" s="29">
        <f t="shared" si="34"/>
        <v>52008.270986173797</v>
      </c>
      <c r="Y107">
        <f t="shared" si="35"/>
        <v>0</v>
      </c>
    </row>
    <row r="108" spans="1:25" x14ac:dyDescent="0.25">
      <c r="A108" s="4" t="s">
        <v>862</v>
      </c>
      <c r="B108" s="7" t="s">
        <v>428</v>
      </c>
      <c r="C108" s="2" t="s">
        <v>863</v>
      </c>
      <c r="D108">
        <f>VLOOKUP(B108,'Model allocations'!$A$1:$L$317,6,FALSE)</f>
        <v>0</v>
      </c>
      <c r="E108" s="31">
        <f>VLOOKUP(B108,'Initial adjusted formula count'!$A$1:$P$317,12,FALSE)</f>
        <v>9.2592592592592601E-2</v>
      </c>
      <c r="F108">
        <f>VLOOKUP(B108,'Model allocations'!$A$1:$L$317,11,FALSE)</f>
        <v>0</v>
      </c>
      <c r="G108" s="30">
        <f t="shared" si="36"/>
        <v>0.85</v>
      </c>
      <c r="H108">
        <f t="shared" si="37"/>
        <v>0</v>
      </c>
      <c r="I108">
        <f t="shared" si="19"/>
        <v>0</v>
      </c>
      <c r="J108">
        <f t="shared" si="20"/>
        <v>0</v>
      </c>
      <c r="K108">
        <f t="shared" si="21"/>
        <v>0</v>
      </c>
      <c r="L108">
        <f t="shared" si="22"/>
        <v>0</v>
      </c>
      <c r="M108">
        <f t="shared" si="23"/>
        <v>0</v>
      </c>
      <c r="N108" s="29">
        <f t="shared" si="24"/>
        <v>0</v>
      </c>
      <c r="O108" s="29">
        <f t="shared" si="25"/>
        <v>0</v>
      </c>
      <c r="P108" s="29">
        <f t="shared" si="26"/>
        <v>0</v>
      </c>
      <c r="Q108">
        <f t="shared" si="27"/>
        <v>0</v>
      </c>
      <c r="R108" s="29">
        <f t="shared" si="28"/>
        <v>0</v>
      </c>
      <c r="S108" s="29">
        <f t="shared" si="29"/>
        <v>0</v>
      </c>
      <c r="T108" s="29">
        <f t="shared" si="30"/>
        <v>0</v>
      </c>
      <c r="U108">
        <f t="shared" si="31"/>
        <v>0</v>
      </c>
      <c r="V108" s="29">
        <f t="shared" si="32"/>
        <v>0</v>
      </c>
      <c r="W108" s="29">
        <f t="shared" si="33"/>
        <v>0</v>
      </c>
      <c r="X108" s="29">
        <f t="shared" si="34"/>
        <v>0</v>
      </c>
      <c r="Y108">
        <f t="shared" si="35"/>
        <v>0</v>
      </c>
    </row>
    <row r="109" spans="1:25" x14ac:dyDescent="0.25">
      <c r="A109" s="4" t="s">
        <v>864</v>
      </c>
      <c r="B109" s="7" t="s">
        <v>143</v>
      </c>
      <c r="C109" s="2" t="s">
        <v>865</v>
      </c>
      <c r="D109">
        <f>VLOOKUP(B109,'Model allocations'!$A$1:$L$317,6,FALSE)</f>
        <v>0</v>
      </c>
      <c r="E109" s="31">
        <f>VLOOKUP(B109,'Initial adjusted formula count'!$A$1:$P$317,12,FALSE)</f>
        <v>4.0799333888426298E-2</v>
      </c>
      <c r="F109">
        <f>VLOOKUP(B109,'Model allocations'!$A$1:$L$317,11,FALSE)</f>
        <v>0</v>
      </c>
      <c r="G109" s="30">
        <f t="shared" si="36"/>
        <v>0.85</v>
      </c>
      <c r="H109">
        <f t="shared" si="37"/>
        <v>0</v>
      </c>
      <c r="I109">
        <f t="shared" si="19"/>
        <v>0</v>
      </c>
      <c r="J109">
        <f t="shared" si="20"/>
        <v>0</v>
      </c>
      <c r="K109">
        <f t="shared" si="21"/>
        <v>0</v>
      </c>
      <c r="L109">
        <f t="shared" si="22"/>
        <v>0</v>
      </c>
      <c r="M109">
        <f t="shared" si="23"/>
        <v>0</v>
      </c>
      <c r="N109" s="29">
        <f t="shared" si="24"/>
        <v>0</v>
      </c>
      <c r="O109" s="29">
        <f t="shared" si="25"/>
        <v>0</v>
      </c>
      <c r="P109" s="29">
        <f t="shared" si="26"/>
        <v>0</v>
      </c>
      <c r="Q109">
        <f t="shared" si="27"/>
        <v>0</v>
      </c>
      <c r="R109" s="29">
        <f t="shared" si="28"/>
        <v>0</v>
      </c>
      <c r="S109" s="29">
        <f t="shared" si="29"/>
        <v>0</v>
      </c>
      <c r="T109" s="29">
        <f t="shared" si="30"/>
        <v>0</v>
      </c>
      <c r="U109">
        <f t="shared" si="31"/>
        <v>0</v>
      </c>
      <c r="V109" s="29">
        <f t="shared" si="32"/>
        <v>0</v>
      </c>
      <c r="W109" s="29">
        <f t="shared" si="33"/>
        <v>0</v>
      </c>
      <c r="X109" s="29">
        <f t="shared" si="34"/>
        <v>0</v>
      </c>
      <c r="Y109">
        <f t="shared" si="35"/>
        <v>0</v>
      </c>
    </row>
    <row r="110" spans="1:25" x14ac:dyDescent="0.25">
      <c r="A110" s="4" t="s">
        <v>866</v>
      </c>
      <c r="B110" s="7" t="s">
        <v>145</v>
      </c>
      <c r="C110" s="2" t="s">
        <v>867</v>
      </c>
      <c r="D110">
        <f>VLOOKUP(B110,'Model allocations'!$A$1:$L$317,6,FALSE)</f>
        <v>23175.179993112652</v>
      </c>
      <c r="E110" s="31">
        <f>VLOOKUP(B110,'Initial adjusted formula count'!$A$1:$P$317,12,FALSE)</f>
        <v>0.116666666666667</v>
      </c>
      <c r="F110">
        <f>VLOOKUP(B110,'Model allocations'!$A$1:$L$317,11,FALSE)</f>
        <v>0</v>
      </c>
      <c r="G110" s="30">
        <f t="shared" si="36"/>
        <v>0.85</v>
      </c>
      <c r="H110">
        <f t="shared" si="37"/>
        <v>0</v>
      </c>
      <c r="I110">
        <f t="shared" si="19"/>
        <v>0</v>
      </c>
      <c r="J110">
        <f t="shared" si="20"/>
        <v>0</v>
      </c>
      <c r="K110">
        <f t="shared" si="21"/>
        <v>0</v>
      </c>
      <c r="L110">
        <f t="shared" si="22"/>
        <v>0</v>
      </c>
      <c r="M110">
        <f t="shared" si="23"/>
        <v>0</v>
      </c>
      <c r="N110" s="29">
        <f t="shared" si="24"/>
        <v>0</v>
      </c>
      <c r="O110" s="29">
        <f t="shared" si="25"/>
        <v>0</v>
      </c>
      <c r="P110" s="29">
        <f t="shared" si="26"/>
        <v>0</v>
      </c>
      <c r="Q110">
        <f t="shared" si="27"/>
        <v>0</v>
      </c>
      <c r="R110" s="29">
        <f t="shared" si="28"/>
        <v>0</v>
      </c>
      <c r="S110" s="29">
        <f t="shared" si="29"/>
        <v>0</v>
      </c>
      <c r="T110" s="29">
        <f t="shared" si="30"/>
        <v>0</v>
      </c>
      <c r="U110">
        <f t="shared" si="31"/>
        <v>0</v>
      </c>
      <c r="V110" s="29">
        <f t="shared" si="32"/>
        <v>0</v>
      </c>
      <c r="W110" s="29">
        <f t="shared" si="33"/>
        <v>0</v>
      </c>
      <c r="X110" s="29">
        <f t="shared" si="34"/>
        <v>0</v>
      </c>
      <c r="Y110">
        <f t="shared" si="35"/>
        <v>0</v>
      </c>
    </row>
    <row r="111" spans="1:25" x14ac:dyDescent="0.25">
      <c r="A111" s="4" t="s">
        <v>868</v>
      </c>
      <c r="B111" s="7" t="s">
        <v>147</v>
      </c>
      <c r="C111" s="2" t="s">
        <v>869</v>
      </c>
      <c r="D111">
        <f>VLOOKUP(B111,'Model allocations'!$A$1:$L$317,6,FALSE)</f>
        <v>64489.425012872205</v>
      </c>
      <c r="E111" s="31">
        <f>VLOOKUP(B111,'Initial adjusted formula count'!$A$1:$P$317,12,FALSE)</f>
        <v>7.7147016011644795E-2</v>
      </c>
      <c r="F111">
        <f>VLOOKUP(B111,'Model allocations'!$A$1:$L$317,11,FALSE)</f>
        <v>60270.28189725252</v>
      </c>
      <c r="G111" s="30">
        <f t="shared" si="36"/>
        <v>0.85</v>
      </c>
      <c r="H111">
        <f t="shared" si="37"/>
        <v>54816.01126094137</v>
      </c>
      <c r="I111">
        <f t="shared" si="19"/>
        <v>0</v>
      </c>
      <c r="J111">
        <f t="shared" si="20"/>
        <v>60270.28189725252</v>
      </c>
      <c r="K111">
        <f t="shared" si="21"/>
        <v>60234.611216410405</v>
      </c>
      <c r="L111">
        <f t="shared" si="22"/>
        <v>60234.611216410405</v>
      </c>
      <c r="M111">
        <f t="shared" si="23"/>
        <v>0</v>
      </c>
      <c r="N111" s="29">
        <f t="shared" si="24"/>
        <v>60234.611216410405</v>
      </c>
      <c r="O111" s="29">
        <f t="shared" si="25"/>
        <v>60230.04090484116</v>
      </c>
      <c r="P111" s="29">
        <f t="shared" si="26"/>
        <v>60230.04090484116</v>
      </c>
      <c r="Q111">
        <f t="shared" si="27"/>
        <v>0</v>
      </c>
      <c r="R111" s="29">
        <f t="shared" si="28"/>
        <v>60230.04090484116</v>
      </c>
      <c r="S111" s="29">
        <f t="shared" si="29"/>
        <v>60230.040904841109</v>
      </c>
      <c r="T111" s="29">
        <f t="shared" si="30"/>
        <v>60230.040904841109</v>
      </c>
      <c r="U111">
        <f t="shared" si="31"/>
        <v>0</v>
      </c>
      <c r="V111" s="29">
        <f t="shared" si="32"/>
        <v>60230.040904841109</v>
      </c>
      <c r="W111" s="29">
        <f t="shared" si="33"/>
        <v>60230.040904841109</v>
      </c>
      <c r="X111" s="29">
        <f t="shared" si="34"/>
        <v>60230.040904841109</v>
      </c>
      <c r="Y111">
        <f t="shared" si="35"/>
        <v>0</v>
      </c>
    </row>
    <row r="112" spans="1:25" x14ac:dyDescent="0.25">
      <c r="A112" s="4" t="s">
        <v>870</v>
      </c>
      <c r="B112" s="7" t="s">
        <v>430</v>
      </c>
      <c r="C112" s="2" t="s">
        <v>871</v>
      </c>
      <c r="D112">
        <f>VLOOKUP(B112,'Model allocations'!$A$1:$L$317,6,FALSE)</f>
        <v>27370.938353506051</v>
      </c>
      <c r="E112" s="31">
        <f>VLOOKUP(B112,'Initial adjusted formula count'!$A$1:$P$317,12,FALSE)</f>
        <v>0.23148148148148101</v>
      </c>
      <c r="F112">
        <f>VLOOKUP(B112,'Model allocations'!$A$1:$L$317,11,FALSE)</f>
        <v>24633.844518155445</v>
      </c>
      <c r="G112" s="30">
        <f t="shared" si="36"/>
        <v>0.9</v>
      </c>
      <c r="H112">
        <f t="shared" si="37"/>
        <v>24633.844518155445</v>
      </c>
      <c r="I112">
        <f t="shared" si="19"/>
        <v>0</v>
      </c>
      <c r="J112">
        <f t="shared" si="20"/>
        <v>24633.844518155445</v>
      </c>
      <c r="K112">
        <f t="shared" si="21"/>
        <v>24619.26509396726</v>
      </c>
      <c r="L112">
        <f t="shared" si="22"/>
        <v>24619.26509396726</v>
      </c>
      <c r="M112">
        <f t="shared" si="23"/>
        <v>24633.844518155445</v>
      </c>
      <c r="N112" s="29">
        <f t="shared" si="24"/>
        <v>0</v>
      </c>
      <c r="O112" s="29">
        <f t="shared" si="25"/>
        <v>0</v>
      </c>
      <c r="P112" s="29">
        <f t="shared" si="26"/>
        <v>24633.844518155445</v>
      </c>
      <c r="Q112">
        <f t="shared" si="27"/>
        <v>0</v>
      </c>
      <c r="R112" s="29">
        <f t="shared" si="28"/>
        <v>0</v>
      </c>
      <c r="S112" s="29">
        <f t="shared" si="29"/>
        <v>0</v>
      </c>
      <c r="T112" s="29">
        <f t="shared" si="30"/>
        <v>24633.844518155445</v>
      </c>
      <c r="U112">
        <f t="shared" si="31"/>
        <v>0</v>
      </c>
      <c r="V112" s="29">
        <f t="shared" si="32"/>
        <v>0</v>
      </c>
      <c r="W112" s="29">
        <f t="shared" si="33"/>
        <v>0</v>
      </c>
      <c r="X112" s="29">
        <f t="shared" si="34"/>
        <v>24633.844518155445</v>
      </c>
      <c r="Y112">
        <f t="shared" si="35"/>
        <v>0</v>
      </c>
    </row>
    <row r="113" spans="1:25" x14ac:dyDescent="0.25">
      <c r="A113" s="8" t="s">
        <v>872</v>
      </c>
      <c r="B113" s="7" t="s">
        <v>432</v>
      </c>
      <c r="C113" s="2" t="s">
        <v>873</v>
      </c>
      <c r="D113">
        <f>VLOOKUP(B113,'Model allocations'!$A$1:$L$317,6,FALSE)</f>
        <v>592001.60768395406</v>
      </c>
      <c r="E113" s="31">
        <f>VLOOKUP(B113,'Initial adjusted formula count'!$A$1:$P$317,12,FALSE)</f>
        <v>0.163636363636364</v>
      </c>
      <c r="F113">
        <f>VLOOKUP(B113,'Model allocations'!$A$1:$L$317,11,FALSE)</f>
        <v>578822.14123965148</v>
      </c>
      <c r="G113" s="30">
        <f t="shared" si="36"/>
        <v>0.9</v>
      </c>
      <c r="H113">
        <f t="shared" si="37"/>
        <v>532801.44691555866</v>
      </c>
      <c r="I113">
        <f t="shared" si="19"/>
        <v>0</v>
      </c>
      <c r="J113">
        <f t="shared" si="20"/>
        <v>578822.14123965148</v>
      </c>
      <c r="K113">
        <f t="shared" si="21"/>
        <v>578479.56809722434</v>
      </c>
      <c r="L113">
        <f t="shared" si="22"/>
        <v>578479.56809722434</v>
      </c>
      <c r="M113">
        <f t="shared" si="23"/>
        <v>0</v>
      </c>
      <c r="N113" s="29">
        <f t="shared" si="24"/>
        <v>578479.56809722434</v>
      </c>
      <c r="O113" s="29">
        <f t="shared" si="25"/>
        <v>578435.67585970089</v>
      </c>
      <c r="P113" s="29">
        <f t="shared" si="26"/>
        <v>578435.67585970089</v>
      </c>
      <c r="Q113">
        <f t="shared" si="27"/>
        <v>0</v>
      </c>
      <c r="R113" s="29">
        <f t="shared" si="28"/>
        <v>578435.67585970089</v>
      </c>
      <c r="S113" s="29">
        <f t="shared" si="29"/>
        <v>578435.67585970042</v>
      </c>
      <c r="T113" s="29">
        <f t="shared" si="30"/>
        <v>578435.67585970042</v>
      </c>
      <c r="U113">
        <f t="shared" si="31"/>
        <v>0</v>
      </c>
      <c r="V113" s="29">
        <f t="shared" si="32"/>
        <v>578435.67585970042</v>
      </c>
      <c r="W113" s="29">
        <f t="shared" si="33"/>
        <v>578435.67585970042</v>
      </c>
      <c r="X113" s="29">
        <f t="shared" si="34"/>
        <v>578435.67585970042</v>
      </c>
      <c r="Y113">
        <f t="shared" si="35"/>
        <v>0</v>
      </c>
    </row>
    <row r="114" spans="1:25" x14ac:dyDescent="0.25">
      <c r="A114" s="4" t="s">
        <v>874</v>
      </c>
      <c r="B114" s="7" t="s">
        <v>434</v>
      </c>
      <c r="C114" s="2" t="s">
        <v>875</v>
      </c>
      <c r="D114">
        <f>VLOOKUP(B114,'Model allocations'!$A$1:$L$317,6,FALSE)</f>
        <v>2375643.3363294457</v>
      </c>
      <c r="E114" s="31">
        <f>VLOOKUP(B114,'Initial adjusted formula count'!$A$1:$P$317,12,FALSE)</f>
        <v>0.145737855178735</v>
      </c>
      <c r="F114">
        <f>VLOOKUP(B114,'Model allocations'!$A$1:$L$317,11,FALSE)</f>
        <v>2595886.5283198711</v>
      </c>
      <c r="G114" s="30">
        <f t="shared" si="36"/>
        <v>0.85</v>
      </c>
      <c r="H114">
        <f t="shared" si="37"/>
        <v>2019296.8358800288</v>
      </c>
      <c r="I114">
        <f t="shared" si="19"/>
        <v>0</v>
      </c>
      <c r="J114">
        <f t="shared" si="20"/>
        <v>2595886.5283198711</v>
      </c>
      <c r="K114">
        <f t="shared" si="21"/>
        <v>2594350.1651747325</v>
      </c>
      <c r="L114">
        <f t="shared" si="22"/>
        <v>2594350.1651747325</v>
      </c>
      <c r="M114">
        <f t="shared" si="23"/>
        <v>0</v>
      </c>
      <c r="N114" s="29">
        <f t="shared" si="24"/>
        <v>2594350.1651747325</v>
      </c>
      <c r="O114" s="29">
        <f t="shared" si="25"/>
        <v>2594153.3184061535</v>
      </c>
      <c r="P114" s="29">
        <f t="shared" si="26"/>
        <v>2594153.3184061535</v>
      </c>
      <c r="Q114">
        <f t="shared" si="27"/>
        <v>0</v>
      </c>
      <c r="R114" s="29">
        <f t="shared" si="28"/>
        <v>2594153.3184061535</v>
      </c>
      <c r="S114" s="29">
        <f t="shared" si="29"/>
        <v>2594153.3184061511</v>
      </c>
      <c r="T114" s="29">
        <f t="shared" si="30"/>
        <v>2594153.3184061511</v>
      </c>
      <c r="U114">
        <f t="shared" si="31"/>
        <v>0</v>
      </c>
      <c r="V114" s="29">
        <f t="shared" si="32"/>
        <v>2594153.3184061511</v>
      </c>
      <c r="W114" s="29">
        <f t="shared" si="33"/>
        <v>2594153.3184061511</v>
      </c>
      <c r="X114" s="29">
        <f t="shared" si="34"/>
        <v>2594153.3184061511</v>
      </c>
      <c r="Y114">
        <f t="shared" si="35"/>
        <v>0</v>
      </c>
    </row>
    <row r="115" spans="1:25" x14ac:dyDescent="0.25">
      <c r="A115" s="4" t="s">
        <v>876</v>
      </c>
      <c r="B115" s="7" t="s">
        <v>436</v>
      </c>
      <c r="C115" s="2" t="s">
        <v>877</v>
      </c>
      <c r="D115">
        <f>VLOOKUP(B115,'Model allocations'!$A$1:$L$317,6,FALSE)</f>
        <v>4024083.5511321621</v>
      </c>
      <c r="E115" s="31">
        <f>VLOOKUP(B115,'Initial adjusted formula count'!$A$1:$P$317,12,FALSE)</f>
        <v>0.14776951672862501</v>
      </c>
      <c r="F115">
        <f>VLOOKUP(B115,'Model allocations'!$A$1:$L$317,11,FALSE)</f>
        <v>4223184.1395456903</v>
      </c>
      <c r="G115" s="30">
        <f t="shared" si="36"/>
        <v>0.85</v>
      </c>
      <c r="H115">
        <f t="shared" si="37"/>
        <v>3420471.0184623376</v>
      </c>
      <c r="I115">
        <f t="shared" si="19"/>
        <v>0</v>
      </c>
      <c r="J115">
        <f t="shared" si="20"/>
        <v>4223184.1395456903</v>
      </c>
      <c r="K115">
        <f t="shared" si="21"/>
        <v>4220684.6680178149</v>
      </c>
      <c r="L115">
        <f t="shared" si="22"/>
        <v>4220684.6680178149</v>
      </c>
      <c r="M115">
        <f t="shared" si="23"/>
        <v>0</v>
      </c>
      <c r="N115" s="29">
        <f t="shared" si="24"/>
        <v>4220684.6680178149</v>
      </c>
      <c r="O115" s="29">
        <f t="shared" si="25"/>
        <v>4220364.4228368662</v>
      </c>
      <c r="P115" s="29">
        <f t="shared" si="26"/>
        <v>4220364.4228368662</v>
      </c>
      <c r="Q115">
        <f t="shared" si="27"/>
        <v>0</v>
      </c>
      <c r="R115" s="29">
        <f t="shared" si="28"/>
        <v>4220364.4228368662</v>
      </c>
      <c r="S115" s="29">
        <f t="shared" si="29"/>
        <v>4220364.4228368625</v>
      </c>
      <c r="T115" s="29">
        <f t="shared" si="30"/>
        <v>4220364.4228368625</v>
      </c>
      <c r="U115">
        <f t="shared" si="31"/>
        <v>0</v>
      </c>
      <c r="V115" s="29">
        <f t="shared" si="32"/>
        <v>4220364.4228368625</v>
      </c>
      <c r="W115" s="29">
        <f t="shared" si="33"/>
        <v>4220364.4228368625</v>
      </c>
      <c r="X115" s="29">
        <f t="shared" si="34"/>
        <v>4220364.4228368625</v>
      </c>
      <c r="Y115">
        <f t="shared" si="35"/>
        <v>0</v>
      </c>
    </row>
    <row r="116" spans="1:25" x14ac:dyDescent="0.25">
      <c r="A116" s="4" t="s">
        <v>878</v>
      </c>
      <c r="B116" s="7" t="s">
        <v>438</v>
      </c>
      <c r="C116" s="2" t="s">
        <v>879</v>
      </c>
      <c r="D116">
        <f>VLOOKUP(B116,'Model allocations'!$A$1:$L$317,6,FALSE)</f>
        <v>90610.580017159838</v>
      </c>
      <c r="E116" s="31">
        <f>VLOOKUP(B116,'Initial adjusted formula count'!$A$1:$P$317,12,FALSE)</f>
        <v>0.156282998944034</v>
      </c>
      <c r="F116">
        <f>VLOOKUP(B116,'Model allocations'!$A$1:$L$317,11,FALSE)</f>
        <v>84346.013594322896</v>
      </c>
      <c r="G116" s="30">
        <f t="shared" si="36"/>
        <v>0.9</v>
      </c>
      <c r="H116">
        <f t="shared" si="37"/>
        <v>81549.522015443858</v>
      </c>
      <c r="I116">
        <f t="shared" si="19"/>
        <v>0</v>
      </c>
      <c r="J116">
        <f t="shared" si="20"/>
        <v>84346.013594322896</v>
      </c>
      <c r="K116">
        <f t="shared" si="21"/>
        <v>84296.09380572199</v>
      </c>
      <c r="L116">
        <f t="shared" si="22"/>
        <v>84296.09380572199</v>
      </c>
      <c r="M116">
        <f t="shared" si="23"/>
        <v>0</v>
      </c>
      <c r="N116" s="29">
        <f t="shared" si="24"/>
        <v>84296.09380572199</v>
      </c>
      <c r="O116" s="29">
        <f t="shared" si="25"/>
        <v>84289.69782498962</v>
      </c>
      <c r="P116" s="29">
        <f t="shared" si="26"/>
        <v>84289.69782498962</v>
      </c>
      <c r="Q116">
        <f t="shared" si="27"/>
        <v>0</v>
      </c>
      <c r="R116" s="29">
        <f t="shared" si="28"/>
        <v>84289.69782498962</v>
      </c>
      <c r="S116" s="29">
        <f t="shared" si="29"/>
        <v>84289.697824989547</v>
      </c>
      <c r="T116" s="29">
        <f t="shared" si="30"/>
        <v>84289.697824989547</v>
      </c>
      <c r="U116">
        <f t="shared" si="31"/>
        <v>0</v>
      </c>
      <c r="V116" s="29">
        <f t="shared" si="32"/>
        <v>84289.697824989547</v>
      </c>
      <c r="W116" s="29">
        <f t="shared" si="33"/>
        <v>84289.697824989547</v>
      </c>
      <c r="X116" s="29">
        <f t="shared" si="34"/>
        <v>84289.697824989547</v>
      </c>
      <c r="Y116">
        <f t="shared" si="35"/>
        <v>0</v>
      </c>
    </row>
    <row r="117" spans="1:25" x14ac:dyDescent="0.25">
      <c r="A117" s="8" t="s">
        <v>880</v>
      </c>
      <c r="B117" s="7" t="s">
        <v>440</v>
      </c>
      <c r="C117" s="2" t="s">
        <v>881</v>
      </c>
      <c r="D117">
        <f>VLOOKUP(B117,'Model allocations'!$A$1:$L$317,6,FALSE)</f>
        <v>141424.17765980749</v>
      </c>
      <c r="E117" s="31">
        <f>VLOOKUP(B117,'Initial adjusted formula count'!$A$1:$P$317,12,FALSE)</f>
        <v>0.109152927799886</v>
      </c>
      <c r="F117">
        <f>VLOOKUP(B117,'Model allocations'!$A$1:$L$317,11,FALSE)</f>
        <v>120210.55101083637</v>
      </c>
      <c r="G117" s="30">
        <f t="shared" si="36"/>
        <v>0.85</v>
      </c>
      <c r="H117">
        <f t="shared" si="37"/>
        <v>120210.55101083637</v>
      </c>
      <c r="I117">
        <f t="shared" si="19"/>
        <v>0</v>
      </c>
      <c r="J117">
        <f t="shared" si="20"/>
        <v>120210.55101083637</v>
      </c>
      <c r="K117">
        <f t="shared" si="21"/>
        <v>120139.40496565487</v>
      </c>
      <c r="L117">
        <f t="shared" si="22"/>
        <v>120139.40496565487</v>
      </c>
      <c r="M117">
        <f t="shared" si="23"/>
        <v>120210.55101083637</v>
      </c>
      <c r="N117" s="29">
        <f t="shared" si="24"/>
        <v>0</v>
      </c>
      <c r="O117" s="29">
        <f t="shared" si="25"/>
        <v>0</v>
      </c>
      <c r="P117" s="29">
        <f t="shared" si="26"/>
        <v>120210.55101083637</v>
      </c>
      <c r="Q117">
        <f t="shared" si="27"/>
        <v>0</v>
      </c>
      <c r="R117" s="29">
        <f t="shared" si="28"/>
        <v>0</v>
      </c>
      <c r="S117" s="29">
        <f t="shared" si="29"/>
        <v>0</v>
      </c>
      <c r="T117" s="29">
        <f t="shared" si="30"/>
        <v>120210.55101083637</v>
      </c>
      <c r="U117">
        <f t="shared" si="31"/>
        <v>0</v>
      </c>
      <c r="V117" s="29">
        <f t="shared" si="32"/>
        <v>0</v>
      </c>
      <c r="W117" s="29">
        <f t="shared" si="33"/>
        <v>0</v>
      </c>
      <c r="X117" s="29">
        <f t="shared" si="34"/>
        <v>120210.55101083637</v>
      </c>
      <c r="Y117">
        <f t="shared" si="35"/>
        <v>0</v>
      </c>
    </row>
    <row r="118" spans="1:25" x14ac:dyDescent="0.25">
      <c r="A118" s="4" t="s">
        <v>882</v>
      </c>
      <c r="B118" s="7" t="s">
        <v>278</v>
      </c>
      <c r="C118" s="2" t="s">
        <v>883</v>
      </c>
      <c r="D118">
        <f>VLOOKUP(B118,'Model allocations'!$A$1:$L$317,6,FALSE)</f>
        <v>32810.409217075343</v>
      </c>
      <c r="E118" s="31">
        <f>VLOOKUP(B118,'Initial adjusted formula count'!$A$1:$P$317,12,FALSE)</f>
        <v>9.5046854082998594E-2</v>
      </c>
      <c r="F118">
        <f>VLOOKUP(B118,'Model allocations'!$A$1:$L$317,11,FALSE)</f>
        <v>40369.717119857829</v>
      </c>
      <c r="G118" s="30">
        <f t="shared" si="36"/>
        <v>0.85</v>
      </c>
      <c r="H118">
        <f t="shared" si="37"/>
        <v>27888.847834514039</v>
      </c>
      <c r="I118">
        <f t="shared" si="19"/>
        <v>0</v>
      </c>
      <c r="J118">
        <f t="shared" si="20"/>
        <v>40369.717119857829</v>
      </c>
      <c r="K118">
        <f t="shared" si="21"/>
        <v>40345.824494010754</v>
      </c>
      <c r="L118">
        <f t="shared" si="22"/>
        <v>40345.824494010754</v>
      </c>
      <c r="M118">
        <f t="shared" si="23"/>
        <v>0</v>
      </c>
      <c r="N118" s="29">
        <f t="shared" si="24"/>
        <v>40345.824494010754</v>
      </c>
      <c r="O118" s="29">
        <f t="shared" si="25"/>
        <v>40342.763247582297</v>
      </c>
      <c r="P118" s="29">
        <f t="shared" si="26"/>
        <v>40342.763247582297</v>
      </c>
      <c r="Q118">
        <f t="shared" si="27"/>
        <v>0</v>
      </c>
      <c r="R118" s="29">
        <f t="shared" si="28"/>
        <v>40342.763247582297</v>
      </c>
      <c r="S118" s="29">
        <f t="shared" si="29"/>
        <v>40342.763247582261</v>
      </c>
      <c r="T118" s="29">
        <f t="shared" si="30"/>
        <v>40342.763247582261</v>
      </c>
      <c r="U118">
        <f t="shared" si="31"/>
        <v>0</v>
      </c>
      <c r="V118" s="29">
        <f t="shared" si="32"/>
        <v>40342.763247582261</v>
      </c>
      <c r="W118" s="29">
        <f t="shared" si="33"/>
        <v>40342.763247582261</v>
      </c>
      <c r="X118" s="29">
        <f t="shared" si="34"/>
        <v>40342.763247582261</v>
      </c>
      <c r="Y118">
        <f t="shared" si="35"/>
        <v>0</v>
      </c>
    </row>
    <row r="119" spans="1:25" x14ac:dyDescent="0.25">
      <c r="A119" s="4" t="s">
        <v>884</v>
      </c>
      <c r="B119" s="7" t="s">
        <v>441</v>
      </c>
      <c r="C119" s="2" t="s">
        <v>885</v>
      </c>
      <c r="D119">
        <f>VLOOKUP(B119,'Model allocations'!$A$1:$L$317,6,FALSE)</f>
        <v>8976.8375509252</v>
      </c>
      <c r="E119" s="31">
        <f>VLOOKUP(B119,'Initial adjusted formula count'!$A$1:$P$317,12,FALSE)</f>
        <v>6.0975609756097601E-2</v>
      </c>
      <c r="F119">
        <f>VLOOKUP(B119,'Model allocations'!$A$1:$L$317,11,FALSE)</f>
        <v>0</v>
      </c>
      <c r="G119" s="30">
        <f t="shared" si="36"/>
        <v>0.85</v>
      </c>
      <c r="H119">
        <f t="shared" si="37"/>
        <v>0</v>
      </c>
      <c r="I119">
        <f t="shared" si="19"/>
        <v>0</v>
      </c>
      <c r="J119">
        <f t="shared" si="20"/>
        <v>0</v>
      </c>
      <c r="K119">
        <f t="shared" si="21"/>
        <v>0</v>
      </c>
      <c r="L119">
        <f t="shared" si="22"/>
        <v>0</v>
      </c>
      <c r="M119">
        <f t="shared" si="23"/>
        <v>0</v>
      </c>
      <c r="N119" s="29">
        <f t="shared" si="24"/>
        <v>0</v>
      </c>
      <c r="O119" s="29">
        <f t="shared" si="25"/>
        <v>0</v>
      </c>
      <c r="P119" s="29">
        <f t="shared" si="26"/>
        <v>0</v>
      </c>
      <c r="Q119">
        <f t="shared" si="27"/>
        <v>0</v>
      </c>
      <c r="R119" s="29">
        <f t="shared" si="28"/>
        <v>0</v>
      </c>
      <c r="S119" s="29">
        <f t="shared" si="29"/>
        <v>0</v>
      </c>
      <c r="T119" s="29">
        <f t="shared" si="30"/>
        <v>0</v>
      </c>
      <c r="U119">
        <f t="shared" si="31"/>
        <v>0</v>
      </c>
      <c r="V119" s="29">
        <f t="shared" si="32"/>
        <v>0</v>
      </c>
      <c r="W119" s="29">
        <f t="shared" si="33"/>
        <v>0</v>
      </c>
      <c r="X119" s="29">
        <f t="shared" si="34"/>
        <v>0</v>
      </c>
      <c r="Y119">
        <f t="shared" si="35"/>
        <v>0</v>
      </c>
    </row>
    <row r="120" spans="1:25" x14ac:dyDescent="0.25">
      <c r="A120" s="4" t="s">
        <v>886</v>
      </c>
      <c r="B120" s="7" t="s">
        <v>149</v>
      </c>
      <c r="C120" s="2" t="s">
        <v>887</v>
      </c>
      <c r="D120">
        <f>VLOOKUP(B120,'Model allocations'!$A$1:$L$317,6,FALSE)</f>
        <v>71808.331885659689</v>
      </c>
      <c r="E120" s="31">
        <f>VLOOKUP(B120,'Initial adjusted formula count'!$A$1:$P$317,12,FALSE)</f>
        <v>4.3791859866048402E-2</v>
      </c>
      <c r="F120">
        <f>VLOOKUP(B120,'Model allocations'!$A$1:$L$317,11,FALSE)</f>
        <v>0</v>
      </c>
      <c r="G120" s="30">
        <f t="shared" si="36"/>
        <v>0.85</v>
      </c>
      <c r="H120">
        <f t="shared" si="37"/>
        <v>0</v>
      </c>
      <c r="I120">
        <f t="shared" si="19"/>
        <v>0</v>
      </c>
      <c r="J120">
        <f t="shared" si="20"/>
        <v>0</v>
      </c>
      <c r="K120">
        <f t="shared" si="21"/>
        <v>0</v>
      </c>
      <c r="L120">
        <f t="shared" si="22"/>
        <v>0</v>
      </c>
      <c r="M120">
        <f t="shared" si="23"/>
        <v>0</v>
      </c>
      <c r="N120" s="29">
        <f t="shared" si="24"/>
        <v>0</v>
      </c>
      <c r="O120" s="29">
        <f t="shared" si="25"/>
        <v>0</v>
      </c>
      <c r="P120" s="29">
        <f t="shared" si="26"/>
        <v>0</v>
      </c>
      <c r="Q120">
        <f t="shared" si="27"/>
        <v>0</v>
      </c>
      <c r="R120" s="29">
        <f t="shared" si="28"/>
        <v>0</v>
      </c>
      <c r="S120" s="29">
        <f t="shared" si="29"/>
        <v>0</v>
      </c>
      <c r="T120" s="29">
        <f t="shared" si="30"/>
        <v>0</v>
      </c>
      <c r="U120">
        <f t="shared" si="31"/>
        <v>0</v>
      </c>
      <c r="V120" s="29">
        <f t="shared" si="32"/>
        <v>0</v>
      </c>
      <c r="W120" s="29">
        <f t="shared" si="33"/>
        <v>0</v>
      </c>
      <c r="X120" s="29">
        <f t="shared" si="34"/>
        <v>0</v>
      </c>
      <c r="Y120">
        <f t="shared" si="35"/>
        <v>0</v>
      </c>
    </row>
    <row r="121" spans="1:25" x14ac:dyDescent="0.25">
      <c r="A121" s="4" t="s">
        <v>888</v>
      </c>
      <c r="B121" s="7" t="s">
        <v>280</v>
      </c>
      <c r="C121" s="2" t="s">
        <v>889</v>
      </c>
      <c r="D121">
        <f>VLOOKUP(B121,'Model allocations'!$A$1:$L$317,6,FALSE)</f>
        <v>83991.20837741789</v>
      </c>
      <c r="E121" s="31">
        <f>VLOOKUP(B121,'Initial adjusted formula count'!$A$1:$P$317,12,FALSE)</f>
        <v>0.107508532423208</v>
      </c>
      <c r="F121">
        <f>VLOOKUP(B121,'Model allocations'!$A$1:$L$317,11,FALSE)</f>
        <v>71392.5271208052</v>
      </c>
      <c r="G121" s="30">
        <f t="shared" si="36"/>
        <v>0.85</v>
      </c>
      <c r="H121">
        <f t="shared" si="37"/>
        <v>71392.5271208052</v>
      </c>
      <c r="I121">
        <f t="shared" si="19"/>
        <v>0</v>
      </c>
      <c r="J121">
        <f t="shared" si="20"/>
        <v>71392.5271208052</v>
      </c>
      <c r="K121">
        <f t="shared" si="21"/>
        <v>71350.273791813306</v>
      </c>
      <c r="L121">
        <f t="shared" si="22"/>
        <v>71350.273791813306</v>
      </c>
      <c r="M121">
        <f t="shared" si="23"/>
        <v>71392.5271208052</v>
      </c>
      <c r="N121" s="29">
        <f t="shared" si="24"/>
        <v>0</v>
      </c>
      <c r="O121" s="29">
        <f t="shared" si="25"/>
        <v>0</v>
      </c>
      <c r="P121" s="29">
        <f t="shared" si="26"/>
        <v>71392.5271208052</v>
      </c>
      <c r="Q121">
        <f t="shared" si="27"/>
        <v>0</v>
      </c>
      <c r="R121" s="29">
        <f t="shared" si="28"/>
        <v>0</v>
      </c>
      <c r="S121" s="29">
        <f t="shared" si="29"/>
        <v>0</v>
      </c>
      <c r="T121" s="29">
        <f t="shared" si="30"/>
        <v>71392.5271208052</v>
      </c>
      <c r="U121">
        <f t="shared" si="31"/>
        <v>0</v>
      </c>
      <c r="V121" s="29">
        <f t="shared" si="32"/>
        <v>0</v>
      </c>
      <c r="W121" s="29">
        <f t="shared" si="33"/>
        <v>0</v>
      </c>
      <c r="X121" s="29">
        <f t="shared" si="34"/>
        <v>71392.5271208052</v>
      </c>
      <c r="Y121">
        <f t="shared" si="35"/>
        <v>0</v>
      </c>
    </row>
    <row r="122" spans="1:25" x14ac:dyDescent="0.25">
      <c r="A122" s="4" t="s">
        <v>890</v>
      </c>
      <c r="B122" s="7" t="s">
        <v>443</v>
      </c>
      <c r="C122" s="2" t="s">
        <v>891</v>
      </c>
      <c r="D122">
        <f>VLOOKUP(B122,'Model allocations'!$A$1:$L$317,6,FALSE)</f>
        <v>12068.60190961286</v>
      </c>
      <c r="E122" s="31">
        <f>VLOOKUP(B122,'Initial adjusted formula count'!$A$1:$P$317,12,FALSE)</f>
        <v>0.18888888888888899</v>
      </c>
      <c r="F122">
        <f>VLOOKUP(B122,'Model allocations'!$A$1:$L$317,11,FALSE)</f>
        <v>10935.928932743454</v>
      </c>
      <c r="G122" s="30">
        <f t="shared" si="36"/>
        <v>0.9</v>
      </c>
      <c r="H122">
        <f t="shared" si="37"/>
        <v>10861.741718651574</v>
      </c>
      <c r="I122">
        <f t="shared" si="19"/>
        <v>0</v>
      </c>
      <c r="J122">
        <f t="shared" si="20"/>
        <v>10935.928932743454</v>
      </c>
      <c r="K122">
        <f t="shared" si="21"/>
        <v>10929.456555007824</v>
      </c>
      <c r="L122">
        <f t="shared" si="22"/>
        <v>10929.456555007824</v>
      </c>
      <c r="M122">
        <f t="shared" si="23"/>
        <v>0</v>
      </c>
      <c r="N122" s="29">
        <f t="shared" si="24"/>
        <v>10929.456555007824</v>
      </c>
      <c r="O122" s="29">
        <f t="shared" si="25"/>
        <v>10928.627280596815</v>
      </c>
      <c r="P122" s="29">
        <f t="shared" si="26"/>
        <v>10928.627280596815</v>
      </c>
      <c r="Q122">
        <f t="shared" si="27"/>
        <v>0</v>
      </c>
      <c r="R122" s="29">
        <f t="shared" si="28"/>
        <v>10928.627280596815</v>
      </c>
      <c r="S122" s="29">
        <f t="shared" si="29"/>
        <v>10928.627280596806</v>
      </c>
      <c r="T122" s="29">
        <f t="shared" si="30"/>
        <v>10928.627280596806</v>
      </c>
      <c r="U122">
        <f t="shared" si="31"/>
        <v>0</v>
      </c>
      <c r="V122" s="29">
        <f t="shared" si="32"/>
        <v>10928.627280596806</v>
      </c>
      <c r="W122" s="29">
        <f t="shared" si="33"/>
        <v>10928.627280596806</v>
      </c>
      <c r="X122" s="29">
        <f t="shared" si="34"/>
        <v>10928.627280596806</v>
      </c>
      <c r="Y122">
        <f t="shared" si="35"/>
        <v>0</v>
      </c>
    </row>
    <row r="123" spans="1:25" x14ac:dyDescent="0.25">
      <c r="A123" s="8" t="s">
        <v>892</v>
      </c>
      <c r="B123" s="7" t="s">
        <v>282</v>
      </c>
      <c r="C123" s="2" t="s">
        <v>893</v>
      </c>
      <c r="D123">
        <f>VLOOKUP(B123,'Model allocations'!$A$1:$L$317,6,FALSE)</f>
        <v>92208.563834194458</v>
      </c>
      <c r="E123" s="31">
        <f>VLOOKUP(B123,'Initial adjusted formula count'!$A$1:$P$317,12,FALSE)</f>
        <v>0.134136546184739</v>
      </c>
      <c r="F123">
        <f>VLOOKUP(B123,'Model allocations'!$A$1:$L$317,11,FALSE)</f>
        <v>94954.123366426138</v>
      </c>
      <c r="G123" s="30">
        <f t="shared" si="36"/>
        <v>0.85</v>
      </c>
      <c r="H123">
        <f t="shared" si="37"/>
        <v>78377.279259065283</v>
      </c>
      <c r="I123">
        <f t="shared" si="19"/>
        <v>0</v>
      </c>
      <c r="J123">
        <f t="shared" si="20"/>
        <v>94954.123366426138</v>
      </c>
      <c r="K123">
        <f t="shared" si="21"/>
        <v>94897.925218306947</v>
      </c>
      <c r="L123">
        <f t="shared" si="22"/>
        <v>94897.925218306947</v>
      </c>
      <c r="M123">
        <f t="shared" si="23"/>
        <v>0</v>
      </c>
      <c r="N123" s="29">
        <f t="shared" si="24"/>
        <v>94897.925218306947</v>
      </c>
      <c r="O123" s="29">
        <f t="shared" si="25"/>
        <v>94890.724821778058</v>
      </c>
      <c r="P123" s="29">
        <f t="shared" si="26"/>
        <v>94890.724821778058</v>
      </c>
      <c r="Q123">
        <f t="shared" si="27"/>
        <v>0</v>
      </c>
      <c r="R123" s="29">
        <f t="shared" si="28"/>
        <v>94890.724821778058</v>
      </c>
      <c r="S123" s="29">
        <f t="shared" si="29"/>
        <v>94890.724821777971</v>
      </c>
      <c r="T123" s="29">
        <f t="shared" si="30"/>
        <v>94890.724821777971</v>
      </c>
      <c r="U123">
        <f t="shared" si="31"/>
        <v>0</v>
      </c>
      <c r="V123" s="29">
        <f t="shared" si="32"/>
        <v>94890.724821777971</v>
      </c>
      <c r="W123" s="29">
        <f t="shared" si="33"/>
        <v>94890.724821777971</v>
      </c>
      <c r="X123" s="29">
        <f t="shared" si="34"/>
        <v>94890.724821777971</v>
      </c>
      <c r="Y123">
        <f t="shared" si="35"/>
        <v>0</v>
      </c>
    </row>
    <row r="124" spans="1:25" x14ac:dyDescent="0.25">
      <c r="A124" s="4" t="s">
        <v>894</v>
      </c>
      <c r="B124" s="7" t="s">
        <v>151</v>
      </c>
      <c r="C124" s="2" t="s">
        <v>895</v>
      </c>
      <c r="D124">
        <f>VLOOKUP(B124,'Model allocations'!$A$1:$L$317,6,FALSE)</f>
        <v>329235.48559203197</v>
      </c>
      <c r="E124" s="31">
        <f>VLOOKUP(B124,'Initial adjusted formula count'!$A$1:$P$317,12,FALSE)</f>
        <v>6.5718157181571799E-2</v>
      </c>
      <c r="F124">
        <f>VLOOKUP(B124,'Model allocations'!$A$1:$L$317,11,FALSE)</f>
        <v>386070.95668145712</v>
      </c>
      <c r="G124" s="30">
        <f t="shared" si="36"/>
        <v>0.85</v>
      </c>
      <c r="H124">
        <f t="shared" si="37"/>
        <v>279850.16275322717</v>
      </c>
      <c r="I124">
        <f t="shared" si="19"/>
        <v>0</v>
      </c>
      <c r="J124">
        <f t="shared" si="20"/>
        <v>386070.95668145712</v>
      </c>
      <c r="K124">
        <f t="shared" si="21"/>
        <v>385842.46241455333</v>
      </c>
      <c r="L124">
        <f t="shared" si="22"/>
        <v>385842.46241455333</v>
      </c>
      <c r="M124">
        <f t="shared" si="23"/>
        <v>0</v>
      </c>
      <c r="N124" s="29">
        <f t="shared" si="24"/>
        <v>385842.46241455333</v>
      </c>
      <c r="O124" s="29">
        <f t="shared" si="25"/>
        <v>385813.18655082199</v>
      </c>
      <c r="P124" s="29">
        <f t="shared" si="26"/>
        <v>385813.18655082199</v>
      </c>
      <c r="Q124">
        <f t="shared" si="27"/>
        <v>0</v>
      </c>
      <c r="R124" s="29">
        <f t="shared" si="28"/>
        <v>385813.18655082199</v>
      </c>
      <c r="S124" s="29">
        <f t="shared" si="29"/>
        <v>385813.1865508217</v>
      </c>
      <c r="T124" s="29">
        <f t="shared" si="30"/>
        <v>385813.1865508217</v>
      </c>
      <c r="U124">
        <f t="shared" si="31"/>
        <v>0</v>
      </c>
      <c r="V124" s="29">
        <f t="shared" si="32"/>
        <v>385813.1865508217</v>
      </c>
      <c r="W124" s="29">
        <f t="shared" si="33"/>
        <v>385813.1865508217</v>
      </c>
      <c r="X124" s="29">
        <f t="shared" si="34"/>
        <v>385813.1865508217</v>
      </c>
      <c r="Y124">
        <f t="shared" si="35"/>
        <v>0</v>
      </c>
    </row>
    <row r="125" spans="1:25" x14ac:dyDescent="0.25">
      <c r="A125" s="4" t="s">
        <v>896</v>
      </c>
      <c r="B125" s="7" t="s">
        <v>153</v>
      </c>
      <c r="C125" s="2" t="s">
        <v>897</v>
      </c>
      <c r="D125">
        <f>VLOOKUP(B125,'Model allocations'!$A$1:$L$317,6,FALSE)</f>
        <v>0</v>
      </c>
      <c r="E125" s="31">
        <f>VLOOKUP(B125,'Initial adjusted formula count'!$A$1:$P$317,12,FALSE)</f>
        <v>4.0675407452964697E-2</v>
      </c>
      <c r="F125">
        <f>VLOOKUP(B125,'Model allocations'!$A$1:$L$317,11,FALSE)</f>
        <v>0</v>
      </c>
      <c r="G125" s="30">
        <f t="shared" si="36"/>
        <v>0.85</v>
      </c>
      <c r="H125">
        <f t="shared" si="37"/>
        <v>0</v>
      </c>
      <c r="I125">
        <f t="shared" si="19"/>
        <v>0</v>
      </c>
      <c r="J125">
        <f t="shared" si="20"/>
        <v>0</v>
      </c>
      <c r="K125">
        <f t="shared" si="21"/>
        <v>0</v>
      </c>
      <c r="L125">
        <f t="shared" si="22"/>
        <v>0</v>
      </c>
      <c r="M125">
        <f t="shared" si="23"/>
        <v>0</v>
      </c>
      <c r="N125" s="29">
        <f t="shared" si="24"/>
        <v>0</v>
      </c>
      <c r="O125" s="29">
        <f t="shared" si="25"/>
        <v>0</v>
      </c>
      <c r="P125" s="29">
        <f t="shared" si="26"/>
        <v>0</v>
      </c>
      <c r="Q125">
        <f t="shared" si="27"/>
        <v>0</v>
      </c>
      <c r="R125" s="29">
        <f t="shared" si="28"/>
        <v>0</v>
      </c>
      <c r="S125" s="29">
        <f t="shared" si="29"/>
        <v>0</v>
      </c>
      <c r="T125" s="29">
        <f t="shared" si="30"/>
        <v>0</v>
      </c>
      <c r="U125">
        <f t="shared" si="31"/>
        <v>0</v>
      </c>
      <c r="V125" s="29">
        <f t="shared" si="32"/>
        <v>0</v>
      </c>
      <c r="W125" s="29">
        <f t="shared" si="33"/>
        <v>0</v>
      </c>
      <c r="X125" s="29">
        <f t="shared" si="34"/>
        <v>0</v>
      </c>
      <c r="Y125">
        <f t="shared" si="35"/>
        <v>0</v>
      </c>
    </row>
    <row r="126" spans="1:25" x14ac:dyDescent="0.25">
      <c r="A126" s="4" t="s">
        <v>898</v>
      </c>
      <c r="B126" s="7" t="s">
        <v>155</v>
      </c>
      <c r="C126" s="2" t="s">
        <v>899</v>
      </c>
      <c r="D126">
        <f>VLOOKUP(B126,'Model allocations'!$A$1:$L$317,6,FALSE)</f>
        <v>201953.72569820503</v>
      </c>
      <c r="E126" s="31">
        <f>VLOOKUP(B126,'Initial adjusted formula count'!$A$1:$P$317,12,FALSE)</f>
        <v>0.126596543951916</v>
      </c>
      <c r="F126">
        <f>VLOOKUP(B126,'Model allocations'!$A$1:$L$317,11,FALSE)</f>
        <v>191614.0094280575</v>
      </c>
      <c r="G126" s="30">
        <f t="shared" si="36"/>
        <v>0.85</v>
      </c>
      <c r="H126">
        <f t="shared" si="37"/>
        <v>171660.66684347426</v>
      </c>
      <c r="I126">
        <f t="shared" si="19"/>
        <v>0</v>
      </c>
      <c r="J126">
        <f t="shared" si="20"/>
        <v>191614.0094280575</v>
      </c>
      <c r="K126">
        <f t="shared" si="21"/>
        <v>191500.60358424814</v>
      </c>
      <c r="L126">
        <f t="shared" si="22"/>
        <v>191500.60358424814</v>
      </c>
      <c r="M126">
        <f t="shared" si="23"/>
        <v>0</v>
      </c>
      <c r="N126" s="29">
        <f t="shared" si="24"/>
        <v>191500.60358424814</v>
      </c>
      <c r="O126" s="29">
        <f t="shared" si="25"/>
        <v>191486.07344274968</v>
      </c>
      <c r="P126" s="29">
        <f t="shared" si="26"/>
        <v>191486.07344274968</v>
      </c>
      <c r="Q126">
        <f t="shared" si="27"/>
        <v>0</v>
      </c>
      <c r="R126" s="29">
        <f t="shared" si="28"/>
        <v>191486.07344274968</v>
      </c>
      <c r="S126" s="29">
        <f t="shared" si="29"/>
        <v>191486.07344274953</v>
      </c>
      <c r="T126" s="29">
        <f t="shared" si="30"/>
        <v>191486.07344274953</v>
      </c>
      <c r="U126">
        <f t="shared" si="31"/>
        <v>0</v>
      </c>
      <c r="V126" s="29">
        <f t="shared" si="32"/>
        <v>191486.07344274953</v>
      </c>
      <c r="W126" s="29">
        <f t="shared" si="33"/>
        <v>191486.07344274953</v>
      </c>
      <c r="X126" s="29">
        <f t="shared" si="34"/>
        <v>191486.07344274953</v>
      </c>
      <c r="Y126">
        <f t="shared" si="35"/>
        <v>0</v>
      </c>
    </row>
    <row r="127" spans="1:25" x14ac:dyDescent="0.25">
      <c r="A127" s="4" t="s">
        <v>900</v>
      </c>
      <c r="B127" s="7" t="s">
        <v>157</v>
      </c>
      <c r="C127" s="2" t="s">
        <v>901</v>
      </c>
      <c r="D127">
        <f>VLOOKUP(B127,'Model allocations'!$A$1:$L$317,6,FALSE)</f>
        <v>0</v>
      </c>
      <c r="E127" s="31">
        <f>VLOOKUP(B127,'Initial adjusted formula count'!$A$1:$P$317,12,FALSE)</f>
        <v>0.35714285714285698</v>
      </c>
      <c r="F127">
        <f>VLOOKUP(B127,'Model allocations'!$A$1:$L$317,11,FALSE)</f>
        <v>10377.575943846263</v>
      </c>
      <c r="G127" s="30">
        <f t="shared" si="36"/>
        <v>0.95</v>
      </c>
      <c r="H127">
        <f t="shared" si="37"/>
        <v>0</v>
      </c>
      <c r="I127">
        <f t="shared" si="19"/>
        <v>0</v>
      </c>
      <c r="J127">
        <f t="shared" si="20"/>
        <v>10377.575943846263</v>
      </c>
      <c r="K127">
        <f t="shared" si="21"/>
        <v>10371.434024682207</v>
      </c>
      <c r="L127">
        <f t="shared" si="22"/>
        <v>10371.434024682207</v>
      </c>
      <c r="M127">
        <f t="shared" si="23"/>
        <v>0</v>
      </c>
      <c r="N127" s="29">
        <f t="shared" si="24"/>
        <v>10371.434024682207</v>
      </c>
      <c r="O127" s="29">
        <f t="shared" si="25"/>
        <v>10370.647090327433</v>
      </c>
      <c r="P127" s="29">
        <f t="shared" si="26"/>
        <v>10370.647090327433</v>
      </c>
      <c r="Q127">
        <f t="shared" si="27"/>
        <v>0</v>
      </c>
      <c r="R127" s="29">
        <f t="shared" si="28"/>
        <v>10370.647090327433</v>
      </c>
      <c r="S127" s="29">
        <f t="shared" si="29"/>
        <v>10370.647090327424</v>
      </c>
      <c r="T127" s="29">
        <f t="shared" si="30"/>
        <v>10370.647090327424</v>
      </c>
      <c r="U127">
        <f t="shared" si="31"/>
        <v>0</v>
      </c>
      <c r="V127" s="29">
        <f t="shared" si="32"/>
        <v>10370.647090327424</v>
      </c>
      <c r="W127" s="29">
        <f t="shared" si="33"/>
        <v>10370.647090327424</v>
      </c>
      <c r="X127" s="29">
        <f t="shared" si="34"/>
        <v>10370.647090327424</v>
      </c>
      <c r="Y127">
        <f t="shared" si="35"/>
        <v>0</v>
      </c>
    </row>
    <row r="128" spans="1:25" x14ac:dyDescent="0.25">
      <c r="A128" s="4" t="s">
        <v>902</v>
      </c>
      <c r="B128" s="7" t="s">
        <v>159</v>
      </c>
      <c r="C128" s="2" t="s">
        <v>903</v>
      </c>
      <c r="D128">
        <f>VLOOKUP(B128,'Model allocations'!$A$1:$L$317,6,FALSE)</f>
        <v>43558.646719220698</v>
      </c>
      <c r="E128" s="31">
        <f>VLOOKUP(B128,'Initial adjusted formula count'!$A$1:$P$317,12,FALSE)</f>
        <v>4.4417767106842698E-2</v>
      </c>
      <c r="F128">
        <f>VLOOKUP(B128,'Model allocations'!$A$1:$L$317,11,FALSE)</f>
        <v>0</v>
      </c>
      <c r="G128" s="30">
        <f t="shared" si="36"/>
        <v>0.85</v>
      </c>
      <c r="H128">
        <f t="shared" si="37"/>
        <v>0</v>
      </c>
      <c r="I128">
        <f t="shared" si="19"/>
        <v>0</v>
      </c>
      <c r="J128">
        <f t="shared" si="20"/>
        <v>0</v>
      </c>
      <c r="K128">
        <f t="shared" si="21"/>
        <v>0</v>
      </c>
      <c r="L128">
        <f t="shared" si="22"/>
        <v>0</v>
      </c>
      <c r="M128">
        <f t="shared" si="23"/>
        <v>0</v>
      </c>
      <c r="N128" s="29">
        <f t="shared" si="24"/>
        <v>0</v>
      </c>
      <c r="O128" s="29">
        <f t="shared" si="25"/>
        <v>0</v>
      </c>
      <c r="P128" s="29">
        <f t="shared" si="26"/>
        <v>0</v>
      </c>
      <c r="Q128">
        <f t="shared" si="27"/>
        <v>0</v>
      </c>
      <c r="R128" s="29">
        <f t="shared" si="28"/>
        <v>0</v>
      </c>
      <c r="S128" s="29">
        <f t="shared" si="29"/>
        <v>0</v>
      </c>
      <c r="T128" s="29">
        <f t="shared" si="30"/>
        <v>0</v>
      </c>
      <c r="U128">
        <f t="shared" si="31"/>
        <v>0</v>
      </c>
      <c r="V128" s="29">
        <f t="shared" si="32"/>
        <v>0</v>
      </c>
      <c r="W128" s="29">
        <f t="shared" si="33"/>
        <v>0</v>
      </c>
      <c r="X128" s="29">
        <f t="shared" si="34"/>
        <v>0</v>
      </c>
      <c r="Y128">
        <f t="shared" si="35"/>
        <v>0</v>
      </c>
    </row>
    <row r="129" spans="1:25" x14ac:dyDescent="0.25">
      <c r="A129" s="4" t="s">
        <v>904</v>
      </c>
      <c r="B129" s="7" t="s">
        <v>447</v>
      </c>
      <c r="C129" s="2" t="s">
        <v>905</v>
      </c>
      <c r="D129">
        <f>VLOOKUP(B129,'Model allocations'!$A$1:$L$317,6,FALSE)</f>
        <v>65461.730376701147</v>
      </c>
      <c r="E129" s="31">
        <f>VLOOKUP(B129,'Initial adjusted formula count'!$A$1:$P$317,12,FALSE)</f>
        <v>0.16943521594684399</v>
      </c>
      <c r="F129">
        <f>VLOOKUP(B129,'Model allocations'!$A$1:$L$317,11,FALSE)</f>
        <v>58915.557339031031</v>
      </c>
      <c r="G129" s="30">
        <f t="shared" si="36"/>
        <v>0.9</v>
      </c>
      <c r="H129">
        <f t="shared" si="37"/>
        <v>58915.557339031031</v>
      </c>
      <c r="I129">
        <f t="shared" si="19"/>
        <v>0</v>
      </c>
      <c r="J129">
        <f t="shared" si="20"/>
        <v>58915.557339031031</v>
      </c>
      <c r="K129">
        <f t="shared" si="21"/>
        <v>58880.688445501408</v>
      </c>
      <c r="L129">
        <f t="shared" si="22"/>
        <v>58880.688445501408</v>
      </c>
      <c r="M129">
        <f t="shared" si="23"/>
        <v>58915.557339031031</v>
      </c>
      <c r="N129" s="29">
        <f t="shared" si="24"/>
        <v>0</v>
      </c>
      <c r="O129" s="29">
        <f t="shared" si="25"/>
        <v>0</v>
      </c>
      <c r="P129" s="29">
        <f t="shared" si="26"/>
        <v>58915.557339031031</v>
      </c>
      <c r="Q129">
        <f t="shared" si="27"/>
        <v>0</v>
      </c>
      <c r="R129" s="29">
        <f t="shared" si="28"/>
        <v>0</v>
      </c>
      <c r="S129" s="29">
        <f t="shared" si="29"/>
        <v>0</v>
      </c>
      <c r="T129" s="29">
        <f t="shared" si="30"/>
        <v>58915.557339031031</v>
      </c>
      <c r="U129">
        <f t="shared" si="31"/>
        <v>0</v>
      </c>
      <c r="V129" s="29">
        <f t="shared" si="32"/>
        <v>0</v>
      </c>
      <c r="W129" s="29">
        <f t="shared" si="33"/>
        <v>0</v>
      </c>
      <c r="X129" s="29">
        <f t="shared" si="34"/>
        <v>58915.557339031031</v>
      </c>
      <c r="Y129">
        <f t="shared" si="35"/>
        <v>0</v>
      </c>
    </row>
    <row r="130" spans="1:25" x14ac:dyDescent="0.25">
      <c r="A130" s="4" t="s">
        <v>906</v>
      </c>
      <c r="B130" s="7" t="s">
        <v>449</v>
      </c>
      <c r="C130" s="2" t="s">
        <v>907</v>
      </c>
      <c r="D130">
        <f>VLOOKUP(B130,'Model allocations'!$A$1:$L$317,6,FALSE)</f>
        <v>952633.26071646321</v>
      </c>
      <c r="E130" s="31">
        <f>VLOOKUP(B130,'Initial adjusted formula count'!$A$1:$P$317,12,FALSE)</f>
        <v>0.18549378500204899</v>
      </c>
      <c r="F130">
        <f>VLOOKUP(B130,'Model allocations'!$A$1:$L$317,11,FALSE)</f>
        <v>961765.86631323246</v>
      </c>
      <c r="G130" s="30">
        <f t="shared" si="36"/>
        <v>0.9</v>
      </c>
      <c r="H130">
        <f t="shared" si="37"/>
        <v>857369.93464481691</v>
      </c>
      <c r="I130">
        <f t="shared" si="19"/>
        <v>0</v>
      </c>
      <c r="J130">
        <f t="shared" si="20"/>
        <v>961765.86631323246</v>
      </c>
      <c r="K130">
        <f t="shared" si="21"/>
        <v>961196.64974111516</v>
      </c>
      <c r="L130">
        <f t="shared" si="22"/>
        <v>961196.64974111516</v>
      </c>
      <c r="M130">
        <f t="shared" si="23"/>
        <v>0</v>
      </c>
      <c r="N130" s="29">
        <f t="shared" si="24"/>
        <v>961196.64974111516</v>
      </c>
      <c r="O130" s="29">
        <f t="shared" si="25"/>
        <v>961123.7187786682</v>
      </c>
      <c r="P130" s="29">
        <f t="shared" si="26"/>
        <v>961123.7187786682</v>
      </c>
      <c r="Q130">
        <f t="shared" si="27"/>
        <v>0</v>
      </c>
      <c r="R130" s="29">
        <f t="shared" si="28"/>
        <v>961123.7187786682</v>
      </c>
      <c r="S130" s="29">
        <f t="shared" si="29"/>
        <v>961123.71877866751</v>
      </c>
      <c r="T130" s="29">
        <f t="shared" si="30"/>
        <v>961123.71877866751</v>
      </c>
      <c r="U130">
        <f t="shared" si="31"/>
        <v>0</v>
      </c>
      <c r="V130" s="29">
        <f t="shared" si="32"/>
        <v>961123.71877866751</v>
      </c>
      <c r="W130" s="29">
        <f t="shared" si="33"/>
        <v>961123.71877866751</v>
      </c>
      <c r="X130" s="29">
        <f t="shared" si="34"/>
        <v>961123.71877866751</v>
      </c>
      <c r="Y130">
        <f t="shared" si="35"/>
        <v>0</v>
      </c>
    </row>
    <row r="131" spans="1:25" x14ac:dyDescent="0.25">
      <c r="A131" s="4" t="s">
        <v>908</v>
      </c>
      <c r="B131" s="7" t="s">
        <v>451</v>
      </c>
      <c r="C131" s="2" t="s">
        <v>909</v>
      </c>
      <c r="D131">
        <f>VLOOKUP(B131,'Model allocations'!$A$1:$L$317,6,FALSE)</f>
        <v>39835.160257704461</v>
      </c>
      <c r="E131" s="31">
        <f>VLOOKUP(B131,'Initial adjusted formula count'!$A$1:$P$317,12,FALSE)</f>
        <v>0.249027237354086</v>
      </c>
      <c r="F131">
        <f>VLOOKUP(B131,'Model allocations'!$A$1:$L$317,11,FALSE)</f>
        <v>49667.559492328277</v>
      </c>
      <c r="G131" s="30">
        <f t="shared" si="36"/>
        <v>0.9</v>
      </c>
      <c r="H131">
        <f t="shared" si="37"/>
        <v>35851.644231934013</v>
      </c>
      <c r="I131">
        <f t="shared" si="19"/>
        <v>0</v>
      </c>
      <c r="J131">
        <f t="shared" si="20"/>
        <v>49667.559492328277</v>
      </c>
      <c r="K131">
        <f t="shared" si="21"/>
        <v>49638.163982516693</v>
      </c>
      <c r="L131">
        <f t="shared" si="22"/>
        <v>49638.163982516693</v>
      </c>
      <c r="M131">
        <f t="shared" si="23"/>
        <v>0</v>
      </c>
      <c r="N131" s="29">
        <f t="shared" si="24"/>
        <v>49638.163982516693</v>
      </c>
      <c r="O131" s="29">
        <f t="shared" si="25"/>
        <v>49634.397678218491</v>
      </c>
      <c r="P131" s="29">
        <f t="shared" si="26"/>
        <v>49634.397678218491</v>
      </c>
      <c r="Q131">
        <f t="shared" si="27"/>
        <v>0</v>
      </c>
      <c r="R131" s="29">
        <f t="shared" si="28"/>
        <v>49634.397678218491</v>
      </c>
      <c r="S131" s="29">
        <f t="shared" si="29"/>
        <v>49634.397678218447</v>
      </c>
      <c r="T131" s="29">
        <f t="shared" si="30"/>
        <v>49634.397678218447</v>
      </c>
      <c r="U131">
        <f t="shared" si="31"/>
        <v>0</v>
      </c>
      <c r="V131" s="29">
        <f t="shared" si="32"/>
        <v>49634.397678218447</v>
      </c>
      <c r="W131" s="29">
        <f t="shared" si="33"/>
        <v>49634.397678218447</v>
      </c>
      <c r="X131" s="29">
        <f t="shared" si="34"/>
        <v>49634.397678218447</v>
      </c>
      <c r="Y131">
        <f t="shared" si="35"/>
        <v>0</v>
      </c>
    </row>
    <row r="132" spans="1:25" x14ac:dyDescent="0.25">
      <c r="A132" s="4" t="s">
        <v>910</v>
      </c>
      <c r="B132" s="7" t="s">
        <v>453</v>
      </c>
      <c r="C132" s="2" t="s">
        <v>911</v>
      </c>
      <c r="D132">
        <f>VLOOKUP(B132,'Model allocations'!$A$1:$L$317,6,FALSE)</f>
        <v>32157.95613618995</v>
      </c>
      <c r="E132" s="31">
        <f>VLOOKUP(B132,'Initial adjusted formula count'!$A$1:$P$317,12,FALSE)</f>
        <v>0.17499999999999999</v>
      </c>
      <c r="F132">
        <f>VLOOKUP(B132,'Model allocations'!$A$1:$L$317,11,FALSE)</f>
        <v>30153.335750708444</v>
      </c>
      <c r="G132" s="30">
        <f t="shared" si="36"/>
        <v>0.9</v>
      </c>
      <c r="H132">
        <f t="shared" si="37"/>
        <v>28942.160522570957</v>
      </c>
      <c r="I132">
        <f t="shared" ref="I132:I195" si="38">IF(F132&lt;H132,H132,0)</f>
        <v>0</v>
      </c>
      <c r="J132">
        <f t="shared" ref="J132:J195" si="39">IF(I132=0,F132,0)</f>
        <v>30153.335750708444</v>
      </c>
      <c r="K132">
        <f t="shared" ref="K132:K195" si="40">(J132/$J$3)*($F$3-$I$3)</f>
        <v>30135.489641779961</v>
      </c>
      <c r="L132">
        <f t="shared" ref="L132:L195" si="41">I132+K132</f>
        <v>30135.489641779961</v>
      </c>
      <c r="M132">
        <f t="shared" ref="M132:M195" si="42">IF(L132&lt;H132,H132,0)</f>
        <v>0</v>
      </c>
      <c r="N132" s="29">
        <f t="shared" ref="N132:N195" si="43">IF($I132+$M132=0,L132,0)</f>
        <v>30135.489641779961</v>
      </c>
      <c r="O132" s="29">
        <f t="shared" ref="O132:O195" si="44">((N132/$N$3)*($F$3-$I$3-$M$3))</f>
        <v>30133.203106278641</v>
      </c>
      <c r="P132" s="29">
        <f t="shared" ref="P132:P195" si="45">$I132+$M132+O132</f>
        <v>30133.203106278641</v>
      </c>
      <c r="Q132">
        <f t="shared" ref="Q132:Q195" si="46">IF(P132&lt;H132,H132,0)</f>
        <v>0</v>
      </c>
      <c r="R132" s="29">
        <f t="shared" ref="R132:R195" si="47">IF($I132+$M132+$Q132=0,P132,0)</f>
        <v>30133.203106278641</v>
      </c>
      <c r="S132" s="29">
        <f t="shared" ref="S132:S195" si="48">((R132/$R$3)*($F$3-$I$3-$M$3-$Q$3))</f>
        <v>30133.203106278615</v>
      </c>
      <c r="T132" s="29">
        <f t="shared" ref="T132:T195" si="49">$I132+$M132+$Q132+S132</f>
        <v>30133.203106278615</v>
      </c>
      <c r="U132">
        <f t="shared" ref="U132:U195" si="50">IF(T132&lt;H132,H132,0)</f>
        <v>0</v>
      </c>
      <c r="V132" s="29">
        <f t="shared" ref="V132:V195" si="51">IF($I132+$M132+$Q132+U132=0,T132,0)</f>
        <v>30133.203106278615</v>
      </c>
      <c r="W132" s="29">
        <f t="shared" ref="W132:W195" si="52">((V132/$V$3)*($F$3-$I$3-$M$3-$Q$3-$U$3))</f>
        <v>30133.203106278615</v>
      </c>
      <c r="X132" s="29">
        <f t="shared" ref="X132:X195" si="53">$I132+$M132+$Q132+$U132+W132</f>
        <v>30133.203106278615</v>
      </c>
      <c r="Y132">
        <f t="shared" ref="Y132:Y195" si="54">IF(X132&lt;H132,H132,0)</f>
        <v>0</v>
      </c>
    </row>
    <row r="133" spans="1:25" x14ac:dyDescent="0.25">
      <c r="A133" s="4" t="s">
        <v>29</v>
      </c>
      <c r="B133" s="7" t="s">
        <v>76</v>
      </c>
      <c r="C133" s="2" t="s">
        <v>912</v>
      </c>
      <c r="D133">
        <f>VLOOKUP(B133,'Model allocations'!$A$1:$L$317,6,FALSE)</f>
        <v>0</v>
      </c>
      <c r="E133" s="31">
        <f>VLOOKUP(B133,'Initial adjusted formula count'!$A$1:$P$317,12,FALSE)</f>
        <v>0.203123422714581</v>
      </c>
      <c r="F133">
        <f>VLOOKUP(B133,'Model allocations'!$A$1:$L$317,11,FALSE)</f>
        <v>0</v>
      </c>
      <c r="G133" s="30">
        <f t="shared" ref="G133:G196" si="55">IF(E133&lt;0.15,0.85,IF(AND(E133&gt;=0.15,E133&lt;0.3),0.9,0.95))</f>
        <v>0.9</v>
      </c>
      <c r="H133">
        <f t="shared" ref="H133:H196" si="56">IF(F133 = 0, 0, D133*G133)</f>
        <v>0</v>
      </c>
      <c r="I133">
        <f t="shared" si="38"/>
        <v>0</v>
      </c>
      <c r="J133">
        <f t="shared" si="39"/>
        <v>0</v>
      </c>
      <c r="K133">
        <f t="shared" si="40"/>
        <v>0</v>
      </c>
      <c r="L133">
        <f t="shared" si="41"/>
        <v>0</v>
      </c>
      <c r="M133">
        <f t="shared" si="42"/>
        <v>0</v>
      </c>
      <c r="N133" s="29">
        <f t="shared" si="43"/>
        <v>0</v>
      </c>
      <c r="O133" s="29">
        <f t="shared" si="44"/>
        <v>0</v>
      </c>
      <c r="P133" s="29">
        <f t="shared" si="45"/>
        <v>0</v>
      </c>
      <c r="Q133">
        <f t="shared" si="46"/>
        <v>0</v>
      </c>
      <c r="R133" s="29">
        <f t="shared" si="47"/>
        <v>0</v>
      </c>
      <c r="S133" s="29">
        <f t="shared" si="48"/>
        <v>0</v>
      </c>
      <c r="T133" s="29">
        <f t="shared" si="49"/>
        <v>0</v>
      </c>
      <c r="U133">
        <f t="shared" si="50"/>
        <v>0</v>
      </c>
      <c r="V133" s="29">
        <f t="shared" si="51"/>
        <v>0</v>
      </c>
      <c r="W133" s="29">
        <f t="shared" si="52"/>
        <v>0</v>
      </c>
      <c r="X133" s="29">
        <f t="shared" si="53"/>
        <v>0</v>
      </c>
      <c r="Y133">
        <f t="shared" si="54"/>
        <v>0</v>
      </c>
    </row>
    <row r="134" spans="1:25" x14ac:dyDescent="0.25">
      <c r="A134" s="4" t="s">
        <v>913</v>
      </c>
      <c r="B134" s="7" t="s">
        <v>455</v>
      </c>
      <c r="C134" s="2" t="s">
        <v>914</v>
      </c>
      <c r="D134">
        <f>VLOOKUP(B134,'Model allocations'!$A$1:$L$317,6,FALSE)</f>
        <v>57163.873176635258</v>
      </c>
      <c r="E134" s="31">
        <f>VLOOKUP(B134,'Initial adjusted formula count'!$A$1:$P$317,12,FALSE)</f>
        <v>0.21531100478468901</v>
      </c>
      <c r="F134">
        <f>VLOOKUP(B134,'Model allocations'!$A$1:$L$317,11,FALSE)</f>
        <v>61780.848481369801</v>
      </c>
      <c r="G134" s="30">
        <f t="shared" si="55"/>
        <v>0.9</v>
      </c>
      <c r="H134">
        <f t="shared" si="56"/>
        <v>51447.485858971733</v>
      </c>
      <c r="I134">
        <f t="shared" si="38"/>
        <v>0</v>
      </c>
      <c r="J134">
        <f t="shared" si="39"/>
        <v>61780.848481369801</v>
      </c>
      <c r="K134">
        <f t="shared" si="40"/>
        <v>61744.283778850389</v>
      </c>
      <c r="L134">
        <f t="shared" si="41"/>
        <v>61744.283778850389</v>
      </c>
      <c r="M134">
        <f t="shared" si="42"/>
        <v>0</v>
      </c>
      <c r="N134" s="29">
        <f t="shared" si="43"/>
        <v>61744.283778850389</v>
      </c>
      <c r="O134" s="29">
        <f t="shared" si="44"/>
        <v>61739.598920613731</v>
      </c>
      <c r="P134" s="29">
        <f t="shared" si="45"/>
        <v>61739.598920613731</v>
      </c>
      <c r="Q134">
        <f t="shared" si="46"/>
        <v>0</v>
      </c>
      <c r="R134" s="29">
        <f t="shared" si="47"/>
        <v>61739.598920613731</v>
      </c>
      <c r="S134" s="29">
        <f t="shared" si="48"/>
        <v>61739.59892061368</v>
      </c>
      <c r="T134" s="29">
        <f t="shared" si="49"/>
        <v>61739.59892061368</v>
      </c>
      <c r="U134">
        <f t="shared" si="50"/>
        <v>0</v>
      </c>
      <c r="V134" s="29">
        <f t="shared" si="51"/>
        <v>61739.59892061368</v>
      </c>
      <c r="W134" s="29">
        <f t="shared" si="52"/>
        <v>61739.59892061368</v>
      </c>
      <c r="X134" s="29">
        <f t="shared" si="53"/>
        <v>61739.59892061368</v>
      </c>
      <c r="Y134">
        <f t="shared" si="54"/>
        <v>0</v>
      </c>
    </row>
    <row r="135" spans="1:25" x14ac:dyDescent="0.25">
      <c r="A135" s="4" t="s">
        <v>915</v>
      </c>
      <c r="B135" s="7" t="s">
        <v>161</v>
      </c>
      <c r="C135" s="2" t="s">
        <v>916</v>
      </c>
      <c r="D135">
        <f>VLOOKUP(B135,'Model allocations'!$A$1:$L$317,6,FALSE)</f>
        <v>193330.12430754534</v>
      </c>
      <c r="E135" s="31">
        <f>VLOOKUP(B135,'Initial adjusted formula count'!$A$1:$P$317,12,FALSE)</f>
        <v>7.9761631904652797E-2</v>
      </c>
      <c r="F135">
        <f>VLOOKUP(B135,'Model allocations'!$A$1:$L$317,11,FALSE)</f>
        <v>197868.47264381015</v>
      </c>
      <c r="G135" s="30">
        <f t="shared" si="55"/>
        <v>0.85</v>
      </c>
      <c r="H135">
        <f t="shared" si="56"/>
        <v>164330.60566141355</v>
      </c>
      <c r="I135">
        <f t="shared" si="38"/>
        <v>0</v>
      </c>
      <c r="J135">
        <f t="shared" si="39"/>
        <v>197868.47264381015</v>
      </c>
      <c r="K135">
        <f t="shared" si="40"/>
        <v>197751.36512557373</v>
      </c>
      <c r="L135">
        <f t="shared" si="41"/>
        <v>197751.36512557373</v>
      </c>
      <c r="M135">
        <f t="shared" si="42"/>
        <v>0</v>
      </c>
      <c r="N135" s="29">
        <f t="shared" si="43"/>
        <v>197751.36512557373</v>
      </c>
      <c r="O135" s="29">
        <f t="shared" si="44"/>
        <v>197736.36070645964</v>
      </c>
      <c r="P135" s="29">
        <f t="shared" si="45"/>
        <v>197736.36070645964</v>
      </c>
      <c r="Q135">
        <f t="shared" si="46"/>
        <v>0</v>
      </c>
      <c r="R135" s="29">
        <f t="shared" si="47"/>
        <v>197736.36070645964</v>
      </c>
      <c r="S135" s="29">
        <f t="shared" si="48"/>
        <v>197736.36070645947</v>
      </c>
      <c r="T135" s="29">
        <f t="shared" si="49"/>
        <v>197736.36070645947</v>
      </c>
      <c r="U135">
        <f t="shared" si="50"/>
        <v>0</v>
      </c>
      <c r="V135" s="29">
        <f t="shared" si="51"/>
        <v>197736.36070645947</v>
      </c>
      <c r="W135" s="29">
        <f t="shared" si="52"/>
        <v>197736.36070645947</v>
      </c>
      <c r="X135" s="29">
        <f t="shared" si="53"/>
        <v>197736.36070645947</v>
      </c>
      <c r="Y135">
        <f t="shared" si="54"/>
        <v>0</v>
      </c>
    </row>
    <row r="136" spans="1:25" x14ac:dyDescent="0.25">
      <c r="A136" s="4" t="s">
        <v>917</v>
      </c>
      <c r="B136" s="7" t="s">
        <v>457</v>
      </c>
      <c r="C136" s="2" t="s">
        <v>918</v>
      </c>
      <c r="D136">
        <f>VLOOKUP(B136,'Model allocations'!$A$1:$L$317,6,FALSE)</f>
        <v>146990.77471667511</v>
      </c>
      <c r="E136" s="31">
        <f>VLOOKUP(B136,'Initial adjusted formula count'!$A$1:$P$317,12,FALSE)</f>
        <v>0.15584415584415601</v>
      </c>
      <c r="F136">
        <f>VLOOKUP(B136,'Model allocations'!$A$1:$L$317,11,FALSE)</f>
        <v>132291.69724500761</v>
      </c>
      <c r="G136" s="30">
        <f t="shared" si="55"/>
        <v>0.9</v>
      </c>
      <c r="H136">
        <f t="shared" si="56"/>
        <v>132291.69724500761</v>
      </c>
      <c r="I136">
        <f t="shared" si="38"/>
        <v>0</v>
      </c>
      <c r="J136">
        <f t="shared" si="39"/>
        <v>132291.69724500761</v>
      </c>
      <c r="K136">
        <f t="shared" si="40"/>
        <v>132213.40103065551</v>
      </c>
      <c r="L136">
        <f t="shared" si="41"/>
        <v>132213.40103065551</v>
      </c>
      <c r="M136">
        <f t="shared" si="42"/>
        <v>132291.69724500761</v>
      </c>
      <c r="N136" s="29">
        <f t="shared" si="43"/>
        <v>0</v>
      </c>
      <c r="O136" s="29">
        <f t="shared" si="44"/>
        <v>0</v>
      </c>
      <c r="P136" s="29">
        <f t="shared" si="45"/>
        <v>132291.69724500761</v>
      </c>
      <c r="Q136">
        <f t="shared" si="46"/>
        <v>0</v>
      </c>
      <c r="R136" s="29">
        <f t="shared" si="47"/>
        <v>0</v>
      </c>
      <c r="S136" s="29">
        <f t="shared" si="48"/>
        <v>0</v>
      </c>
      <c r="T136" s="29">
        <f t="shared" si="49"/>
        <v>132291.69724500761</v>
      </c>
      <c r="U136">
        <f t="shared" si="50"/>
        <v>0</v>
      </c>
      <c r="V136" s="29">
        <f t="shared" si="51"/>
        <v>0</v>
      </c>
      <c r="W136" s="29">
        <f t="shared" si="52"/>
        <v>0</v>
      </c>
      <c r="X136" s="29">
        <f t="shared" si="53"/>
        <v>132291.69724500761</v>
      </c>
      <c r="Y136">
        <f t="shared" si="54"/>
        <v>0</v>
      </c>
    </row>
    <row r="137" spans="1:25" x14ac:dyDescent="0.25">
      <c r="A137" s="4" t="s">
        <v>919</v>
      </c>
      <c r="B137" s="7" t="s">
        <v>459</v>
      </c>
      <c r="C137" s="2" t="s">
        <v>920</v>
      </c>
      <c r="D137">
        <f>VLOOKUP(B137,'Model allocations'!$A$1:$L$317,6,FALSE)</f>
        <v>20942.526331187182</v>
      </c>
      <c r="E137" s="31">
        <f>VLOOKUP(B137,'Initial adjusted formula count'!$A$1:$P$317,12,FALSE)</f>
        <v>0.127906976744186</v>
      </c>
      <c r="F137">
        <f>VLOOKUP(B137,'Model allocations'!$A$1:$L$317,11,FALSE)</f>
        <v>17801.147381509105</v>
      </c>
      <c r="G137" s="30">
        <f t="shared" si="55"/>
        <v>0.85</v>
      </c>
      <c r="H137">
        <f t="shared" si="56"/>
        <v>17801.147381509105</v>
      </c>
      <c r="I137">
        <f t="shared" si="38"/>
        <v>0</v>
      </c>
      <c r="J137">
        <f t="shared" si="39"/>
        <v>17801.147381509105</v>
      </c>
      <c r="K137">
        <f t="shared" si="40"/>
        <v>17790.611856754935</v>
      </c>
      <c r="L137">
        <f t="shared" si="41"/>
        <v>17790.611856754935</v>
      </c>
      <c r="M137">
        <f t="shared" si="42"/>
        <v>17801.147381509105</v>
      </c>
      <c r="N137" s="29">
        <f t="shared" si="43"/>
        <v>0</v>
      </c>
      <c r="O137" s="29">
        <f t="shared" si="44"/>
        <v>0</v>
      </c>
      <c r="P137" s="29">
        <f t="shared" si="45"/>
        <v>17801.147381509105</v>
      </c>
      <c r="Q137">
        <f t="shared" si="46"/>
        <v>0</v>
      </c>
      <c r="R137" s="29">
        <f t="shared" si="47"/>
        <v>0</v>
      </c>
      <c r="S137" s="29">
        <f t="shared" si="48"/>
        <v>0</v>
      </c>
      <c r="T137" s="29">
        <f t="shared" si="49"/>
        <v>17801.147381509105</v>
      </c>
      <c r="U137">
        <f t="shared" si="50"/>
        <v>0</v>
      </c>
      <c r="V137" s="29">
        <f t="shared" si="51"/>
        <v>0</v>
      </c>
      <c r="W137" s="29">
        <f t="shared" si="52"/>
        <v>0</v>
      </c>
      <c r="X137" s="29">
        <f t="shared" si="53"/>
        <v>17801.147381509105</v>
      </c>
      <c r="Y137">
        <f t="shared" si="54"/>
        <v>0</v>
      </c>
    </row>
    <row r="138" spans="1:25" x14ac:dyDescent="0.25">
      <c r="A138" s="4" t="s">
        <v>921</v>
      </c>
      <c r="B138" s="7" t="s">
        <v>284</v>
      </c>
      <c r="C138" s="2" t="s">
        <v>922</v>
      </c>
      <c r="D138">
        <f>VLOOKUP(B138,'Model allocations'!$A$1:$L$317,6,FALSE)</f>
        <v>78540.397905578109</v>
      </c>
      <c r="E138" s="31">
        <f>VLOOKUP(B138,'Initial adjusted formula count'!$A$1:$P$317,12,FALSE)</f>
        <v>0.169381107491857</v>
      </c>
      <c r="F138">
        <f>VLOOKUP(B138,'Model allocations'!$A$1:$L$317,11,FALSE)</f>
        <v>70686.358115020295</v>
      </c>
      <c r="G138" s="30">
        <f t="shared" si="55"/>
        <v>0.9</v>
      </c>
      <c r="H138">
        <f t="shared" si="56"/>
        <v>70686.358115020295</v>
      </c>
      <c r="I138">
        <f t="shared" si="38"/>
        <v>0</v>
      </c>
      <c r="J138">
        <f t="shared" si="39"/>
        <v>70686.358115020295</v>
      </c>
      <c r="K138">
        <f t="shared" si="40"/>
        <v>70644.522728809374</v>
      </c>
      <c r="L138">
        <f t="shared" si="41"/>
        <v>70644.522728809374</v>
      </c>
      <c r="M138">
        <f t="shared" si="42"/>
        <v>70686.358115020295</v>
      </c>
      <c r="N138" s="29">
        <f t="shared" si="43"/>
        <v>0</v>
      </c>
      <c r="O138" s="29">
        <f t="shared" si="44"/>
        <v>0</v>
      </c>
      <c r="P138" s="29">
        <f t="shared" si="45"/>
        <v>70686.358115020295</v>
      </c>
      <c r="Q138">
        <f t="shared" si="46"/>
        <v>0</v>
      </c>
      <c r="R138" s="29">
        <f t="shared" si="47"/>
        <v>0</v>
      </c>
      <c r="S138" s="29">
        <f t="shared" si="48"/>
        <v>0</v>
      </c>
      <c r="T138" s="29">
        <f t="shared" si="49"/>
        <v>70686.358115020295</v>
      </c>
      <c r="U138">
        <f t="shared" si="50"/>
        <v>0</v>
      </c>
      <c r="V138" s="29">
        <f t="shared" si="51"/>
        <v>0</v>
      </c>
      <c r="W138" s="29">
        <f t="shared" si="52"/>
        <v>0</v>
      </c>
      <c r="X138" s="29">
        <f t="shared" si="53"/>
        <v>70686.358115020295</v>
      </c>
      <c r="Y138">
        <f t="shared" si="54"/>
        <v>0</v>
      </c>
    </row>
    <row r="139" spans="1:25" x14ac:dyDescent="0.25">
      <c r="A139" s="4" t="s">
        <v>923</v>
      </c>
      <c r="B139" s="7" t="s">
        <v>461</v>
      </c>
      <c r="C139" s="2" t="s">
        <v>924</v>
      </c>
      <c r="D139">
        <f>VLOOKUP(B139,'Model allocations'!$A$1:$L$317,6,FALSE)</f>
        <v>29681.44419948291</v>
      </c>
      <c r="E139" s="31">
        <f>VLOOKUP(B139,'Initial adjusted formula count'!$A$1:$P$317,12,FALSE)</f>
        <v>0.120192307692308</v>
      </c>
      <c r="F139">
        <f>VLOOKUP(B139,'Model allocations'!$A$1:$L$317,11,FALSE)</f>
        <v>25229.227569560473</v>
      </c>
      <c r="G139" s="30">
        <f t="shared" si="55"/>
        <v>0.85</v>
      </c>
      <c r="H139">
        <f t="shared" si="56"/>
        <v>25229.227569560473</v>
      </c>
      <c r="I139">
        <f t="shared" si="38"/>
        <v>0</v>
      </c>
      <c r="J139">
        <f t="shared" si="39"/>
        <v>25229.227569560473</v>
      </c>
      <c r="K139">
        <f t="shared" si="40"/>
        <v>25214.295770733628</v>
      </c>
      <c r="L139">
        <f t="shared" si="41"/>
        <v>25214.295770733628</v>
      </c>
      <c r="M139">
        <f t="shared" si="42"/>
        <v>25229.227569560473</v>
      </c>
      <c r="N139" s="29">
        <f t="shared" si="43"/>
        <v>0</v>
      </c>
      <c r="O139" s="29">
        <f t="shared" si="44"/>
        <v>0</v>
      </c>
      <c r="P139" s="29">
        <f t="shared" si="45"/>
        <v>25229.227569560473</v>
      </c>
      <c r="Q139">
        <f t="shared" si="46"/>
        <v>0</v>
      </c>
      <c r="R139" s="29">
        <f t="shared" si="47"/>
        <v>0</v>
      </c>
      <c r="S139" s="29">
        <f t="shared" si="48"/>
        <v>0</v>
      </c>
      <c r="T139" s="29">
        <f t="shared" si="49"/>
        <v>25229.227569560473</v>
      </c>
      <c r="U139">
        <f t="shared" si="50"/>
        <v>0</v>
      </c>
      <c r="V139" s="29">
        <f t="shared" si="51"/>
        <v>0</v>
      </c>
      <c r="W139" s="29">
        <f t="shared" si="52"/>
        <v>0</v>
      </c>
      <c r="X139" s="29">
        <f t="shared" si="53"/>
        <v>25229.227569560473</v>
      </c>
      <c r="Y139">
        <f t="shared" si="54"/>
        <v>0</v>
      </c>
    </row>
    <row r="140" spans="1:25" x14ac:dyDescent="0.25">
      <c r="A140" s="4" t="s">
        <v>925</v>
      </c>
      <c r="B140" s="7" t="s">
        <v>463</v>
      </c>
      <c r="C140" s="2" t="s">
        <v>926</v>
      </c>
      <c r="D140">
        <f>VLOOKUP(B140,'Model allocations'!$A$1:$L$317,6,FALSE)</f>
        <v>104137.97606815456</v>
      </c>
      <c r="E140" s="31">
        <f>VLOOKUP(B140,'Initial adjusted formula count'!$A$1:$P$317,12,FALSE)</f>
        <v>0.19565217391304399</v>
      </c>
      <c r="F140">
        <f>VLOOKUP(B140,'Model allocations'!$A$1:$L$317,11,FALSE)</f>
        <v>93724.178461339106</v>
      </c>
      <c r="G140" s="30">
        <f t="shared" si="55"/>
        <v>0.9</v>
      </c>
      <c r="H140">
        <f t="shared" si="56"/>
        <v>93724.178461339106</v>
      </c>
      <c r="I140">
        <f t="shared" si="38"/>
        <v>0</v>
      </c>
      <c r="J140">
        <f t="shared" si="39"/>
        <v>93724.178461339106</v>
      </c>
      <c r="K140">
        <f t="shared" si="40"/>
        <v>93668.708250285781</v>
      </c>
      <c r="L140">
        <f t="shared" si="41"/>
        <v>93668.708250285781</v>
      </c>
      <c r="M140">
        <f t="shared" si="42"/>
        <v>93724.178461339106</v>
      </c>
      <c r="N140" s="29">
        <f t="shared" si="43"/>
        <v>0</v>
      </c>
      <c r="O140" s="29">
        <f t="shared" si="44"/>
        <v>0</v>
      </c>
      <c r="P140" s="29">
        <f t="shared" si="45"/>
        <v>93724.178461339106</v>
      </c>
      <c r="Q140">
        <f t="shared" si="46"/>
        <v>0</v>
      </c>
      <c r="R140" s="29">
        <f t="shared" si="47"/>
        <v>0</v>
      </c>
      <c r="S140" s="29">
        <f t="shared" si="48"/>
        <v>0</v>
      </c>
      <c r="T140" s="29">
        <f t="shared" si="49"/>
        <v>93724.178461339106</v>
      </c>
      <c r="U140">
        <f t="shared" si="50"/>
        <v>0</v>
      </c>
      <c r="V140" s="29">
        <f t="shared" si="51"/>
        <v>0</v>
      </c>
      <c r="W140" s="29">
        <f t="shared" si="52"/>
        <v>0</v>
      </c>
      <c r="X140" s="29">
        <f t="shared" si="53"/>
        <v>93724.178461339106</v>
      </c>
      <c r="Y140">
        <f t="shared" si="54"/>
        <v>0</v>
      </c>
    </row>
    <row r="141" spans="1:25" x14ac:dyDescent="0.25">
      <c r="A141" s="4" t="s">
        <v>927</v>
      </c>
      <c r="B141" s="7" t="s">
        <v>163</v>
      </c>
      <c r="C141" s="2" t="s">
        <v>928</v>
      </c>
      <c r="D141">
        <f>VLOOKUP(B141,'Model allocations'!$A$1:$L$317,6,FALSE)</f>
        <v>1081612.1107422076</v>
      </c>
      <c r="E141" s="31">
        <f>VLOOKUP(B141,'Initial adjusted formula count'!$A$1:$P$317,12,FALSE)</f>
        <v>0.11435580880025301</v>
      </c>
      <c r="F141">
        <f>VLOOKUP(B141,'Model allocations'!$A$1:$L$317,11,FALSE)</f>
        <v>1035966.5435546614</v>
      </c>
      <c r="G141" s="30">
        <f t="shared" si="55"/>
        <v>0.85</v>
      </c>
      <c r="H141">
        <f t="shared" si="56"/>
        <v>919370.29413087643</v>
      </c>
      <c r="I141">
        <f t="shared" si="38"/>
        <v>0</v>
      </c>
      <c r="J141">
        <f t="shared" si="39"/>
        <v>1035966.5435546614</v>
      </c>
      <c r="K141">
        <f t="shared" si="40"/>
        <v>1035353.4116632055</v>
      </c>
      <c r="L141">
        <f t="shared" si="41"/>
        <v>1035353.4116632055</v>
      </c>
      <c r="M141">
        <f t="shared" si="42"/>
        <v>0</v>
      </c>
      <c r="N141" s="29">
        <f t="shared" si="43"/>
        <v>1035353.4116632055</v>
      </c>
      <c r="O141" s="29">
        <f t="shared" si="44"/>
        <v>1035274.8540435907</v>
      </c>
      <c r="P141" s="29">
        <f t="shared" si="45"/>
        <v>1035274.8540435907</v>
      </c>
      <c r="Q141">
        <f t="shared" si="46"/>
        <v>0</v>
      </c>
      <c r="R141" s="29">
        <f t="shared" si="47"/>
        <v>1035274.8540435907</v>
      </c>
      <c r="S141" s="29">
        <f t="shared" si="48"/>
        <v>1035274.8540435898</v>
      </c>
      <c r="T141" s="29">
        <f t="shared" si="49"/>
        <v>1035274.8540435898</v>
      </c>
      <c r="U141">
        <f t="shared" si="50"/>
        <v>0</v>
      </c>
      <c r="V141" s="29">
        <f t="shared" si="51"/>
        <v>1035274.8540435898</v>
      </c>
      <c r="W141" s="29">
        <f t="shared" si="52"/>
        <v>1035274.8540435898</v>
      </c>
      <c r="X141" s="29">
        <f t="shared" si="53"/>
        <v>1035274.8540435898</v>
      </c>
      <c r="Y141">
        <f t="shared" si="54"/>
        <v>0</v>
      </c>
    </row>
    <row r="142" spans="1:25" x14ac:dyDescent="0.25">
      <c r="A142" s="4" t="s">
        <v>929</v>
      </c>
      <c r="B142" s="7" t="s">
        <v>465</v>
      </c>
      <c r="C142" s="2" t="s">
        <v>930</v>
      </c>
      <c r="D142">
        <f>VLOOKUP(B142,'Model allocations'!$A$1:$L$317,6,FALSE)</f>
        <v>42427.253297942247</v>
      </c>
      <c r="E142" s="31">
        <f>VLOOKUP(B142,'Initial adjusted formula count'!$A$1:$P$317,12,FALSE)</f>
        <v>8.2024432809773104E-2</v>
      </c>
      <c r="F142">
        <f>VLOOKUP(B142,'Model allocations'!$A$1:$L$317,11,FALSE)</f>
        <v>36063.165303250906</v>
      </c>
      <c r="G142" s="30">
        <f t="shared" si="55"/>
        <v>0.85</v>
      </c>
      <c r="H142">
        <f t="shared" si="56"/>
        <v>36063.165303250906</v>
      </c>
      <c r="I142">
        <f t="shared" si="38"/>
        <v>0</v>
      </c>
      <c r="J142">
        <f t="shared" si="39"/>
        <v>36063.165303250906</v>
      </c>
      <c r="K142">
        <f t="shared" si="40"/>
        <v>36041.821489696456</v>
      </c>
      <c r="L142">
        <f t="shared" si="41"/>
        <v>36041.821489696456</v>
      </c>
      <c r="M142">
        <f t="shared" si="42"/>
        <v>36063.165303250906</v>
      </c>
      <c r="N142" s="29">
        <f t="shared" si="43"/>
        <v>0</v>
      </c>
      <c r="O142" s="29">
        <f t="shared" si="44"/>
        <v>0</v>
      </c>
      <c r="P142" s="29">
        <f t="shared" si="45"/>
        <v>36063.165303250906</v>
      </c>
      <c r="Q142">
        <f t="shared" si="46"/>
        <v>0</v>
      </c>
      <c r="R142" s="29">
        <f t="shared" si="47"/>
        <v>0</v>
      </c>
      <c r="S142" s="29">
        <f t="shared" si="48"/>
        <v>0</v>
      </c>
      <c r="T142" s="29">
        <f t="shared" si="49"/>
        <v>36063.165303250906</v>
      </c>
      <c r="U142">
        <f t="shared" si="50"/>
        <v>0</v>
      </c>
      <c r="V142" s="29">
        <f t="shared" si="51"/>
        <v>0</v>
      </c>
      <c r="W142" s="29">
        <f t="shared" si="52"/>
        <v>0</v>
      </c>
      <c r="X142" s="29">
        <f t="shared" si="53"/>
        <v>36063.165303250906</v>
      </c>
      <c r="Y142">
        <f t="shared" si="54"/>
        <v>0</v>
      </c>
    </row>
    <row r="143" spans="1:25" x14ac:dyDescent="0.25">
      <c r="A143" s="4" t="s">
        <v>931</v>
      </c>
      <c r="B143" s="7" t="s">
        <v>165</v>
      </c>
      <c r="C143" s="2" t="s">
        <v>932</v>
      </c>
      <c r="D143">
        <f>VLOOKUP(B143,'Model allocations'!$A$1:$L$317,6,FALSE)</f>
        <v>680250.2945436741</v>
      </c>
      <c r="E143" s="31">
        <f>VLOOKUP(B143,'Initial adjusted formula count'!$A$1:$P$317,12,FALSE)</f>
        <v>7.3859881031064098E-2</v>
      </c>
      <c r="F143">
        <f>VLOOKUP(B143,'Model allocations'!$A$1:$L$317,11,FALSE)</f>
        <v>578212.75036212301</v>
      </c>
      <c r="G143" s="30">
        <f t="shared" si="55"/>
        <v>0.85</v>
      </c>
      <c r="H143">
        <f t="shared" si="56"/>
        <v>578212.75036212301</v>
      </c>
      <c r="I143">
        <f t="shared" si="38"/>
        <v>0</v>
      </c>
      <c r="J143">
        <f t="shared" si="39"/>
        <v>578212.75036212301</v>
      </c>
      <c r="K143">
        <f t="shared" si="40"/>
        <v>577870.53788480011</v>
      </c>
      <c r="L143">
        <f t="shared" si="41"/>
        <v>577870.53788480011</v>
      </c>
      <c r="M143">
        <f t="shared" si="42"/>
        <v>578212.75036212301</v>
      </c>
      <c r="N143" s="29">
        <f t="shared" si="43"/>
        <v>0</v>
      </c>
      <c r="O143" s="29">
        <f t="shared" si="44"/>
        <v>0</v>
      </c>
      <c r="P143" s="29">
        <f t="shared" si="45"/>
        <v>578212.75036212301</v>
      </c>
      <c r="Q143">
        <f t="shared" si="46"/>
        <v>0</v>
      </c>
      <c r="R143" s="29">
        <f t="shared" si="47"/>
        <v>0</v>
      </c>
      <c r="S143" s="29">
        <f t="shared" si="48"/>
        <v>0</v>
      </c>
      <c r="T143" s="29">
        <f t="shared" si="49"/>
        <v>578212.75036212301</v>
      </c>
      <c r="U143">
        <f t="shared" si="50"/>
        <v>0</v>
      </c>
      <c r="V143" s="29">
        <f t="shared" si="51"/>
        <v>0</v>
      </c>
      <c r="W143" s="29">
        <f t="shared" si="52"/>
        <v>0</v>
      </c>
      <c r="X143" s="29">
        <f t="shared" si="53"/>
        <v>578212.75036212301</v>
      </c>
      <c r="Y143">
        <f t="shared" si="54"/>
        <v>0</v>
      </c>
    </row>
    <row r="144" spans="1:25" x14ac:dyDescent="0.25">
      <c r="A144" s="4" t="s">
        <v>933</v>
      </c>
      <c r="B144" s="7" t="s">
        <v>167</v>
      </c>
      <c r="C144" s="2" t="s">
        <v>934</v>
      </c>
      <c r="D144">
        <f>VLOOKUP(B144,'Model allocations'!$A$1:$L$317,6,FALSE)</f>
        <v>118796.30923423827</v>
      </c>
      <c r="E144" s="31">
        <f>VLOOKUP(B144,'Initial adjusted formula count'!$A$1:$P$317,12,FALSE)</f>
        <v>9.5369349503858905E-2</v>
      </c>
      <c r="F144">
        <f>VLOOKUP(B144,'Model allocations'!$A$1:$L$317,11,FALSE)</f>
        <v>100976.86284910253</v>
      </c>
      <c r="G144" s="30">
        <f t="shared" si="55"/>
        <v>0.85</v>
      </c>
      <c r="H144">
        <f t="shared" si="56"/>
        <v>100976.86284910253</v>
      </c>
      <c r="I144">
        <f t="shared" si="38"/>
        <v>0</v>
      </c>
      <c r="J144">
        <f t="shared" si="39"/>
        <v>100976.86284910253</v>
      </c>
      <c r="K144">
        <f t="shared" si="40"/>
        <v>100917.10017115009</v>
      </c>
      <c r="L144">
        <f t="shared" si="41"/>
        <v>100917.10017115009</v>
      </c>
      <c r="M144">
        <f t="shared" si="42"/>
        <v>100976.86284910253</v>
      </c>
      <c r="N144" s="29">
        <f t="shared" si="43"/>
        <v>0</v>
      </c>
      <c r="O144" s="29">
        <f t="shared" si="44"/>
        <v>0</v>
      </c>
      <c r="P144" s="29">
        <f t="shared" si="45"/>
        <v>100976.86284910253</v>
      </c>
      <c r="Q144">
        <f t="shared" si="46"/>
        <v>0</v>
      </c>
      <c r="R144" s="29">
        <f t="shared" si="47"/>
        <v>0</v>
      </c>
      <c r="S144" s="29">
        <f t="shared" si="48"/>
        <v>0</v>
      </c>
      <c r="T144" s="29">
        <f t="shared" si="49"/>
        <v>100976.86284910253</v>
      </c>
      <c r="U144">
        <f t="shared" si="50"/>
        <v>0</v>
      </c>
      <c r="V144" s="29">
        <f t="shared" si="51"/>
        <v>0</v>
      </c>
      <c r="W144" s="29">
        <f t="shared" si="52"/>
        <v>0</v>
      </c>
      <c r="X144" s="29">
        <f t="shared" si="53"/>
        <v>100976.86284910253</v>
      </c>
      <c r="Y144">
        <f t="shared" si="54"/>
        <v>0</v>
      </c>
    </row>
    <row r="145" spans="1:25" x14ac:dyDescent="0.25">
      <c r="A145" s="4" t="s">
        <v>935</v>
      </c>
      <c r="B145" s="7" t="s">
        <v>169</v>
      </c>
      <c r="C145" s="2" t="s">
        <v>936</v>
      </c>
      <c r="D145">
        <f>VLOOKUP(B145,'Model allocations'!$A$1:$L$317,6,FALSE)</f>
        <v>0</v>
      </c>
      <c r="E145" s="31">
        <f>VLOOKUP(B145,'Initial adjusted formula count'!$A$1:$P$317,12,FALSE)</f>
        <v>3.10204081632653E-2</v>
      </c>
      <c r="F145">
        <f>VLOOKUP(B145,'Model allocations'!$A$1:$L$317,11,FALSE)</f>
        <v>0</v>
      </c>
      <c r="G145" s="30">
        <f t="shared" si="55"/>
        <v>0.85</v>
      </c>
      <c r="H145">
        <f t="shared" si="56"/>
        <v>0</v>
      </c>
      <c r="I145">
        <f t="shared" si="38"/>
        <v>0</v>
      </c>
      <c r="J145">
        <f t="shared" si="39"/>
        <v>0</v>
      </c>
      <c r="K145">
        <f t="shared" si="40"/>
        <v>0</v>
      </c>
      <c r="L145">
        <f t="shared" si="41"/>
        <v>0</v>
      </c>
      <c r="M145">
        <f t="shared" si="42"/>
        <v>0</v>
      </c>
      <c r="N145" s="29">
        <f t="shared" si="43"/>
        <v>0</v>
      </c>
      <c r="O145" s="29">
        <f t="shared" si="44"/>
        <v>0</v>
      </c>
      <c r="P145" s="29">
        <f t="shared" si="45"/>
        <v>0</v>
      </c>
      <c r="Q145">
        <f t="shared" si="46"/>
        <v>0</v>
      </c>
      <c r="R145" s="29">
        <f t="shared" si="47"/>
        <v>0</v>
      </c>
      <c r="S145" s="29">
        <f t="shared" si="48"/>
        <v>0</v>
      </c>
      <c r="T145" s="29">
        <f t="shared" si="49"/>
        <v>0</v>
      </c>
      <c r="U145">
        <f t="shared" si="50"/>
        <v>0</v>
      </c>
      <c r="V145" s="29">
        <f t="shared" si="51"/>
        <v>0</v>
      </c>
      <c r="W145" s="29">
        <f t="shared" si="52"/>
        <v>0</v>
      </c>
      <c r="X145" s="29">
        <f t="shared" si="53"/>
        <v>0</v>
      </c>
      <c r="Y145">
        <f t="shared" si="54"/>
        <v>0</v>
      </c>
    </row>
    <row r="146" spans="1:25" x14ac:dyDescent="0.25">
      <c r="A146" s="4" t="s">
        <v>937</v>
      </c>
      <c r="B146" s="7" t="s">
        <v>171</v>
      </c>
      <c r="C146" s="2" t="s">
        <v>938</v>
      </c>
      <c r="D146">
        <f>VLOOKUP(B146,'Model allocations'!$A$1:$L$317,6,FALSE)</f>
        <v>117664.91581295978</v>
      </c>
      <c r="E146" s="31">
        <f>VLOOKUP(B146,'Initial adjusted formula count'!$A$1:$P$317,12,FALSE)</f>
        <v>0.12638970157987101</v>
      </c>
      <c r="F146">
        <f>VLOOKUP(B146,'Model allocations'!$A$1:$L$317,11,FALSE)</f>
        <v>122814.91405477871</v>
      </c>
      <c r="G146" s="30">
        <f t="shared" si="55"/>
        <v>0.85</v>
      </c>
      <c r="H146">
        <f t="shared" si="56"/>
        <v>100015.17844101581</v>
      </c>
      <c r="I146">
        <f t="shared" si="38"/>
        <v>0</v>
      </c>
      <c r="J146">
        <f t="shared" si="39"/>
        <v>122814.91405477871</v>
      </c>
      <c r="K146">
        <f t="shared" si="40"/>
        <v>122742.22662966647</v>
      </c>
      <c r="L146">
        <f t="shared" si="41"/>
        <v>122742.22662966647</v>
      </c>
      <c r="M146">
        <f t="shared" si="42"/>
        <v>0</v>
      </c>
      <c r="N146" s="29">
        <f t="shared" si="43"/>
        <v>122742.22662966647</v>
      </c>
      <c r="O146" s="29">
        <f t="shared" si="44"/>
        <v>122732.91354194046</v>
      </c>
      <c r="P146" s="29">
        <f t="shared" si="45"/>
        <v>122732.91354194046</v>
      </c>
      <c r="Q146">
        <f t="shared" si="46"/>
        <v>0</v>
      </c>
      <c r="R146" s="29">
        <f t="shared" si="47"/>
        <v>122732.91354194046</v>
      </c>
      <c r="S146" s="29">
        <f t="shared" si="48"/>
        <v>122732.91354194035</v>
      </c>
      <c r="T146" s="29">
        <f t="shared" si="49"/>
        <v>122732.91354194035</v>
      </c>
      <c r="U146">
        <f t="shared" si="50"/>
        <v>0</v>
      </c>
      <c r="V146" s="29">
        <f t="shared" si="51"/>
        <v>122732.91354194035</v>
      </c>
      <c r="W146" s="29">
        <f t="shared" si="52"/>
        <v>122732.91354194035</v>
      </c>
      <c r="X146" s="29">
        <f t="shared" si="53"/>
        <v>122732.91354194035</v>
      </c>
      <c r="Y146">
        <f t="shared" si="54"/>
        <v>0</v>
      </c>
    </row>
    <row r="147" spans="1:25" x14ac:dyDescent="0.25">
      <c r="A147" s="4" t="s">
        <v>939</v>
      </c>
      <c r="B147" s="7" t="s">
        <v>467</v>
      </c>
      <c r="C147" s="2" t="s">
        <v>940</v>
      </c>
      <c r="D147">
        <f>VLOOKUP(B147,'Model allocations'!$A$1:$L$317,6,FALSE)</f>
        <v>46491.291797766848</v>
      </c>
      <c r="E147" s="31">
        <f>VLOOKUP(B147,'Initial adjusted formula count'!$A$1:$P$317,12,FALSE)</f>
        <v>0.154121863799283</v>
      </c>
      <c r="F147">
        <f>VLOOKUP(B147,'Model allocations'!$A$1:$L$317,11,FALSE)</f>
        <v>73347.795893826187</v>
      </c>
      <c r="G147" s="30">
        <f t="shared" si="55"/>
        <v>0.9</v>
      </c>
      <c r="H147">
        <f t="shared" si="56"/>
        <v>41842.162617990165</v>
      </c>
      <c r="I147">
        <f t="shared" si="38"/>
        <v>0</v>
      </c>
      <c r="J147">
        <f t="shared" si="39"/>
        <v>73347.795893826187</v>
      </c>
      <c r="K147">
        <f t="shared" si="40"/>
        <v>73304.385348273048</v>
      </c>
      <c r="L147">
        <f t="shared" si="41"/>
        <v>73304.385348273048</v>
      </c>
      <c r="M147">
        <f t="shared" si="42"/>
        <v>0</v>
      </c>
      <c r="N147" s="29">
        <f t="shared" si="43"/>
        <v>73304.385348273048</v>
      </c>
      <c r="O147" s="29">
        <f t="shared" si="44"/>
        <v>73298.823365325574</v>
      </c>
      <c r="P147" s="29">
        <f t="shared" si="45"/>
        <v>73298.823365325574</v>
      </c>
      <c r="Q147">
        <f t="shared" si="46"/>
        <v>0</v>
      </c>
      <c r="R147" s="29">
        <f t="shared" si="47"/>
        <v>73298.823365325574</v>
      </c>
      <c r="S147" s="29">
        <f t="shared" si="48"/>
        <v>73298.823365325516</v>
      </c>
      <c r="T147" s="29">
        <f t="shared" si="49"/>
        <v>73298.823365325516</v>
      </c>
      <c r="U147">
        <f t="shared" si="50"/>
        <v>0</v>
      </c>
      <c r="V147" s="29">
        <f t="shared" si="51"/>
        <v>73298.823365325516</v>
      </c>
      <c r="W147" s="29">
        <f t="shared" si="52"/>
        <v>73298.823365325516</v>
      </c>
      <c r="X147" s="29">
        <f t="shared" si="53"/>
        <v>73298.823365325516</v>
      </c>
      <c r="Y147">
        <f t="shared" si="54"/>
        <v>0</v>
      </c>
    </row>
    <row r="148" spans="1:25" x14ac:dyDescent="0.25">
      <c r="A148" s="4" t="s">
        <v>941</v>
      </c>
      <c r="B148" s="7" t="s">
        <v>469</v>
      </c>
      <c r="C148" s="2" t="s">
        <v>942</v>
      </c>
      <c r="D148">
        <f>VLOOKUP(B148,'Model allocations'!$A$1:$L$317,6,FALSE)</f>
        <v>13623.136470449468</v>
      </c>
      <c r="E148" s="31">
        <f>VLOOKUP(B148,'Initial adjusted formula count'!$A$1:$P$317,12,FALSE)</f>
        <v>0.17808219178082199</v>
      </c>
      <c r="F148">
        <f>VLOOKUP(B148,'Model allocations'!$A$1:$L$317,11,FALSE)</f>
        <v>12260.822823404522</v>
      </c>
      <c r="G148" s="30">
        <f t="shared" si="55"/>
        <v>0.9</v>
      </c>
      <c r="H148">
        <f t="shared" si="56"/>
        <v>12260.822823404522</v>
      </c>
      <c r="I148">
        <f t="shared" si="38"/>
        <v>0</v>
      </c>
      <c r="J148">
        <f t="shared" si="39"/>
        <v>12260.822823404522</v>
      </c>
      <c r="K148">
        <f t="shared" si="40"/>
        <v>12253.56631349569</v>
      </c>
      <c r="L148">
        <f t="shared" si="41"/>
        <v>12253.56631349569</v>
      </c>
      <c r="M148">
        <f t="shared" si="42"/>
        <v>12260.822823404522</v>
      </c>
      <c r="N148" s="29">
        <f t="shared" si="43"/>
        <v>0</v>
      </c>
      <c r="O148" s="29">
        <f t="shared" si="44"/>
        <v>0</v>
      </c>
      <c r="P148" s="29">
        <f t="shared" si="45"/>
        <v>12260.822823404522</v>
      </c>
      <c r="Q148">
        <f t="shared" si="46"/>
        <v>0</v>
      </c>
      <c r="R148" s="29">
        <f t="shared" si="47"/>
        <v>0</v>
      </c>
      <c r="S148" s="29">
        <f t="shared" si="48"/>
        <v>0</v>
      </c>
      <c r="T148" s="29">
        <f t="shared" si="49"/>
        <v>12260.822823404522</v>
      </c>
      <c r="U148">
        <f t="shared" si="50"/>
        <v>0</v>
      </c>
      <c r="V148" s="29">
        <f t="shared" si="51"/>
        <v>0</v>
      </c>
      <c r="W148" s="29">
        <f t="shared" si="52"/>
        <v>0</v>
      </c>
      <c r="X148" s="29">
        <f t="shared" si="53"/>
        <v>12260.822823404522</v>
      </c>
      <c r="Y148">
        <f t="shared" si="54"/>
        <v>0</v>
      </c>
    </row>
    <row r="149" spans="1:25" x14ac:dyDescent="0.25">
      <c r="A149" s="4" t="s">
        <v>943</v>
      </c>
      <c r="B149" s="7" t="s">
        <v>173</v>
      </c>
      <c r="C149" s="2" t="s">
        <v>944</v>
      </c>
      <c r="D149">
        <f>VLOOKUP(B149,'Model allocations'!$A$1:$L$317,6,FALSE)</f>
        <v>246078.06912806502</v>
      </c>
      <c r="E149" s="31">
        <f>VLOOKUP(B149,'Initial adjusted formula count'!$A$1:$P$317,12,FALSE)</f>
        <v>6.9145758661887699E-2</v>
      </c>
      <c r="F149">
        <f>VLOOKUP(B149,'Model allocations'!$A$1:$L$317,11,FALSE)</f>
        <v>263256.04262667848</v>
      </c>
      <c r="G149" s="30">
        <f t="shared" si="55"/>
        <v>0.85</v>
      </c>
      <c r="H149">
        <f t="shared" si="56"/>
        <v>209166.35875885526</v>
      </c>
      <c r="I149">
        <f t="shared" si="38"/>
        <v>0</v>
      </c>
      <c r="J149">
        <f t="shared" si="39"/>
        <v>263256.04262667848</v>
      </c>
      <c r="K149">
        <f t="shared" si="40"/>
        <v>263100.23578488693</v>
      </c>
      <c r="L149">
        <f t="shared" si="41"/>
        <v>263100.23578488693</v>
      </c>
      <c r="M149">
        <f t="shared" si="42"/>
        <v>0</v>
      </c>
      <c r="N149" s="29">
        <f t="shared" si="43"/>
        <v>263100.23578488693</v>
      </c>
      <c r="O149" s="29">
        <f t="shared" si="44"/>
        <v>263080.27300888166</v>
      </c>
      <c r="P149" s="29">
        <f t="shared" si="45"/>
        <v>263080.27300888166</v>
      </c>
      <c r="Q149">
        <f t="shared" si="46"/>
        <v>0</v>
      </c>
      <c r="R149" s="29">
        <f t="shared" si="47"/>
        <v>263080.27300888166</v>
      </c>
      <c r="S149" s="29">
        <f t="shared" si="48"/>
        <v>263080.27300888143</v>
      </c>
      <c r="T149" s="29">
        <f t="shared" si="49"/>
        <v>263080.27300888143</v>
      </c>
      <c r="U149">
        <f t="shared" si="50"/>
        <v>0</v>
      </c>
      <c r="V149" s="29">
        <f t="shared" si="51"/>
        <v>263080.27300888143</v>
      </c>
      <c r="W149" s="29">
        <f t="shared" si="52"/>
        <v>263080.27300888143</v>
      </c>
      <c r="X149" s="29">
        <f t="shared" si="53"/>
        <v>263080.27300888143</v>
      </c>
      <c r="Y149">
        <f t="shared" si="54"/>
        <v>0</v>
      </c>
    </row>
    <row r="150" spans="1:25" x14ac:dyDescent="0.25">
      <c r="A150" s="4" t="s">
        <v>945</v>
      </c>
      <c r="B150" s="7" t="s">
        <v>471</v>
      </c>
      <c r="C150" s="2" t="s">
        <v>946</v>
      </c>
      <c r="D150">
        <f>VLOOKUP(B150,'Model allocations'!$A$1:$L$317,6,FALSE)</f>
        <v>122683.83359942214</v>
      </c>
      <c r="E150" s="31">
        <f>VLOOKUP(B150,'Initial adjusted formula count'!$A$1:$P$317,12,FALSE)</f>
        <v>9.1997008227374694E-2</v>
      </c>
      <c r="F150">
        <f>VLOOKUP(B150,'Model allocations'!$A$1:$L$317,11,FALSE)</f>
        <v>104281.25855950882</v>
      </c>
      <c r="G150" s="30">
        <f t="shared" si="55"/>
        <v>0.85</v>
      </c>
      <c r="H150">
        <f t="shared" si="56"/>
        <v>104281.25855950882</v>
      </c>
      <c r="I150">
        <f t="shared" si="38"/>
        <v>0</v>
      </c>
      <c r="J150">
        <f t="shared" si="39"/>
        <v>104281.25855950882</v>
      </c>
      <c r="K150">
        <f t="shared" si="40"/>
        <v>104219.54019060799</v>
      </c>
      <c r="L150">
        <f t="shared" si="41"/>
        <v>104219.54019060799</v>
      </c>
      <c r="M150">
        <f t="shared" si="42"/>
        <v>104281.25855950882</v>
      </c>
      <c r="N150" s="29">
        <f t="shared" si="43"/>
        <v>0</v>
      </c>
      <c r="O150" s="29">
        <f t="shared" si="44"/>
        <v>0</v>
      </c>
      <c r="P150" s="29">
        <f t="shared" si="45"/>
        <v>104281.25855950882</v>
      </c>
      <c r="Q150">
        <f t="shared" si="46"/>
        <v>0</v>
      </c>
      <c r="R150" s="29">
        <f t="shared" si="47"/>
        <v>0</v>
      </c>
      <c r="S150" s="29">
        <f t="shared" si="48"/>
        <v>0</v>
      </c>
      <c r="T150" s="29">
        <f t="shared" si="49"/>
        <v>104281.25855950882</v>
      </c>
      <c r="U150">
        <f t="shared" si="50"/>
        <v>0</v>
      </c>
      <c r="V150" s="29">
        <f t="shared" si="51"/>
        <v>0</v>
      </c>
      <c r="W150" s="29">
        <f t="shared" si="52"/>
        <v>0</v>
      </c>
      <c r="X150" s="29">
        <f t="shared" si="53"/>
        <v>104281.25855950882</v>
      </c>
      <c r="Y150">
        <f t="shared" si="54"/>
        <v>0</v>
      </c>
    </row>
    <row r="151" spans="1:25" x14ac:dyDescent="0.25">
      <c r="A151" s="4" t="s">
        <v>947</v>
      </c>
      <c r="B151" s="7" t="s">
        <v>473</v>
      </c>
      <c r="C151" s="2" t="s">
        <v>948</v>
      </c>
      <c r="D151">
        <f>VLOOKUP(B151,'Model allocations'!$A$1:$L$317,6,FALSE)</f>
        <v>35308.432974070725</v>
      </c>
      <c r="E151" s="31">
        <f>VLOOKUP(B151,'Initial adjusted formula count'!$A$1:$P$317,12,FALSE)</f>
        <v>0.12759643916913899</v>
      </c>
      <c r="F151">
        <f>VLOOKUP(B151,'Model allocations'!$A$1:$L$317,11,FALSE)</f>
        <v>30012.168027960117</v>
      </c>
      <c r="G151" s="30">
        <f t="shared" si="55"/>
        <v>0.85</v>
      </c>
      <c r="H151">
        <f t="shared" si="56"/>
        <v>30012.168027960117</v>
      </c>
      <c r="I151">
        <f t="shared" si="38"/>
        <v>0</v>
      </c>
      <c r="J151">
        <f t="shared" si="39"/>
        <v>30012.168027960117</v>
      </c>
      <c r="K151">
        <f t="shared" si="40"/>
        <v>29994.405468479632</v>
      </c>
      <c r="L151">
        <f t="shared" si="41"/>
        <v>29994.405468479632</v>
      </c>
      <c r="M151">
        <f t="shared" si="42"/>
        <v>30012.168027960117</v>
      </c>
      <c r="N151" s="29">
        <f t="shared" si="43"/>
        <v>0</v>
      </c>
      <c r="O151" s="29">
        <f t="shared" si="44"/>
        <v>0</v>
      </c>
      <c r="P151" s="29">
        <f t="shared" si="45"/>
        <v>30012.168027960117</v>
      </c>
      <c r="Q151">
        <f t="shared" si="46"/>
        <v>0</v>
      </c>
      <c r="R151" s="29">
        <f t="shared" si="47"/>
        <v>0</v>
      </c>
      <c r="S151" s="29">
        <f t="shared" si="48"/>
        <v>0</v>
      </c>
      <c r="T151" s="29">
        <f t="shared" si="49"/>
        <v>30012.168027960117</v>
      </c>
      <c r="U151">
        <f t="shared" si="50"/>
        <v>0</v>
      </c>
      <c r="V151" s="29">
        <f t="shared" si="51"/>
        <v>0</v>
      </c>
      <c r="W151" s="29">
        <f t="shared" si="52"/>
        <v>0</v>
      </c>
      <c r="X151" s="29">
        <f t="shared" si="53"/>
        <v>30012.168027960117</v>
      </c>
      <c r="Y151">
        <f t="shared" si="54"/>
        <v>0</v>
      </c>
    </row>
    <row r="152" spans="1:25" x14ac:dyDescent="0.25">
      <c r="A152" s="4" t="s">
        <v>949</v>
      </c>
      <c r="B152" s="7" t="s">
        <v>475</v>
      </c>
      <c r="C152" s="2" t="s">
        <v>950</v>
      </c>
      <c r="D152">
        <f>VLOOKUP(B152,'Model allocations'!$A$1:$L$317,6,FALSE)</f>
        <v>973846.88736543432</v>
      </c>
      <c r="E152" s="31">
        <f>VLOOKUP(B152,'Initial adjusted formula count'!$A$1:$P$317,12,FALSE)</f>
        <v>0.16728091728091701</v>
      </c>
      <c r="F152">
        <f>VLOOKUP(B152,'Model allocations'!$A$1:$L$317,11,FALSE)</f>
        <v>1197161.1182515584</v>
      </c>
      <c r="G152" s="30">
        <f t="shared" si="55"/>
        <v>0.9</v>
      </c>
      <c r="H152">
        <f t="shared" si="56"/>
        <v>876462.19862889091</v>
      </c>
      <c r="I152">
        <f t="shared" si="38"/>
        <v>0</v>
      </c>
      <c r="J152">
        <f t="shared" si="39"/>
        <v>1197161.1182515584</v>
      </c>
      <c r="K152">
        <f t="shared" si="40"/>
        <v>1196452.5841146426</v>
      </c>
      <c r="L152">
        <f t="shared" si="41"/>
        <v>1196452.5841146426</v>
      </c>
      <c r="M152">
        <f t="shared" si="42"/>
        <v>0</v>
      </c>
      <c r="N152" s="29">
        <f t="shared" si="43"/>
        <v>1196452.5841146426</v>
      </c>
      <c r="O152" s="29">
        <f t="shared" si="44"/>
        <v>1196361.8030673873</v>
      </c>
      <c r="P152" s="29">
        <f t="shared" si="45"/>
        <v>1196361.8030673873</v>
      </c>
      <c r="Q152">
        <f t="shared" si="46"/>
        <v>0</v>
      </c>
      <c r="R152" s="29">
        <f t="shared" si="47"/>
        <v>1196361.8030673873</v>
      </c>
      <c r="S152" s="29">
        <f t="shared" si="48"/>
        <v>1196361.8030673864</v>
      </c>
      <c r="T152" s="29">
        <f t="shared" si="49"/>
        <v>1196361.8030673864</v>
      </c>
      <c r="U152">
        <f t="shared" si="50"/>
        <v>0</v>
      </c>
      <c r="V152" s="29">
        <f t="shared" si="51"/>
        <v>1196361.8030673864</v>
      </c>
      <c r="W152" s="29">
        <f t="shared" si="52"/>
        <v>1196361.8030673864</v>
      </c>
      <c r="X152" s="29">
        <f t="shared" si="53"/>
        <v>1196361.8030673864</v>
      </c>
      <c r="Y152">
        <f t="shared" si="54"/>
        <v>0</v>
      </c>
    </row>
    <row r="153" spans="1:25" x14ac:dyDescent="0.25">
      <c r="A153" s="4" t="s">
        <v>951</v>
      </c>
      <c r="B153" s="7" t="s">
        <v>477</v>
      </c>
      <c r="C153" s="2" t="s">
        <v>952</v>
      </c>
      <c r="D153">
        <f>VLOOKUP(B153,'Model allocations'!$A$1:$L$317,6,FALSE)</f>
        <v>76551.125422615267</v>
      </c>
      <c r="E153" s="31">
        <f>VLOOKUP(B153,'Initial adjusted formula count'!$A$1:$P$317,12,FALSE)</f>
        <v>9.8870056497175104E-2</v>
      </c>
      <c r="F153">
        <f>VLOOKUP(B153,'Model allocations'!$A$1:$L$317,11,FALSE)</f>
        <v>65068.456609222972</v>
      </c>
      <c r="G153" s="30">
        <f t="shared" si="55"/>
        <v>0.85</v>
      </c>
      <c r="H153">
        <f t="shared" si="56"/>
        <v>65068.456609222972</v>
      </c>
      <c r="I153">
        <f t="shared" si="38"/>
        <v>0</v>
      </c>
      <c r="J153">
        <f t="shared" si="39"/>
        <v>65068.456609222972</v>
      </c>
      <c r="K153">
        <f t="shared" si="40"/>
        <v>65029.946151406402</v>
      </c>
      <c r="L153">
        <f t="shared" si="41"/>
        <v>65029.946151406402</v>
      </c>
      <c r="M153">
        <f t="shared" si="42"/>
        <v>65068.456609222972</v>
      </c>
      <c r="N153" s="29">
        <f t="shared" si="43"/>
        <v>0</v>
      </c>
      <c r="O153" s="29">
        <f t="shared" si="44"/>
        <v>0</v>
      </c>
      <c r="P153" s="29">
        <f t="shared" si="45"/>
        <v>65068.456609222972</v>
      </c>
      <c r="Q153">
        <f t="shared" si="46"/>
        <v>0</v>
      </c>
      <c r="R153" s="29">
        <f t="shared" si="47"/>
        <v>0</v>
      </c>
      <c r="S153" s="29">
        <f t="shared" si="48"/>
        <v>0</v>
      </c>
      <c r="T153" s="29">
        <f t="shared" si="49"/>
        <v>65068.456609222972</v>
      </c>
      <c r="U153">
        <f t="shared" si="50"/>
        <v>0</v>
      </c>
      <c r="V153" s="29">
        <f t="shared" si="51"/>
        <v>0</v>
      </c>
      <c r="W153" s="29">
        <f t="shared" si="52"/>
        <v>0</v>
      </c>
      <c r="X153" s="29">
        <f t="shared" si="53"/>
        <v>65068.456609222972</v>
      </c>
      <c r="Y153">
        <f t="shared" si="54"/>
        <v>0</v>
      </c>
    </row>
    <row r="154" spans="1:25" x14ac:dyDescent="0.25">
      <c r="A154" s="4" t="s">
        <v>953</v>
      </c>
      <c r="B154" s="7" t="s">
        <v>479</v>
      </c>
      <c r="C154" s="2" t="s">
        <v>954</v>
      </c>
      <c r="D154">
        <f>VLOOKUP(B154,'Model allocations'!$A$1:$L$317,6,FALSE)</f>
        <v>216599.81153050347</v>
      </c>
      <c r="E154" s="31">
        <f>VLOOKUP(B154,'Initial adjusted formula count'!$A$1:$P$317,12,FALSE)</f>
        <v>0.12925851703406799</v>
      </c>
      <c r="F154">
        <f>VLOOKUP(B154,'Model allocations'!$A$1:$L$317,11,FALSE)</f>
        <v>184109.83980092793</v>
      </c>
      <c r="G154" s="30">
        <f t="shared" si="55"/>
        <v>0.85</v>
      </c>
      <c r="H154">
        <f t="shared" si="56"/>
        <v>184109.83980092793</v>
      </c>
      <c r="I154">
        <f t="shared" si="38"/>
        <v>0</v>
      </c>
      <c r="J154">
        <f t="shared" si="39"/>
        <v>184109.83980092793</v>
      </c>
      <c r="K154">
        <f t="shared" si="40"/>
        <v>184000.87526436531</v>
      </c>
      <c r="L154">
        <f t="shared" si="41"/>
        <v>184000.87526436531</v>
      </c>
      <c r="M154">
        <f t="shared" si="42"/>
        <v>184109.83980092793</v>
      </c>
      <c r="N154" s="29">
        <f t="shared" si="43"/>
        <v>0</v>
      </c>
      <c r="O154" s="29">
        <f t="shared" si="44"/>
        <v>0</v>
      </c>
      <c r="P154" s="29">
        <f t="shared" si="45"/>
        <v>184109.83980092793</v>
      </c>
      <c r="Q154">
        <f t="shared" si="46"/>
        <v>0</v>
      </c>
      <c r="R154" s="29">
        <f t="shared" si="47"/>
        <v>0</v>
      </c>
      <c r="S154" s="29">
        <f t="shared" si="48"/>
        <v>0</v>
      </c>
      <c r="T154" s="29">
        <f t="shared" si="49"/>
        <v>184109.83980092793</v>
      </c>
      <c r="U154">
        <f t="shared" si="50"/>
        <v>0</v>
      </c>
      <c r="V154" s="29">
        <f t="shared" si="51"/>
        <v>0</v>
      </c>
      <c r="W154" s="29">
        <f t="shared" si="52"/>
        <v>0</v>
      </c>
      <c r="X154" s="29">
        <f t="shared" si="53"/>
        <v>184109.83980092793</v>
      </c>
      <c r="Y154">
        <f t="shared" si="54"/>
        <v>0</v>
      </c>
    </row>
    <row r="155" spans="1:25" x14ac:dyDescent="0.25">
      <c r="A155" s="4" t="s">
        <v>955</v>
      </c>
      <c r="B155" s="7" t="s">
        <v>481</v>
      </c>
      <c r="C155" s="2" t="s">
        <v>956</v>
      </c>
      <c r="D155">
        <f>VLOOKUP(B155,'Model allocations'!$A$1:$L$317,6,FALSE)</f>
        <v>208103.83701985318</v>
      </c>
      <c r="E155" s="31">
        <f>VLOOKUP(B155,'Initial adjusted formula count'!$A$1:$P$317,12,FALSE)</f>
        <v>0.111839410077837</v>
      </c>
      <c r="F155">
        <f>VLOOKUP(B155,'Model allocations'!$A$1:$L$317,11,FALSE)</f>
        <v>176888.26146687521</v>
      </c>
      <c r="G155" s="30">
        <f t="shared" si="55"/>
        <v>0.85</v>
      </c>
      <c r="H155">
        <f t="shared" si="56"/>
        <v>176888.26146687521</v>
      </c>
      <c r="I155">
        <f t="shared" si="38"/>
        <v>0</v>
      </c>
      <c r="J155">
        <f t="shared" si="39"/>
        <v>176888.26146687521</v>
      </c>
      <c r="K155">
        <f t="shared" si="40"/>
        <v>176783.57098724117</v>
      </c>
      <c r="L155">
        <f t="shared" si="41"/>
        <v>176783.57098724117</v>
      </c>
      <c r="M155">
        <f t="shared" si="42"/>
        <v>176888.26146687521</v>
      </c>
      <c r="N155" s="29">
        <f t="shared" si="43"/>
        <v>0</v>
      </c>
      <c r="O155" s="29">
        <f t="shared" si="44"/>
        <v>0</v>
      </c>
      <c r="P155" s="29">
        <f t="shared" si="45"/>
        <v>176888.26146687521</v>
      </c>
      <c r="Q155">
        <f t="shared" si="46"/>
        <v>0</v>
      </c>
      <c r="R155" s="29">
        <f t="shared" si="47"/>
        <v>0</v>
      </c>
      <c r="S155" s="29">
        <f t="shared" si="48"/>
        <v>0</v>
      </c>
      <c r="T155" s="29">
        <f t="shared" si="49"/>
        <v>176888.26146687521</v>
      </c>
      <c r="U155">
        <f t="shared" si="50"/>
        <v>0</v>
      </c>
      <c r="V155" s="29">
        <f t="shared" si="51"/>
        <v>0</v>
      </c>
      <c r="W155" s="29">
        <f t="shared" si="52"/>
        <v>0</v>
      </c>
      <c r="X155" s="29">
        <f t="shared" si="53"/>
        <v>176888.26146687521</v>
      </c>
      <c r="Y155">
        <f t="shared" si="54"/>
        <v>0</v>
      </c>
    </row>
    <row r="156" spans="1:25" x14ac:dyDescent="0.25">
      <c r="A156" s="4" t="s">
        <v>957</v>
      </c>
      <c r="B156" s="7" t="s">
        <v>175</v>
      </c>
      <c r="C156" s="2" t="s">
        <v>958</v>
      </c>
      <c r="D156">
        <f>VLOOKUP(B156,'Model allocations'!$A$1:$L$317,6,FALSE)</f>
        <v>0</v>
      </c>
      <c r="E156" s="31">
        <f>VLOOKUP(B156,'Initial adjusted formula count'!$A$1:$P$317,12,FALSE)</f>
        <v>4.8780487804878002E-2</v>
      </c>
      <c r="F156">
        <f>VLOOKUP(B156,'Model allocations'!$A$1:$L$317,11,FALSE)</f>
        <v>0</v>
      </c>
      <c r="G156" s="30">
        <f t="shared" si="55"/>
        <v>0.85</v>
      </c>
      <c r="H156">
        <f t="shared" si="56"/>
        <v>0</v>
      </c>
      <c r="I156">
        <f t="shared" si="38"/>
        <v>0</v>
      </c>
      <c r="J156">
        <f t="shared" si="39"/>
        <v>0</v>
      </c>
      <c r="K156">
        <f t="shared" si="40"/>
        <v>0</v>
      </c>
      <c r="L156">
        <f t="shared" si="41"/>
        <v>0</v>
      </c>
      <c r="M156">
        <f t="shared" si="42"/>
        <v>0</v>
      </c>
      <c r="N156" s="29">
        <f t="shared" si="43"/>
        <v>0</v>
      </c>
      <c r="O156" s="29">
        <f t="shared" si="44"/>
        <v>0</v>
      </c>
      <c r="P156" s="29">
        <f t="shared" si="45"/>
        <v>0</v>
      </c>
      <c r="Q156">
        <f t="shared" si="46"/>
        <v>0</v>
      </c>
      <c r="R156" s="29">
        <f t="shared" si="47"/>
        <v>0</v>
      </c>
      <c r="S156" s="29">
        <f t="shared" si="48"/>
        <v>0</v>
      </c>
      <c r="T156" s="29">
        <f t="shared" si="49"/>
        <v>0</v>
      </c>
      <c r="U156">
        <f t="shared" si="50"/>
        <v>0</v>
      </c>
      <c r="V156" s="29">
        <f t="shared" si="51"/>
        <v>0</v>
      </c>
      <c r="W156" s="29">
        <f t="shared" si="52"/>
        <v>0</v>
      </c>
      <c r="X156" s="29">
        <f t="shared" si="53"/>
        <v>0</v>
      </c>
      <c r="Y156">
        <f t="shared" si="54"/>
        <v>0</v>
      </c>
    </row>
    <row r="157" spans="1:25" x14ac:dyDescent="0.25">
      <c r="A157" s="4" t="s">
        <v>959</v>
      </c>
      <c r="B157" s="7" t="s">
        <v>483</v>
      </c>
      <c r="C157" s="9" t="s">
        <v>960</v>
      </c>
      <c r="D157">
        <f>VLOOKUP(B157,'Model allocations'!$A$1:$L$317,6,FALSE)</f>
        <v>595395.7879477893</v>
      </c>
      <c r="E157" s="31">
        <f>VLOOKUP(B157,'Initial adjusted formula count'!$A$1:$P$317,12,FALSE)</f>
        <v>0.13468963468963499</v>
      </c>
      <c r="F157">
        <f>VLOOKUP(B157,'Model allocations'!$A$1:$L$317,11,FALSE)</f>
        <v>577116.37854444631</v>
      </c>
      <c r="G157" s="30">
        <f t="shared" si="55"/>
        <v>0.85</v>
      </c>
      <c r="H157">
        <f t="shared" si="56"/>
        <v>506086.41975562088</v>
      </c>
      <c r="I157">
        <f t="shared" si="38"/>
        <v>0</v>
      </c>
      <c r="J157">
        <f t="shared" si="39"/>
        <v>577116.37854444631</v>
      </c>
      <c r="K157">
        <f t="shared" si="40"/>
        <v>576774.81494959025</v>
      </c>
      <c r="L157">
        <f t="shared" si="41"/>
        <v>576774.81494959025</v>
      </c>
      <c r="M157">
        <f t="shared" si="42"/>
        <v>0</v>
      </c>
      <c r="N157" s="29">
        <f t="shared" si="43"/>
        <v>576774.81494959025</v>
      </c>
      <c r="O157" s="29">
        <f t="shared" si="44"/>
        <v>576731.05206050735</v>
      </c>
      <c r="P157" s="29">
        <f t="shared" si="45"/>
        <v>576731.05206050735</v>
      </c>
      <c r="Q157">
        <f t="shared" si="46"/>
        <v>0</v>
      </c>
      <c r="R157" s="29">
        <f t="shared" si="47"/>
        <v>576731.05206050735</v>
      </c>
      <c r="S157" s="29">
        <f t="shared" si="48"/>
        <v>576731.05206050689</v>
      </c>
      <c r="T157" s="29">
        <f t="shared" si="49"/>
        <v>576731.05206050689</v>
      </c>
      <c r="U157">
        <f t="shared" si="50"/>
        <v>0</v>
      </c>
      <c r="V157" s="29">
        <f t="shared" si="51"/>
        <v>576731.05206050689</v>
      </c>
      <c r="W157" s="29">
        <f t="shared" si="52"/>
        <v>576731.05206050689</v>
      </c>
      <c r="X157" s="29">
        <f t="shared" si="53"/>
        <v>576731.05206050689</v>
      </c>
      <c r="Y157">
        <f t="shared" si="54"/>
        <v>0</v>
      </c>
    </row>
    <row r="158" spans="1:25" x14ac:dyDescent="0.25">
      <c r="A158" s="4" t="s">
        <v>961</v>
      </c>
      <c r="B158" s="7" t="s">
        <v>286</v>
      </c>
      <c r="C158" s="2" t="s">
        <v>962</v>
      </c>
      <c r="D158">
        <f>VLOOKUP(B158,'Model allocations'!$A$1:$L$317,6,FALSE)</f>
        <v>1790712.9375284822</v>
      </c>
      <c r="E158" s="31">
        <f>VLOOKUP(B158,'Initial adjusted formula count'!$A$1:$P$317,12,FALSE)</f>
        <v>0.14421385860006999</v>
      </c>
      <c r="F158">
        <f>VLOOKUP(B158,'Model allocations'!$A$1:$L$317,11,FALSE)</f>
        <v>1957931.2803131046</v>
      </c>
      <c r="G158" s="30">
        <f t="shared" si="55"/>
        <v>0.85</v>
      </c>
      <c r="H158">
        <f t="shared" si="56"/>
        <v>1522105.9968992099</v>
      </c>
      <c r="I158">
        <f t="shared" si="38"/>
        <v>0</v>
      </c>
      <c r="J158">
        <f t="shared" si="39"/>
        <v>1957931.2803131046</v>
      </c>
      <c r="K158">
        <f t="shared" si="40"/>
        <v>1956772.4879595211</v>
      </c>
      <c r="L158">
        <f t="shared" si="41"/>
        <v>1956772.4879595211</v>
      </c>
      <c r="M158">
        <f t="shared" si="42"/>
        <v>0</v>
      </c>
      <c r="N158" s="29">
        <f t="shared" si="43"/>
        <v>1956772.4879595211</v>
      </c>
      <c r="O158" s="29">
        <f t="shared" si="44"/>
        <v>1956624.017507741</v>
      </c>
      <c r="P158" s="29">
        <f t="shared" si="45"/>
        <v>1956624.017507741</v>
      </c>
      <c r="Q158">
        <f t="shared" si="46"/>
        <v>0</v>
      </c>
      <c r="R158" s="29">
        <f t="shared" si="47"/>
        <v>1956624.017507741</v>
      </c>
      <c r="S158" s="29">
        <f t="shared" si="48"/>
        <v>1956624.0175077394</v>
      </c>
      <c r="T158" s="29">
        <f t="shared" si="49"/>
        <v>1956624.0175077394</v>
      </c>
      <c r="U158">
        <f t="shared" si="50"/>
        <v>0</v>
      </c>
      <c r="V158" s="29">
        <f t="shared" si="51"/>
        <v>1956624.0175077394</v>
      </c>
      <c r="W158" s="29">
        <f t="shared" si="52"/>
        <v>1956624.0175077394</v>
      </c>
      <c r="X158" s="29">
        <f t="shared" si="53"/>
        <v>1956624.0175077394</v>
      </c>
      <c r="Y158">
        <f t="shared" si="54"/>
        <v>0</v>
      </c>
    </row>
    <row r="159" spans="1:25" x14ac:dyDescent="0.25">
      <c r="A159" s="4" t="s">
        <v>963</v>
      </c>
      <c r="B159" s="7" t="s">
        <v>485</v>
      </c>
      <c r="C159" s="2" t="s">
        <v>964</v>
      </c>
      <c r="D159">
        <f>VLOOKUP(B159,'Model allocations'!$A$1:$L$317,6,FALSE)</f>
        <v>123887.57962999133</v>
      </c>
      <c r="E159" s="31">
        <f>VLOOKUP(B159,'Initial adjusted formula count'!$A$1:$P$317,12,FALSE)</f>
        <v>0.108426270136307</v>
      </c>
      <c r="F159">
        <f>VLOOKUP(B159,'Model allocations'!$A$1:$L$317,11,FALSE)</f>
        <v>105304.44268549263</v>
      </c>
      <c r="G159" s="30">
        <f t="shared" si="55"/>
        <v>0.85</v>
      </c>
      <c r="H159">
        <f t="shared" si="56"/>
        <v>105304.44268549263</v>
      </c>
      <c r="I159">
        <f t="shared" si="38"/>
        <v>0</v>
      </c>
      <c r="J159">
        <f t="shared" si="39"/>
        <v>105304.44268549263</v>
      </c>
      <c r="K159">
        <f t="shared" si="40"/>
        <v>105242.11874991364</v>
      </c>
      <c r="L159">
        <f t="shared" si="41"/>
        <v>105242.11874991364</v>
      </c>
      <c r="M159">
        <f t="shared" si="42"/>
        <v>105304.44268549263</v>
      </c>
      <c r="N159" s="29">
        <f t="shared" si="43"/>
        <v>0</v>
      </c>
      <c r="O159" s="29">
        <f t="shared" si="44"/>
        <v>0</v>
      </c>
      <c r="P159" s="29">
        <f t="shared" si="45"/>
        <v>105304.44268549263</v>
      </c>
      <c r="Q159">
        <f t="shared" si="46"/>
        <v>0</v>
      </c>
      <c r="R159" s="29">
        <f t="shared" si="47"/>
        <v>0</v>
      </c>
      <c r="S159" s="29">
        <f t="shared" si="48"/>
        <v>0</v>
      </c>
      <c r="T159" s="29">
        <f t="shared" si="49"/>
        <v>105304.44268549263</v>
      </c>
      <c r="U159">
        <f t="shared" si="50"/>
        <v>0</v>
      </c>
      <c r="V159" s="29">
        <f t="shared" si="51"/>
        <v>0</v>
      </c>
      <c r="W159" s="29">
        <f t="shared" si="52"/>
        <v>0</v>
      </c>
      <c r="X159" s="29">
        <f t="shared" si="53"/>
        <v>105304.44268549263</v>
      </c>
      <c r="Y159">
        <f t="shared" si="54"/>
        <v>0</v>
      </c>
    </row>
    <row r="160" spans="1:25" x14ac:dyDescent="0.25">
      <c r="A160" s="4" t="s">
        <v>965</v>
      </c>
      <c r="B160" s="7" t="s">
        <v>487</v>
      </c>
      <c r="C160" s="2" t="s">
        <v>966</v>
      </c>
      <c r="D160">
        <f>VLOOKUP(B160,'Model allocations'!$A$1:$L$317,6,FALSE)</f>
        <v>39780.615224872839</v>
      </c>
      <c r="E160" s="31">
        <f>VLOOKUP(B160,'Initial adjusted formula count'!$A$1:$P$317,12,FALSE)</f>
        <v>0.11210191082802499</v>
      </c>
      <c r="F160">
        <f>VLOOKUP(B160,'Model allocations'!$A$1:$L$317,11,FALSE)</f>
        <v>50035.705726020962</v>
      </c>
      <c r="G160" s="30">
        <f t="shared" si="55"/>
        <v>0.85</v>
      </c>
      <c r="H160">
        <f t="shared" si="56"/>
        <v>33813.522941141913</v>
      </c>
      <c r="I160">
        <f t="shared" si="38"/>
        <v>0</v>
      </c>
      <c r="J160">
        <f t="shared" si="39"/>
        <v>50035.705726020962</v>
      </c>
      <c r="K160">
        <f t="shared" si="40"/>
        <v>50006.092330604864</v>
      </c>
      <c r="L160">
        <f t="shared" si="41"/>
        <v>50006.092330604864</v>
      </c>
      <c r="M160">
        <f t="shared" si="42"/>
        <v>0</v>
      </c>
      <c r="N160" s="29">
        <f t="shared" si="43"/>
        <v>50006.092330604864</v>
      </c>
      <c r="O160" s="29">
        <f t="shared" si="44"/>
        <v>50002.298109679454</v>
      </c>
      <c r="P160" s="29">
        <f t="shared" si="45"/>
        <v>50002.298109679454</v>
      </c>
      <c r="Q160">
        <f t="shared" si="46"/>
        <v>0</v>
      </c>
      <c r="R160" s="29">
        <f t="shared" si="47"/>
        <v>50002.298109679454</v>
      </c>
      <c r="S160" s="29">
        <f t="shared" si="48"/>
        <v>50002.298109679417</v>
      </c>
      <c r="T160" s="29">
        <f t="shared" si="49"/>
        <v>50002.298109679417</v>
      </c>
      <c r="U160">
        <f t="shared" si="50"/>
        <v>0</v>
      </c>
      <c r="V160" s="29">
        <f t="shared" si="51"/>
        <v>50002.298109679417</v>
      </c>
      <c r="W160" s="29">
        <f t="shared" si="52"/>
        <v>50002.298109679417</v>
      </c>
      <c r="X160" s="29">
        <f t="shared" si="53"/>
        <v>50002.298109679417</v>
      </c>
      <c r="Y160">
        <f t="shared" si="54"/>
        <v>0</v>
      </c>
    </row>
    <row r="161" spans="1:25" x14ac:dyDescent="0.25">
      <c r="A161" s="4" t="s">
        <v>967</v>
      </c>
      <c r="B161" s="7" t="s">
        <v>489</v>
      </c>
      <c r="C161" s="2" t="s">
        <v>968</v>
      </c>
      <c r="D161">
        <f>VLOOKUP(B161,'Model allocations'!$A$1:$L$317,6,FALSE)</f>
        <v>22094.871349433746</v>
      </c>
      <c r="E161" s="31">
        <f>VLOOKUP(B161,'Initial adjusted formula count'!$A$1:$P$317,12,FALSE)</f>
        <v>0.119402985074627</v>
      </c>
      <c r="F161">
        <f>VLOOKUP(B161,'Model allocations'!$A$1:$L$317,11,FALSE)</f>
        <v>22743.5026027368</v>
      </c>
      <c r="G161" s="30">
        <f t="shared" si="55"/>
        <v>0.85</v>
      </c>
      <c r="H161">
        <f t="shared" si="56"/>
        <v>18780.640647018685</v>
      </c>
      <c r="I161">
        <f t="shared" si="38"/>
        <v>0</v>
      </c>
      <c r="J161">
        <f t="shared" si="39"/>
        <v>22743.5026027368</v>
      </c>
      <c r="K161">
        <f t="shared" si="40"/>
        <v>22730.041968456757</v>
      </c>
      <c r="L161">
        <f t="shared" si="41"/>
        <v>22730.041968456757</v>
      </c>
      <c r="M161">
        <f t="shared" si="42"/>
        <v>0</v>
      </c>
      <c r="N161" s="29">
        <f t="shared" si="43"/>
        <v>22730.041968456757</v>
      </c>
      <c r="O161" s="29">
        <f t="shared" si="44"/>
        <v>22728.317322581574</v>
      </c>
      <c r="P161" s="29">
        <f t="shared" si="45"/>
        <v>22728.317322581574</v>
      </c>
      <c r="Q161">
        <f t="shared" si="46"/>
        <v>0</v>
      </c>
      <c r="R161" s="29">
        <f t="shared" si="47"/>
        <v>22728.317322581574</v>
      </c>
      <c r="S161" s="29">
        <f t="shared" si="48"/>
        <v>22728.317322581555</v>
      </c>
      <c r="T161" s="29">
        <f t="shared" si="49"/>
        <v>22728.317322581555</v>
      </c>
      <c r="U161">
        <f t="shared" si="50"/>
        <v>0</v>
      </c>
      <c r="V161" s="29">
        <f t="shared" si="51"/>
        <v>22728.317322581555</v>
      </c>
      <c r="W161" s="29">
        <f t="shared" si="52"/>
        <v>22728.317322581555</v>
      </c>
      <c r="X161" s="29">
        <f t="shared" si="53"/>
        <v>22728.317322581555</v>
      </c>
      <c r="Y161">
        <f t="shared" si="54"/>
        <v>0</v>
      </c>
    </row>
    <row r="162" spans="1:25" x14ac:dyDescent="0.25">
      <c r="A162" s="4" t="s">
        <v>969</v>
      </c>
      <c r="B162" s="7" t="s">
        <v>491</v>
      </c>
      <c r="C162" s="2" t="s">
        <v>970</v>
      </c>
      <c r="D162">
        <f>VLOOKUP(B162,'Model allocations'!$A$1:$L$317,6,FALSE)</f>
        <v>55711.636435643173</v>
      </c>
      <c r="E162" s="31">
        <f>VLOOKUP(B162,'Initial adjusted formula count'!$A$1:$P$317,12,FALSE)</f>
        <v>0.284552845528455</v>
      </c>
      <c r="F162">
        <f>VLOOKUP(B162,'Model allocations'!$A$1:$L$317,11,FALSE)</f>
        <v>59964.353357867432</v>
      </c>
      <c r="G162" s="30">
        <f t="shared" si="55"/>
        <v>0.9</v>
      </c>
      <c r="H162">
        <f t="shared" si="56"/>
        <v>50140.472792078857</v>
      </c>
      <c r="I162">
        <f t="shared" si="38"/>
        <v>0</v>
      </c>
      <c r="J162">
        <f t="shared" si="39"/>
        <v>59964.353357867432</v>
      </c>
      <c r="K162">
        <f t="shared" si="40"/>
        <v>59928.86373938217</v>
      </c>
      <c r="L162">
        <f t="shared" si="41"/>
        <v>59928.86373938217</v>
      </c>
      <c r="M162">
        <f t="shared" si="42"/>
        <v>0</v>
      </c>
      <c r="N162" s="29">
        <f t="shared" si="43"/>
        <v>59928.86373938217</v>
      </c>
      <c r="O162" s="29">
        <f t="shared" si="44"/>
        <v>59924.316626455759</v>
      </c>
      <c r="P162" s="29">
        <f t="shared" si="45"/>
        <v>59924.316626455759</v>
      </c>
      <c r="Q162">
        <f t="shared" si="46"/>
        <v>0</v>
      </c>
      <c r="R162" s="29">
        <f t="shared" si="47"/>
        <v>59924.316626455759</v>
      </c>
      <c r="S162" s="29">
        <f t="shared" si="48"/>
        <v>59924.316626455708</v>
      </c>
      <c r="T162" s="29">
        <f t="shared" si="49"/>
        <v>59924.316626455708</v>
      </c>
      <c r="U162">
        <f t="shared" si="50"/>
        <v>0</v>
      </c>
      <c r="V162" s="29">
        <f t="shared" si="51"/>
        <v>59924.316626455708</v>
      </c>
      <c r="W162" s="29">
        <f t="shared" si="52"/>
        <v>59924.316626455708</v>
      </c>
      <c r="X162" s="29">
        <f t="shared" si="53"/>
        <v>59924.316626455708</v>
      </c>
      <c r="Y162">
        <f t="shared" si="54"/>
        <v>0</v>
      </c>
    </row>
    <row r="163" spans="1:25" x14ac:dyDescent="0.25">
      <c r="A163" s="4" t="s">
        <v>971</v>
      </c>
      <c r="B163" s="7" t="s">
        <v>493</v>
      </c>
      <c r="C163" s="2" t="s">
        <v>972</v>
      </c>
      <c r="D163">
        <f>VLOOKUP(B163,'Model allocations'!$A$1:$L$317,6,FALSE)</f>
        <v>197708.55611312875</v>
      </c>
      <c r="E163" s="31">
        <f>VLOOKUP(B163,'Initial adjusted formula count'!$A$1:$P$317,12,FALSE)</f>
        <v>0.19440559440559399</v>
      </c>
      <c r="F163">
        <f>VLOOKUP(B163,'Model allocations'!$A$1:$L$317,11,FALSE)</f>
        <v>181609.42692689612</v>
      </c>
      <c r="G163" s="30">
        <f t="shared" si="55"/>
        <v>0.9</v>
      </c>
      <c r="H163">
        <f t="shared" si="56"/>
        <v>177937.70050181588</v>
      </c>
      <c r="I163">
        <f t="shared" si="38"/>
        <v>0</v>
      </c>
      <c r="J163">
        <f t="shared" si="39"/>
        <v>181609.42692689612</v>
      </c>
      <c r="K163">
        <f t="shared" si="40"/>
        <v>181501.94224784861</v>
      </c>
      <c r="L163">
        <f t="shared" si="41"/>
        <v>181501.94224784861</v>
      </c>
      <c r="M163">
        <f t="shared" si="42"/>
        <v>0</v>
      </c>
      <c r="N163" s="29">
        <f t="shared" si="43"/>
        <v>181501.94224784861</v>
      </c>
      <c r="O163" s="29">
        <f t="shared" si="44"/>
        <v>181488.17075651258</v>
      </c>
      <c r="P163" s="29">
        <f t="shared" si="45"/>
        <v>181488.17075651258</v>
      </c>
      <c r="Q163">
        <f t="shared" si="46"/>
        <v>0</v>
      </c>
      <c r="R163" s="29">
        <f t="shared" si="47"/>
        <v>181488.17075651258</v>
      </c>
      <c r="S163" s="29">
        <f t="shared" si="48"/>
        <v>181488.17075651244</v>
      </c>
      <c r="T163" s="29">
        <f t="shared" si="49"/>
        <v>181488.17075651244</v>
      </c>
      <c r="U163">
        <f t="shared" si="50"/>
        <v>0</v>
      </c>
      <c r="V163" s="29">
        <f t="shared" si="51"/>
        <v>181488.17075651244</v>
      </c>
      <c r="W163" s="29">
        <f t="shared" si="52"/>
        <v>181488.17075651244</v>
      </c>
      <c r="X163" s="29">
        <f t="shared" si="53"/>
        <v>181488.17075651244</v>
      </c>
      <c r="Y163">
        <f t="shared" si="54"/>
        <v>0</v>
      </c>
    </row>
    <row r="164" spans="1:25" x14ac:dyDescent="0.25">
      <c r="A164" s="4" t="s">
        <v>973</v>
      </c>
      <c r="B164" s="7" t="s">
        <v>495</v>
      </c>
      <c r="C164" s="2" t="s">
        <v>974</v>
      </c>
      <c r="D164">
        <f>VLOOKUP(B164,'Model allocations'!$A$1:$L$317,6,FALSE)</f>
        <v>115663.84652000164</v>
      </c>
      <c r="E164" s="31">
        <f>VLOOKUP(B164,'Initial adjusted formula count'!$A$1:$P$317,12,FALSE)</f>
        <v>7.3697585768741997E-2</v>
      </c>
      <c r="F164">
        <f>VLOOKUP(B164,'Model allocations'!$A$1:$L$317,11,FALSE)</f>
        <v>98314.269542001392</v>
      </c>
      <c r="G164" s="30">
        <f t="shared" si="55"/>
        <v>0.85</v>
      </c>
      <c r="H164">
        <f t="shared" si="56"/>
        <v>98314.269542001392</v>
      </c>
      <c r="I164">
        <f t="shared" si="38"/>
        <v>0</v>
      </c>
      <c r="J164">
        <f t="shared" si="39"/>
        <v>98314.269542001392</v>
      </c>
      <c r="K164">
        <f t="shared" si="40"/>
        <v>98256.08270728511</v>
      </c>
      <c r="L164">
        <f t="shared" si="41"/>
        <v>98256.08270728511</v>
      </c>
      <c r="M164">
        <f t="shared" si="42"/>
        <v>98314.269542001392</v>
      </c>
      <c r="N164" s="29">
        <f t="shared" si="43"/>
        <v>0</v>
      </c>
      <c r="O164" s="29">
        <f t="shared" si="44"/>
        <v>0</v>
      </c>
      <c r="P164" s="29">
        <f t="shared" si="45"/>
        <v>98314.269542001392</v>
      </c>
      <c r="Q164">
        <f t="shared" si="46"/>
        <v>0</v>
      </c>
      <c r="R164" s="29">
        <f t="shared" si="47"/>
        <v>0</v>
      </c>
      <c r="S164" s="29">
        <f t="shared" si="48"/>
        <v>0</v>
      </c>
      <c r="T164" s="29">
        <f t="shared" si="49"/>
        <v>98314.269542001392</v>
      </c>
      <c r="U164">
        <f t="shared" si="50"/>
        <v>0</v>
      </c>
      <c r="V164" s="29">
        <f t="shared" si="51"/>
        <v>0</v>
      </c>
      <c r="W164" s="29">
        <f t="shared" si="52"/>
        <v>0</v>
      </c>
      <c r="X164" s="29">
        <f t="shared" si="53"/>
        <v>98314.269542001392</v>
      </c>
      <c r="Y164">
        <f t="shared" si="54"/>
        <v>0</v>
      </c>
    </row>
    <row r="165" spans="1:25" x14ac:dyDescent="0.25">
      <c r="A165" s="4" t="s">
        <v>975</v>
      </c>
      <c r="B165" s="7" t="s">
        <v>177</v>
      </c>
      <c r="C165" s="2" t="s">
        <v>976</v>
      </c>
      <c r="D165">
        <f>VLOOKUP(B165,'Model allocations'!$A$1:$L$317,6,FALSE)</f>
        <v>139013.56557352067</v>
      </c>
      <c r="E165" s="31">
        <f>VLOOKUP(B165,'Initial adjusted formula count'!$A$1:$P$317,12,FALSE)</f>
        <v>0.11236462093862799</v>
      </c>
      <c r="F165">
        <f>VLOOKUP(B165,'Model allocations'!$A$1:$L$317,11,FALSE)</f>
        <v>141578.30370203656</v>
      </c>
      <c r="G165" s="30">
        <f t="shared" si="55"/>
        <v>0.85</v>
      </c>
      <c r="H165">
        <f t="shared" si="56"/>
        <v>118161.53073749256</v>
      </c>
      <c r="I165">
        <f t="shared" si="38"/>
        <v>0</v>
      </c>
      <c r="J165">
        <f t="shared" si="39"/>
        <v>141578.30370203656</v>
      </c>
      <c r="K165">
        <f t="shared" si="40"/>
        <v>141494.51125364329</v>
      </c>
      <c r="L165">
        <f t="shared" si="41"/>
        <v>141494.51125364329</v>
      </c>
      <c r="M165">
        <f t="shared" si="42"/>
        <v>0</v>
      </c>
      <c r="N165" s="29">
        <f t="shared" si="43"/>
        <v>141494.51125364329</v>
      </c>
      <c r="O165" s="29">
        <f t="shared" si="44"/>
        <v>141483.77533307025</v>
      </c>
      <c r="P165" s="29">
        <f t="shared" si="45"/>
        <v>141483.77533307025</v>
      </c>
      <c r="Q165">
        <f t="shared" si="46"/>
        <v>0</v>
      </c>
      <c r="R165" s="29">
        <f t="shared" si="47"/>
        <v>141483.77533307025</v>
      </c>
      <c r="S165" s="29">
        <f t="shared" si="48"/>
        <v>141483.77533307014</v>
      </c>
      <c r="T165" s="29">
        <f t="shared" si="49"/>
        <v>141483.77533307014</v>
      </c>
      <c r="U165">
        <f t="shared" si="50"/>
        <v>0</v>
      </c>
      <c r="V165" s="29">
        <f t="shared" si="51"/>
        <v>141483.77533307014</v>
      </c>
      <c r="W165" s="29">
        <f t="shared" si="52"/>
        <v>141483.77533307014</v>
      </c>
      <c r="X165" s="29">
        <f t="shared" si="53"/>
        <v>141483.77533307014</v>
      </c>
      <c r="Y165">
        <f t="shared" si="54"/>
        <v>0</v>
      </c>
    </row>
    <row r="166" spans="1:25" x14ac:dyDescent="0.25">
      <c r="A166" s="4" t="s">
        <v>977</v>
      </c>
      <c r="B166" s="7" t="s">
        <v>497</v>
      </c>
      <c r="C166" s="2" t="s">
        <v>978</v>
      </c>
      <c r="D166">
        <f>VLOOKUP(B166,'Model allocations'!$A$1:$L$317,6,FALSE)</f>
        <v>113863.13692669111</v>
      </c>
      <c r="E166" s="31">
        <f>VLOOKUP(B166,'Initial adjusted formula count'!$A$1:$P$317,12,FALSE)</f>
        <v>0.182978723404255</v>
      </c>
      <c r="F166">
        <f>VLOOKUP(B166,'Model allocations'!$A$1:$L$317,11,FALSE)</f>
        <v>102476.823234022</v>
      </c>
      <c r="G166" s="30">
        <f t="shared" si="55"/>
        <v>0.9</v>
      </c>
      <c r="H166">
        <f t="shared" si="56"/>
        <v>102476.823234022</v>
      </c>
      <c r="I166">
        <f t="shared" si="38"/>
        <v>0</v>
      </c>
      <c r="J166">
        <f t="shared" si="39"/>
        <v>102476.823234022</v>
      </c>
      <c r="K166">
        <f t="shared" si="40"/>
        <v>102416.172811621</v>
      </c>
      <c r="L166">
        <f t="shared" si="41"/>
        <v>102416.172811621</v>
      </c>
      <c r="M166">
        <f t="shared" si="42"/>
        <v>102476.823234022</v>
      </c>
      <c r="N166" s="29">
        <f t="shared" si="43"/>
        <v>0</v>
      </c>
      <c r="O166" s="29">
        <f t="shared" si="44"/>
        <v>0</v>
      </c>
      <c r="P166" s="29">
        <f t="shared" si="45"/>
        <v>102476.823234022</v>
      </c>
      <c r="Q166">
        <f t="shared" si="46"/>
        <v>0</v>
      </c>
      <c r="R166" s="29">
        <f t="shared" si="47"/>
        <v>0</v>
      </c>
      <c r="S166" s="29">
        <f t="shared" si="48"/>
        <v>0</v>
      </c>
      <c r="T166" s="29">
        <f t="shared" si="49"/>
        <v>102476.823234022</v>
      </c>
      <c r="U166">
        <f t="shared" si="50"/>
        <v>0</v>
      </c>
      <c r="V166" s="29">
        <f t="shared" si="51"/>
        <v>0</v>
      </c>
      <c r="W166" s="29">
        <f t="shared" si="52"/>
        <v>0</v>
      </c>
      <c r="X166" s="29">
        <f t="shared" si="53"/>
        <v>102476.823234022</v>
      </c>
      <c r="Y166">
        <f t="shared" si="54"/>
        <v>0</v>
      </c>
    </row>
    <row r="167" spans="1:25" x14ac:dyDescent="0.25">
      <c r="A167" s="4" t="s">
        <v>979</v>
      </c>
      <c r="B167" s="7" t="s">
        <v>499</v>
      </c>
      <c r="C167" s="2" t="s">
        <v>980</v>
      </c>
      <c r="D167">
        <f>VLOOKUP(B167,'Model allocations'!$A$1:$L$317,6,FALSE)</f>
        <v>263696.49518707505</v>
      </c>
      <c r="E167" s="31">
        <f>VLOOKUP(B167,'Initial adjusted formula count'!$A$1:$P$317,12,FALSE)</f>
        <v>8.9673913043478201E-2</v>
      </c>
      <c r="F167">
        <f>VLOOKUP(B167,'Model allocations'!$A$1:$L$317,11,FALSE)</f>
        <v>224142.02090901378</v>
      </c>
      <c r="G167" s="30">
        <f t="shared" si="55"/>
        <v>0.85</v>
      </c>
      <c r="H167">
        <f t="shared" si="56"/>
        <v>224142.02090901378</v>
      </c>
      <c r="I167">
        <f t="shared" si="38"/>
        <v>0</v>
      </c>
      <c r="J167">
        <f t="shared" si="39"/>
        <v>224142.02090901378</v>
      </c>
      <c r="K167">
        <f t="shared" si="40"/>
        <v>224009.36351569372</v>
      </c>
      <c r="L167">
        <f t="shared" si="41"/>
        <v>224009.36351569372</v>
      </c>
      <c r="M167">
        <f t="shared" si="42"/>
        <v>224142.02090901378</v>
      </c>
      <c r="N167" s="29">
        <f t="shared" si="43"/>
        <v>0</v>
      </c>
      <c r="O167" s="29">
        <f t="shared" si="44"/>
        <v>0</v>
      </c>
      <c r="P167" s="29">
        <f t="shared" si="45"/>
        <v>224142.02090901378</v>
      </c>
      <c r="Q167">
        <f t="shared" si="46"/>
        <v>0</v>
      </c>
      <c r="R167" s="29">
        <f t="shared" si="47"/>
        <v>0</v>
      </c>
      <c r="S167" s="29">
        <f t="shared" si="48"/>
        <v>0</v>
      </c>
      <c r="T167" s="29">
        <f t="shared" si="49"/>
        <v>224142.02090901378</v>
      </c>
      <c r="U167">
        <f t="shared" si="50"/>
        <v>0</v>
      </c>
      <c r="V167" s="29">
        <f t="shared" si="51"/>
        <v>0</v>
      </c>
      <c r="W167" s="29">
        <f t="shared" si="52"/>
        <v>0</v>
      </c>
      <c r="X167" s="29">
        <f t="shared" si="53"/>
        <v>224142.02090901378</v>
      </c>
      <c r="Y167">
        <f t="shared" si="54"/>
        <v>0</v>
      </c>
    </row>
    <row r="168" spans="1:25" x14ac:dyDescent="0.25">
      <c r="A168" s="4" t="s">
        <v>981</v>
      </c>
      <c r="B168" s="7" t="s">
        <v>179</v>
      </c>
      <c r="C168" s="2" t="s">
        <v>982</v>
      </c>
      <c r="D168">
        <f>VLOOKUP(B168,'Model allocations'!$A$1:$L$317,6,FALSE)</f>
        <v>323578.51848563948</v>
      </c>
      <c r="E168" s="31">
        <f>VLOOKUP(B168,'Initial adjusted formula count'!$A$1:$P$317,12,FALSE)</f>
        <v>6.9692737430167601E-2</v>
      </c>
      <c r="F168">
        <f>VLOOKUP(B168,'Model allocations'!$A$1:$L$317,11,FALSE)</f>
        <v>283725.19496914151</v>
      </c>
      <c r="G168" s="30">
        <f t="shared" si="55"/>
        <v>0.85</v>
      </c>
      <c r="H168">
        <f t="shared" si="56"/>
        <v>275041.74071279354</v>
      </c>
      <c r="I168">
        <f t="shared" si="38"/>
        <v>0</v>
      </c>
      <c r="J168">
        <f t="shared" si="39"/>
        <v>283725.19496914151</v>
      </c>
      <c r="K168">
        <f t="shared" si="40"/>
        <v>283557.27355649794</v>
      </c>
      <c r="L168">
        <f t="shared" si="41"/>
        <v>283557.27355649794</v>
      </c>
      <c r="M168">
        <f t="shared" si="42"/>
        <v>0</v>
      </c>
      <c r="N168" s="29">
        <f t="shared" si="43"/>
        <v>283557.27355649794</v>
      </c>
      <c r="O168" s="29">
        <f t="shared" si="44"/>
        <v>283535.758599205</v>
      </c>
      <c r="P168" s="29">
        <f t="shared" si="45"/>
        <v>283535.758599205</v>
      </c>
      <c r="Q168">
        <f t="shared" si="46"/>
        <v>0</v>
      </c>
      <c r="R168" s="29">
        <f t="shared" si="47"/>
        <v>283535.758599205</v>
      </c>
      <c r="S168" s="29">
        <f t="shared" si="48"/>
        <v>283535.75859920477</v>
      </c>
      <c r="T168" s="29">
        <f t="shared" si="49"/>
        <v>283535.75859920477</v>
      </c>
      <c r="U168">
        <f t="shared" si="50"/>
        <v>0</v>
      </c>
      <c r="V168" s="29">
        <f t="shared" si="51"/>
        <v>283535.75859920477</v>
      </c>
      <c r="W168" s="29">
        <f t="shared" si="52"/>
        <v>283535.75859920477</v>
      </c>
      <c r="X168" s="29">
        <f t="shared" si="53"/>
        <v>283535.75859920477</v>
      </c>
      <c r="Y168">
        <f t="shared" si="54"/>
        <v>0</v>
      </c>
    </row>
    <row r="169" spans="1:25" x14ac:dyDescent="0.25">
      <c r="A169" s="4" t="s">
        <v>983</v>
      </c>
      <c r="B169" s="7" t="s">
        <v>501</v>
      </c>
      <c r="C169" s="2" t="s">
        <v>984</v>
      </c>
      <c r="D169">
        <f>VLOOKUP(B169,'Model allocations'!$A$1:$L$317,6,FALSE)</f>
        <v>194033.97174925587</v>
      </c>
      <c r="E169" s="31">
        <f>VLOOKUP(B169,'Initial adjusted formula count'!$A$1:$P$317,12,FALSE)</f>
        <v>0.150242326332795</v>
      </c>
      <c r="F169">
        <f>VLOOKUP(B169,'Model allocations'!$A$1:$L$317,11,FALSE)</f>
        <v>211514.5742054522</v>
      </c>
      <c r="G169" s="30">
        <f t="shared" si="55"/>
        <v>0.9</v>
      </c>
      <c r="H169">
        <f t="shared" si="56"/>
        <v>174630.5745743303</v>
      </c>
      <c r="I169">
        <f t="shared" si="38"/>
        <v>0</v>
      </c>
      <c r="J169">
        <f t="shared" si="39"/>
        <v>211514.5742054522</v>
      </c>
      <c r="K169">
        <f t="shared" si="40"/>
        <v>211389.39030664778</v>
      </c>
      <c r="L169">
        <f t="shared" si="41"/>
        <v>211389.39030664778</v>
      </c>
      <c r="M169">
        <f t="shared" si="42"/>
        <v>0</v>
      </c>
      <c r="N169" s="29">
        <f t="shared" si="43"/>
        <v>211389.39030664778</v>
      </c>
      <c r="O169" s="29">
        <f t="shared" si="44"/>
        <v>211373.35110000853</v>
      </c>
      <c r="P169" s="29">
        <f t="shared" si="45"/>
        <v>211373.35110000853</v>
      </c>
      <c r="Q169">
        <f t="shared" si="46"/>
        <v>0</v>
      </c>
      <c r="R169" s="29">
        <f t="shared" si="47"/>
        <v>211373.35110000853</v>
      </c>
      <c r="S169" s="29">
        <f t="shared" si="48"/>
        <v>211373.35110000835</v>
      </c>
      <c r="T169" s="29">
        <f t="shared" si="49"/>
        <v>211373.35110000835</v>
      </c>
      <c r="U169">
        <f t="shared" si="50"/>
        <v>0</v>
      </c>
      <c r="V169" s="29">
        <f t="shared" si="51"/>
        <v>211373.35110000835</v>
      </c>
      <c r="W169" s="29">
        <f t="shared" si="52"/>
        <v>211373.35110000835</v>
      </c>
      <c r="X169" s="29">
        <f t="shared" si="53"/>
        <v>211373.35110000835</v>
      </c>
      <c r="Y169">
        <f t="shared" si="54"/>
        <v>0</v>
      </c>
    </row>
    <row r="170" spans="1:25" x14ac:dyDescent="0.25">
      <c r="A170" s="4" t="s">
        <v>985</v>
      </c>
      <c r="B170" s="7" t="s">
        <v>503</v>
      </c>
      <c r="C170" s="2" t="s">
        <v>986</v>
      </c>
      <c r="D170">
        <f>VLOOKUP(B170,'Model allocations'!$A$1:$L$317,6,FALSE)</f>
        <v>0</v>
      </c>
      <c r="E170" s="31">
        <f>VLOOKUP(B170,'Initial adjusted formula count'!$A$1:$P$317,12,FALSE)</f>
        <v>0.19607843137254899</v>
      </c>
      <c r="F170">
        <f>VLOOKUP(B170,'Model allocations'!$A$1:$L$317,11,FALSE)</f>
        <v>6561.870082806864</v>
      </c>
      <c r="G170" s="30">
        <f t="shared" si="55"/>
        <v>0.9</v>
      </c>
      <c r="H170">
        <f t="shared" si="56"/>
        <v>0</v>
      </c>
      <c r="I170">
        <f t="shared" si="38"/>
        <v>0</v>
      </c>
      <c r="J170">
        <f t="shared" si="39"/>
        <v>6561.870082806864</v>
      </c>
      <c r="K170">
        <f t="shared" si="40"/>
        <v>6557.9864710817646</v>
      </c>
      <c r="L170">
        <f t="shared" si="41"/>
        <v>6557.9864710817646</v>
      </c>
      <c r="M170">
        <f t="shared" si="42"/>
        <v>0</v>
      </c>
      <c r="N170" s="29">
        <f t="shared" si="43"/>
        <v>6557.9864710817646</v>
      </c>
      <c r="O170" s="29">
        <f t="shared" si="44"/>
        <v>6557.4888827212781</v>
      </c>
      <c r="P170" s="29">
        <f t="shared" si="45"/>
        <v>6557.4888827212781</v>
      </c>
      <c r="Q170">
        <f t="shared" si="46"/>
        <v>0</v>
      </c>
      <c r="R170" s="29">
        <f t="shared" si="47"/>
        <v>6557.4888827212781</v>
      </c>
      <c r="S170" s="29">
        <f t="shared" si="48"/>
        <v>6557.4888827212726</v>
      </c>
      <c r="T170" s="29">
        <f t="shared" si="49"/>
        <v>6557.4888827212726</v>
      </c>
      <c r="U170">
        <f t="shared" si="50"/>
        <v>0</v>
      </c>
      <c r="V170" s="29">
        <f t="shared" si="51"/>
        <v>6557.4888827212726</v>
      </c>
      <c r="W170" s="29">
        <f t="shared" si="52"/>
        <v>6557.4888827212726</v>
      </c>
      <c r="X170" s="29">
        <f t="shared" si="53"/>
        <v>6557.4888827212726</v>
      </c>
      <c r="Y170">
        <f t="shared" si="54"/>
        <v>0</v>
      </c>
    </row>
    <row r="171" spans="1:25" x14ac:dyDescent="0.25">
      <c r="A171" s="4" t="s">
        <v>987</v>
      </c>
      <c r="B171" s="7" t="s">
        <v>181</v>
      </c>
      <c r="C171" s="2" t="s">
        <v>988</v>
      </c>
      <c r="D171">
        <f>VLOOKUP(B171,'Model allocations'!$A$1:$L$317,6,FALSE)</f>
        <v>1101751.5536431181</v>
      </c>
      <c r="E171" s="31">
        <f>VLOOKUP(B171,'Initial adjusted formula count'!$A$1:$P$317,12,FALSE)</f>
        <v>9.4427153679018105E-2</v>
      </c>
      <c r="F171">
        <f>VLOOKUP(B171,'Model allocations'!$A$1:$L$317,11,FALSE)</f>
        <v>1174986.2032138899</v>
      </c>
      <c r="G171" s="30">
        <f t="shared" si="55"/>
        <v>0.85</v>
      </c>
      <c r="H171">
        <f t="shared" si="56"/>
        <v>936488.82059665036</v>
      </c>
      <c r="I171">
        <f t="shared" si="38"/>
        <v>0</v>
      </c>
      <c r="J171">
        <f t="shared" si="39"/>
        <v>1174986.2032138899</v>
      </c>
      <c r="K171">
        <f t="shared" si="40"/>
        <v>1174290.7931953971</v>
      </c>
      <c r="L171">
        <f t="shared" si="41"/>
        <v>1174290.7931953971</v>
      </c>
      <c r="M171">
        <f t="shared" si="42"/>
        <v>0</v>
      </c>
      <c r="N171" s="29">
        <f t="shared" si="43"/>
        <v>1174290.7931953971</v>
      </c>
      <c r="O171" s="29">
        <f t="shared" si="44"/>
        <v>1174201.6936778703</v>
      </c>
      <c r="P171" s="29">
        <f t="shared" si="45"/>
        <v>1174201.6936778703</v>
      </c>
      <c r="Q171">
        <f t="shared" si="46"/>
        <v>0</v>
      </c>
      <c r="R171" s="29">
        <f t="shared" si="47"/>
        <v>1174201.6936778703</v>
      </c>
      <c r="S171" s="29">
        <f t="shared" si="48"/>
        <v>1174201.6936778694</v>
      </c>
      <c r="T171" s="29">
        <f t="shared" si="49"/>
        <v>1174201.6936778694</v>
      </c>
      <c r="U171">
        <f t="shared" si="50"/>
        <v>0</v>
      </c>
      <c r="V171" s="29">
        <f t="shared" si="51"/>
        <v>1174201.6936778694</v>
      </c>
      <c r="W171" s="29">
        <f t="shared" si="52"/>
        <v>1174201.6936778694</v>
      </c>
      <c r="X171" s="29">
        <f t="shared" si="53"/>
        <v>1174201.6936778694</v>
      </c>
      <c r="Y171">
        <f t="shared" si="54"/>
        <v>0</v>
      </c>
    </row>
    <row r="172" spans="1:25" x14ac:dyDescent="0.25">
      <c r="A172" s="4" t="s">
        <v>989</v>
      </c>
      <c r="B172" s="7" t="s">
        <v>505</v>
      </c>
      <c r="C172" s="2" t="s">
        <v>990</v>
      </c>
      <c r="D172">
        <f>VLOOKUP(B172,'Model allocations'!$A$1:$L$317,6,FALSE)</f>
        <v>63925.496104453719</v>
      </c>
      <c r="E172" s="31">
        <f>VLOOKUP(B172,'Initial adjusted formula count'!$A$1:$P$317,12,FALSE)</f>
        <v>0.20704845814978001</v>
      </c>
      <c r="F172">
        <f>VLOOKUP(B172,'Model allocations'!$A$1:$L$317,11,FALSE)</f>
        <v>57532.946494008349</v>
      </c>
      <c r="G172" s="30">
        <f t="shared" si="55"/>
        <v>0.9</v>
      </c>
      <c r="H172">
        <f t="shared" si="56"/>
        <v>57532.946494008349</v>
      </c>
      <c r="I172">
        <f t="shared" si="38"/>
        <v>0</v>
      </c>
      <c r="J172">
        <f t="shared" si="39"/>
        <v>57532.946494008349</v>
      </c>
      <c r="K172">
        <f t="shared" si="40"/>
        <v>57498.895892157954</v>
      </c>
      <c r="L172">
        <f t="shared" si="41"/>
        <v>57498.895892157954</v>
      </c>
      <c r="M172">
        <f t="shared" si="42"/>
        <v>57532.946494008349</v>
      </c>
      <c r="N172" s="29">
        <f t="shared" si="43"/>
        <v>0</v>
      </c>
      <c r="O172" s="29">
        <f t="shared" si="44"/>
        <v>0</v>
      </c>
      <c r="P172" s="29">
        <f t="shared" si="45"/>
        <v>57532.946494008349</v>
      </c>
      <c r="Q172">
        <f t="shared" si="46"/>
        <v>0</v>
      </c>
      <c r="R172" s="29">
        <f t="shared" si="47"/>
        <v>0</v>
      </c>
      <c r="S172" s="29">
        <f t="shared" si="48"/>
        <v>0</v>
      </c>
      <c r="T172" s="29">
        <f t="shared" si="49"/>
        <v>57532.946494008349</v>
      </c>
      <c r="U172">
        <f t="shared" si="50"/>
        <v>0</v>
      </c>
      <c r="V172" s="29">
        <f t="shared" si="51"/>
        <v>0</v>
      </c>
      <c r="W172" s="29">
        <f t="shared" si="52"/>
        <v>0</v>
      </c>
      <c r="X172" s="29">
        <f t="shared" si="53"/>
        <v>57532.946494008349</v>
      </c>
      <c r="Y172">
        <f t="shared" si="54"/>
        <v>0</v>
      </c>
    </row>
    <row r="173" spans="1:25" x14ac:dyDescent="0.25">
      <c r="A173" s="4" t="s">
        <v>991</v>
      </c>
      <c r="B173" s="7" t="s">
        <v>183</v>
      </c>
      <c r="C173" s="2" t="s">
        <v>992</v>
      </c>
      <c r="D173">
        <f>VLOOKUP(B173,'Model allocations'!$A$1:$L$317,6,FALSE)</f>
        <v>0</v>
      </c>
      <c r="E173" s="31">
        <f>VLOOKUP(B173,'Initial adjusted formula count'!$A$1:$P$317,12,FALSE)</f>
        <v>3.9637727841145901E-2</v>
      </c>
      <c r="F173">
        <f>VLOOKUP(B173,'Model allocations'!$A$1:$L$317,11,FALSE)</f>
        <v>0</v>
      </c>
      <c r="G173" s="30">
        <f t="shared" si="55"/>
        <v>0.85</v>
      </c>
      <c r="H173">
        <f t="shared" si="56"/>
        <v>0</v>
      </c>
      <c r="I173">
        <f t="shared" si="38"/>
        <v>0</v>
      </c>
      <c r="J173">
        <f t="shared" si="39"/>
        <v>0</v>
      </c>
      <c r="K173">
        <f t="shared" si="40"/>
        <v>0</v>
      </c>
      <c r="L173">
        <f t="shared" si="41"/>
        <v>0</v>
      </c>
      <c r="M173">
        <f t="shared" si="42"/>
        <v>0</v>
      </c>
      <c r="N173" s="29">
        <f t="shared" si="43"/>
        <v>0</v>
      </c>
      <c r="O173" s="29">
        <f t="shared" si="44"/>
        <v>0</v>
      </c>
      <c r="P173" s="29">
        <f t="shared" si="45"/>
        <v>0</v>
      </c>
      <c r="Q173">
        <f t="shared" si="46"/>
        <v>0</v>
      </c>
      <c r="R173" s="29">
        <f t="shared" si="47"/>
        <v>0</v>
      </c>
      <c r="S173" s="29">
        <f t="shared" si="48"/>
        <v>0</v>
      </c>
      <c r="T173" s="29">
        <f t="shared" si="49"/>
        <v>0</v>
      </c>
      <c r="U173">
        <f t="shared" si="50"/>
        <v>0</v>
      </c>
      <c r="V173" s="29">
        <f t="shared" si="51"/>
        <v>0</v>
      </c>
      <c r="W173" s="29">
        <f t="shared" si="52"/>
        <v>0</v>
      </c>
      <c r="X173" s="29">
        <f t="shared" si="53"/>
        <v>0</v>
      </c>
      <c r="Y173">
        <f t="shared" si="54"/>
        <v>0</v>
      </c>
    </row>
    <row r="174" spans="1:25" x14ac:dyDescent="0.25">
      <c r="A174" s="4" t="s">
        <v>993</v>
      </c>
      <c r="B174" s="7" t="s">
        <v>185</v>
      </c>
      <c r="C174" s="2" t="s">
        <v>994</v>
      </c>
      <c r="D174">
        <f>VLOOKUP(B174,'Model allocations'!$A$1:$L$317,6,FALSE)</f>
        <v>257773.49907672699</v>
      </c>
      <c r="E174" s="31">
        <f>VLOOKUP(B174,'Initial adjusted formula count'!$A$1:$P$317,12,FALSE)</f>
        <v>9.6557514693534796E-2</v>
      </c>
      <c r="F174">
        <f>VLOOKUP(B174,'Model allocations'!$A$1:$L$317,11,FALSE)</f>
        <v>326937.84991434147</v>
      </c>
      <c r="G174" s="30">
        <f t="shared" si="55"/>
        <v>0.85</v>
      </c>
      <c r="H174">
        <f t="shared" si="56"/>
        <v>219107.47421521792</v>
      </c>
      <c r="I174">
        <f t="shared" si="38"/>
        <v>0</v>
      </c>
      <c r="J174">
        <f t="shared" si="39"/>
        <v>326937.84991434147</v>
      </c>
      <c r="K174">
        <f t="shared" si="40"/>
        <v>326744.35329656582</v>
      </c>
      <c r="L174">
        <f t="shared" si="41"/>
        <v>326744.35329656582</v>
      </c>
      <c r="M174">
        <f t="shared" si="42"/>
        <v>0</v>
      </c>
      <c r="N174" s="29">
        <f t="shared" si="43"/>
        <v>326744.35329656582</v>
      </c>
      <c r="O174" s="29">
        <f t="shared" si="44"/>
        <v>326719.56151211</v>
      </c>
      <c r="P174" s="29">
        <f t="shared" si="45"/>
        <v>326719.56151211</v>
      </c>
      <c r="Q174">
        <f t="shared" si="46"/>
        <v>0</v>
      </c>
      <c r="R174" s="29">
        <f t="shared" si="47"/>
        <v>326719.56151211</v>
      </c>
      <c r="S174" s="29">
        <f t="shared" si="48"/>
        <v>326719.56151210971</v>
      </c>
      <c r="T174" s="29">
        <f t="shared" si="49"/>
        <v>326719.56151210971</v>
      </c>
      <c r="U174">
        <f t="shared" si="50"/>
        <v>0</v>
      </c>
      <c r="V174" s="29">
        <f t="shared" si="51"/>
        <v>326719.56151210971</v>
      </c>
      <c r="W174" s="29">
        <f t="shared" si="52"/>
        <v>326719.56151210971</v>
      </c>
      <c r="X174" s="29">
        <f t="shared" si="53"/>
        <v>326719.56151210971</v>
      </c>
      <c r="Y174">
        <f t="shared" si="54"/>
        <v>0</v>
      </c>
    </row>
    <row r="175" spans="1:25" x14ac:dyDescent="0.25">
      <c r="A175" s="4" t="s">
        <v>995</v>
      </c>
      <c r="B175" s="7" t="s">
        <v>187</v>
      </c>
      <c r="C175" s="2" t="s">
        <v>996</v>
      </c>
      <c r="D175">
        <f>VLOOKUP(B175,'Model allocations'!$A$1:$L$317,6,FALSE)</f>
        <v>9616.8440808669056</v>
      </c>
      <c r="E175" s="31">
        <f>VLOOKUP(B175,'Initial adjusted formula count'!$A$1:$P$317,12,FALSE)</f>
        <v>6.8702290076335895E-2</v>
      </c>
      <c r="F175">
        <f>VLOOKUP(B175,'Model allocations'!$A$1:$L$317,11,FALSE)</f>
        <v>0</v>
      </c>
      <c r="G175" s="30">
        <f t="shared" si="55"/>
        <v>0.85</v>
      </c>
      <c r="H175">
        <f t="shared" si="56"/>
        <v>0</v>
      </c>
      <c r="I175">
        <f t="shared" si="38"/>
        <v>0</v>
      </c>
      <c r="J175">
        <f t="shared" si="39"/>
        <v>0</v>
      </c>
      <c r="K175">
        <f t="shared" si="40"/>
        <v>0</v>
      </c>
      <c r="L175">
        <f t="shared" si="41"/>
        <v>0</v>
      </c>
      <c r="M175">
        <f t="shared" si="42"/>
        <v>0</v>
      </c>
      <c r="N175" s="29">
        <f t="shared" si="43"/>
        <v>0</v>
      </c>
      <c r="O175" s="29">
        <f t="shared" si="44"/>
        <v>0</v>
      </c>
      <c r="P175" s="29">
        <f t="shared" si="45"/>
        <v>0</v>
      </c>
      <c r="Q175">
        <f t="shared" si="46"/>
        <v>0</v>
      </c>
      <c r="R175" s="29">
        <f t="shared" si="47"/>
        <v>0</v>
      </c>
      <c r="S175" s="29">
        <f t="shared" si="48"/>
        <v>0</v>
      </c>
      <c r="T175" s="29">
        <f t="shared" si="49"/>
        <v>0</v>
      </c>
      <c r="U175">
        <f t="shared" si="50"/>
        <v>0</v>
      </c>
      <c r="V175" s="29">
        <f t="shared" si="51"/>
        <v>0</v>
      </c>
      <c r="W175" s="29">
        <f t="shared" si="52"/>
        <v>0</v>
      </c>
      <c r="X175" s="29">
        <f t="shared" si="53"/>
        <v>0</v>
      </c>
      <c r="Y175">
        <f t="shared" si="54"/>
        <v>0</v>
      </c>
    </row>
    <row r="176" spans="1:25" x14ac:dyDescent="0.25">
      <c r="A176" s="4" t="s">
        <v>997</v>
      </c>
      <c r="B176" s="7" t="s">
        <v>507</v>
      </c>
      <c r="C176" s="2" t="s">
        <v>998</v>
      </c>
      <c r="D176">
        <f>VLOOKUP(B176,'Model allocations'!$A$1:$L$317,6,FALSE)</f>
        <v>86436.336023009426</v>
      </c>
      <c r="E176" s="31">
        <f>VLOOKUP(B176,'Initial adjusted formula count'!$A$1:$P$317,12,FALSE)</f>
        <v>0.15044247787610601</v>
      </c>
      <c r="F176">
        <f>VLOOKUP(B176,'Model allocations'!$A$1:$L$317,11,FALSE)</f>
        <v>77792.702420708491</v>
      </c>
      <c r="G176" s="30">
        <f t="shared" si="55"/>
        <v>0.9</v>
      </c>
      <c r="H176">
        <f t="shared" si="56"/>
        <v>77792.702420708491</v>
      </c>
      <c r="I176">
        <f t="shared" si="38"/>
        <v>0</v>
      </c>
      <c r="J176">
        <f t="shared" si="39"/>
        <v>77792.702420708491</v>
      </c>
      <c r="K176">
        <f t="shared" si="40"/>
        <v>77746.661178282826</v>
      </c>
      <c r="L176">
        <f t="shared" si="41"/>
        <v>77746.661178282826</v>
      </c>
      <c r="M176">
        <f t="shared" si="42"/>
        <v>77792.702420708491</v>
      </c>
      <c r="N176" s="29">
        <f t="shared" si="43"/>
        <v>0</v>
      </c>
      <c r="O176" s="29">
        <f t="shared" si="44"/>
        <v>0</v>
      </c>
      <c r="P176" s="29">
        <f t="shared" si="45"/>
        <v>77792.702420708491</v>
      </c>
      <c r="Q176">
        <f t="shared" si="46"/>
        <v>0</v>
      </c>
      <c r="R176" s="29">
        <f t="shared" si="47"/>
        <v>0</v>
      </c>
      <c r="S176" s="29">
        <f t="shared" si="48"/>
        <v>0</v>
      </c>
      <c r="T176" s="29">
        <f t="shared" si="49"/>
        <v>77792.702420708491</v>
      </c>
      <c r="U176">
        <f t="shared" si="50"/>
        <v>0</v>
      </c>
      <c r="V176" s="29">
        <f t="shared" si="51"/>
        <v>0</v>
      </c>
      <c r="W176" s="29">
        <f t="shared" si="52"/>
        <v>0</v>
      </c>
      <c r="X176" s="29">
        <f t="shared" si="53"/>
        <v>77792.702420708491</v>
      </c>
      <c r="Y176">
        <f t="shared" si="54"/>
        <v>0</v>
      </c>
    </row>
    <row r="177" spans="1:25" x14ac:dyDescent="0.25">
      <c r="A177" s="4" t="s">
        <v>999</v>
      </c>
      <c r="B177" s="7" t="s">
        <v>509</v>
      </c>
      <c r="C177" s="2" t="s">
        <v>1000</v>
      </c>
      <c r="D177">
        <f>VLOOKUP(B177,'Model allocations'!$A$1:$L$317,6,FALSE)</f>
        <v>121855.62533021074</v>
      </c>
      <c r="E177" s="31">
        <f>VLOOKUP(B177,'Initial adjusted formula count'!$A$1:$P$317,12,FALSE)</f>
        <v>0.19159335288367499</v>
      </c>
      <c r="F177">
        <f>VLOOKUP(B177,'Model allocations'!$A$1:$L$317,11,FALSE)</f>
        <v>127057.9703297235</v>
      </c>
      <c r="G177" s="30">
        <f t="shared" si="55"/>
        <v>0.9</v>
      </c>
      <c r="H177">
        <f t="shared" si="56"/>
        <v>109670.06279718966</v>
      </c>
      <c r="I177">
        <f t="shared" si="38"/>
        <v>0</v>
      </c>
      <c r="J177">
        <f t="shared" si="39"/>
        <v>127057.9703297235</v>
      </c>
      <c r="K177">
        <f t="shared" si="40"/>
        <v>126982.77167185418</v>
      </c>
      <c r="L177">
        <f t="shared" si="41"/>
        <v>126982.77167185418</v>
      </c>
      <c r="M177">
        <f t="shared" si="42"/>
        <v>0</v>
      </c>
      <c r="N177" s="29">
        <f t="shared" si="43"/>
        <v>126982.77167185418</v>
      </c>
      <c r="O177" s="29">
        <f t="shared" si="44"/>
        <v>126973.13683203788</v>
      </c>
      <c r="P177" s="29">
        <f t="shared" si="45"/>
        <v>126973.13683203788</v>
      </c>
      <c r="Q177">
        <f t="shared" si="46"/>
        <v>0</v>
      </c>
      <c r="R177" s="29">
        <f t="shared" si="47"/>
        <v>126973.13683203788</v>
      </c>
      <c r="S177" s="29">
        <f t="shared" si="48"/>
        <v>126973.13683203778</v>
      </c>
      <c r="T177" s="29">
        <f t="shared" si="49"/>
        <v>126973.13683203778</v>
      </c>
      <c r="U177">
        <f t="shared" si="50"/>
        <v>0</v>
      </c>
      <c r="V177" s="29">
        <f t="shared" si="51"/>
        <v>126973.13683203778</v>
      </c>
      <c r="W177" s="29">
        <f t="shared" si="52"/>
        <v>126973.13683203778</v>
      </c>
      <c r="X177" s="29">
        <f t="shared" si="53"/>
        <v>126973.13683203778</v>
      </c>
      <c r="Y177">
        <f t="shared" si="54"/>
        <v>0</v>
      </c>
    </row>
    <row r="178" spans="1:25" x14ac:dyDescent="0.25">
      <c r="A178" s="4" t="s">
        <v>1001</v>
      </c>
      <c r="B178" s="7" t="s">
        <v>511</v>
      </c>
      <c r="C178" s="2" t="s">
        <v>1002</v>
      </c>
      <c r="D178">
        <f>VLOOKUP(B178,'Model allocations'!$A$1:$L$317,6,FALSE)</f>
        <v>173066.14032105749</v>
      </c>
      <c r="E178" s="31">
        <f>VLOOKUP(B178,'Initial adjusted formula count'!$A$1:$P$317,12,FALSE)</f>
        <v>0.21212121212121199</v>
      </c>
      <c r="F178">
        <f>VLOOKUP(B178,'Model allocations'!$A$1:$L$317,11,FALSE)</f>
        <v>155759.52628895175</v>
      </c>
      <c r="G178" s="30">
        <f t="shared" si="55"/>
        <v>0.9</v>
      </c>
      <c r="H178">
        <f t="shared" si="56"/>
        <v>155759.52628895175</v>
      </c>
      <c r="I178">
        <f t="shared" si="38"/>
        <v>0</v>
      </c>
      <c r="J178">
        <f t="shared" si="39"/>
        <v>155759.52628895175</v>
      </c>
      <c r="K178">
        <f t="shared" si="40"/>
        <v>155667.34075114649</v>
      </c>
      <c r="L178">
        <f t="shared" si="41"/>
        <v>155667.34075114649</v>
      </c>
      <c r="M178">
        <f t="shared" si="42"/>
        <v>155759.52628895175</v>
      </c>
      <c r="N178" s="29">
        <f t="shared" si="43"/>
        <v>0</v>
      </c>
      <c r="O178" s="29">
        <f t="shared" si="44"/>
        <v>0</v>
      </c>
      <c r="P178" s="29">
        <f t="shared" si="45"/>
        <v>155759.52628895175</v>
      </c>
      <c r="Q178">
        <f t="shared" si="46"/>
        <v>0</v>
      </c>
      <c r="R178" s="29">
        <f t="shared" si="47"/>
        <v>0</v>
      </c>
      <c r="S178" s="29">
        <f t="shared" si="48"/>
        <v>0</v>
      </c>
      <c r="T178" s="29">
        <f t="shared" si="49"/>
        <v>155759.52628895175</v>
      </c>
      <c r="U178">
        <f t="shared" si="50"/>
        <v>0</v>
      </c>
      <c r="V178" s="29">
        <f t="shared" si="51"/>
        <v>0</v>
      </c>
      <c r="W178" s="29">
        <f t="shared" si="52"/>
        <v>0</v>
      </c>
      <c r="X178" s="29">
        <f t="shared" si="53"/>
        <v>155759.52628895175</v>
      </c>
      <c r="Y178">
        <f t="shared" si="54"/>
        <v>0</v>
      </c>
    </row>
    <row r="179" spans="1:25" x14ac:dyDescent="0.25">
      <c r="A179" s="4" t="s">
        <v>1003</v>
      </c>
      <c r="B179" s="7" t="s">
        <v>288</v>
      </c>
      <c r="C179" s="2" t="s">
        <v>1004</v>
      </c>
      <c r="D179">
        <f>VLOOKUP(B179,'Model allocations'!$A$1:$L$317,6,FALSE)</f>
        <v>18872.702610974666</v>
      </c>
      <c r="E179" s="31">
        <f>VLOOKUP(B179,'Initial adjusted formula count'!$A$1:$P$317,12,FALSE)</f>
        <v>0.14610389610389601</v>
      </c>
      <c r="F179">
        <f>VLOOKUP(B179,'Model allocations'!$A$1:$L$317,11,FALSE)</f>
        <v>25586.440428078899</v>
      </c>
      <c r="G179" s="30">
        <f t="shared" si="55"/>
        <v>0.85</v>
      </c>
      <c r="H179">
        <f t="shared" si="56"/>
        <v>16041.797219328466</v>
      </c>
      <c r="I179">
        <f t="shared" si="38"/>
        <v>0</v>
      </c>
      <c r="J179">
        <f t="shared" si="39"/>
        <v>25586.440428078899</v>
      </c>
      <c r="K179">
        <f t="shared" si="40"/>
        <v>25571.297214513848</v>
      </c>
      <c r="L179">
        <f t="shared" si="41"/>
        <v>25571.297214513848</v>
      </c>
      <c r="M179">
        <f t="shared" si="42"/>
        <v>0</v>
      </c>
      <c r="N179" s="29">
        <f t="shared" si="43"/>
        <v>25571.297214513848</v>
      </c>
      <c r="O179" s="29">
        <f t="shared" si="44"/>
        <v>25569.356987904262</v>
      </c>
      <c r="P179" s="29">
        <f t="shared" si="45"/>
        <v>25569.356987904262</v>
      </c>
      <c r="Q179">
        <f t="shared" si="46"/>
        <v>0</v>
      </c>
      <c r="R179" s="29">
        <f t="shared" si="47"/>
        <v>25569.356987904262</v>
      </c>
      <c r="S179" s="29">
        <f t="shared" si="48"/>
        <v>25569.356987904241</v>
      </c>
      <c r="T179" s="29">
        <f t="shared" si="49"/>
        <v>25569.356987904241</v>
      </c>
      <c r="U179">
        <f t="shared" si="50"/>
        <v>0</v>
      </c>
      <c r="V179" s="29">
        <f t="shared" si="51"/>
        <v>25569.356987904241</v>
      </c>
      <c r="W179" s="29">
        <f t="shared" si="52"/>
        <v>25569.356987904241</v>
      </c>
      <c r="X179" s="29">
        <f t="shared" si="53"/>
        <v>25569.356987904241</v>
      </c>
      <c r="Y179">
        <f t="shared" si="54"/>
        <v>0</v>
      </c>
    </row>
    <row r="180" spans="1:25" x14ac:dyDescent="0.25">
      <c r="A180" s="4" t="s">
        <v>1005</v>
      </c>
      <c r="B180" s="7" t="s">
        <v>513</v>
      </c>
      <c r="C180" s="2" t="s">
        <v>1006</v>
      </c>
      <c r="D180">
        <f>VLOOKUP(B180,'Model allocations'!$A$1:$L$317,6,FALSE)</f>
        <v>162057.22416926097</v>
      </c>
      <c r="E180" s="31">
        <f>VLOOKUP(B180,'Initial adjusted formula count'!$A$1:$P$317,12,FALSE)</f>
        <v>0.15983175604626701</v>
      </c>
      <c r="F180">
        <f>VLOOKUP(B180,'Model allocations'!$A$1:$L$317,11,FALSE)</f>
        <v>145851.50175233488</v>
      </c>
      <c r="G180" s="30">
        <f t="shared" si="55"/>
        <v>0.9</v>
      </c>
      <c r="H180">
        <f t="shared" si="56"/>
        <v>145851.50175233488</v>
      </c>
      <c r="I180">
        <f t="shared" si="38"/>
        <v>0</v>
      </c>
      <c r="J180">
        <f t="shared" si="39"/>
        <v>145851.50175233488</v>
      </c>
      <c r="K180">
        <f t="shared" si="40"/>
        <v>145765.18023191756</v>
      </c>
      <c r="L180">
        <f t="shared" si="41"/>
        <v>145765.18023191756</v>
      </c>
      <c r="M180">
        <f t="shared" si="42"/>
        <v>145851.50175233488</v>
      </c>
      <c r="N180" s="29">
        <f t="shared" si="43"/>
        <v>0</v>
      </c>
      <c r="O180" s="29">
        <f t="shared" si="44"/>
        <v>0</v>
      </c>
      <c r="P180" s="29">
        <f t="shared" si="45"/>
        <v>145851.50175233488</v>
      </c>
      <c r="Q180">
        <f t="shared" si="46"/>
        <v>0</v>
      </c>
      <c r="R180" s="29">
        <f t="shared" si="47"/>
        <v>0</v>
      </c>
      <c r="S180" s="29">
        <f t="shared" si="48"/>
        <v>0</v>
      </c>
      <c r="T180" s="29">
        <f t="shared" si="49"/>
        <v>145851.50175233488</v>
      </c>
      <c r="U180">
        <f t="shared" si="50"/>
        <v>0</v>
      </c>
      <c r="V180" s="29">
        <f t="shared" si="51"/>
        <v>0</v>
      </c>
      <c r="W180" s="29">
        <f t="shared" si="52"/>
        <v>0</v>
      </c>
      <c r="X180" s="29">
        <f t="shared" si="53"/>
        <v>145851.50175233488</v>
      </c>
      <c r="Y180">
        <f t="shared" si="54"/>
        <v>0</v>
      </c>
    </row>
    <row r="181" spans="1:25" x14ac:dyDescent="0.25">
      <c r="A181" s="4" t="s">
        <v>1007</v>
      </c>
      <c r="B181" s="7" t="s">
        <v>189</v>
      </c>
      <c r="C181" s="2" t="s">
        <v>1008</v>
      </c>
      <c r="D181">
        <f>VLOOKUP(B181,'Model allocations'!$A$1:$L$317,6,FALSE)</f>
        <v>730314.45343524578</v>
      </c>
      <c r="E181" s="31">
        <f>VLOOKUP(B181,'Initial adjusted formula count'!$A$1:$P$317,12,FALSE)</f>
        <v>8.5544021530180703E-2</v>
      </c>
      <c r="F181">
        <f>VLOOKUP(B181,'Model allocations'!$A$1:$L$317,11,FALSE)</f>
        <v>620443.32795966254</v>
      </c>
      <c r="G181" s="30">
        <f t="shared" si="55"/>
        <v>0.85</v>
      </c>
      <c r="H181">
        <f t="shared" si="56"/>
        <v>620767.28541995888</v>
      </c>
      <c r="I181">
        <f t="shared" si="38"/>
        <v>620767.28541995888</v>
      </c>
      <c r="J181">
        <f t="shared" si="39"/>
        <v>0</v>
      </c>
      <c r="K181">
        <f t="shared" si="40"/>
        <v>0</v>
      </c>
      <c r="L181">
        <f t="shared" si="41"/>
        <v>620767.28541995888</v>
      </c>
      <c r="M181">
        <f t="shared" si="42"/>
        <v>0</v>
      </c>
      <c r="N181" s="29">
        <f t="shared" si="43"/>
        <v>0</v>
      </c>
      <c r="O181" s="29">
        <f t="shared" si="44"/>
        <v>0</v>
      </c>
      <c r="P181" s="29">
        <f t="shared" si="45"/>
        <v>620767.28541995888</v>
      </c>
      <c r="Q181">
        <f t="shared" si="46"/>
        <v>0</v>
      </c>
      <c r="R181" s="29">
        <f t="shared" si="47"/>
        <v>0</v>
      </c>
      <c r="S181" s="29">
        <f t="shared" si="48"/>
        <v>0</v>
      </c>
      <c r="T181" s="29">
        <f t="shared" si="49"/>
        <v>620767.28541995888</v>
      </c>
      <c r="U181">
        <f t="shared" si="50"/>
        <v>0</v>
      </c>
      <c r="V181" s="29">
        <f t="shared" si="51"/>
        <v>0</v>
      </c>
      <c r="W181" s="29">
        <f t="shared" si="52"/>
        <v>0</v>
      </c>
      <c r="X181" s="29">
        <f t="shared" si="53"/>
        <v>620767.28541995888</v>
      </c>
      <c r="Y181">
        <f t="shared" si="54"/>
        <v>0</v>
      </c>
    </row>
    <row r="182" spans="1:25" x14ac:dyDescent="0.25">
      <c r="A182" s="4" t="s">
        <v>1009</v>
      </c>
      <c r="B182" s="7" t="s">
        <v>515</v>
      </c>
      <c r="C182" s="2" t="s">
        <v>1010</v>
      </c>
      <c r="D182">
        <f>VLOOKUP(B182,'Model allocations'!$A$1:$L$317,6,FALSE)</f>
        <v>318076.68946457456</v>
      </c>
      <c r="E182" s="31">
        <f>VLOOKUP(B182,'Initial adjusted formula count'!$A$1:$P$317,12,FALSE)</f>
        <v>0.20904255319148901</v>
      </c>
      <c r="F182">
        <f>VLOOKUP(B182,'Model allocations'!$A$1:$L$317,11,FALSE)</f>
        <v>286269.02051811712</v>
      </c>
      <c r="G182" s="30">
        <f t="shared" si="55"/>
        <v>0.9</v>
      </c>
      <c r="H182">
        <f t="shared" si="56"/>
        <v>286269.02051811712</v>
      </c>
      <c r="I182">
        <f t="shared" si="38"/>
        <v>0</v>
      </c>
      <c r="J182">
        <f t="shared" si="39"/>
        <v>286269.02051811712</v>
      </c>
      <c r="K182">
        <f t="shared" si="40"/>
        <v>286099.59355437243</v>
      </c>
      <c r="L182">
        <f t="shared" si="41"/>
        <v>286099.59355437243</v>
      </c>
      <c r="M182">
        <f t="shared" si="42"/>
        <v>286269.02051811712</v>
      </c>
      <c r="N182" s="29">
        <f t="shared" si="43"/>
        <v>0</v>
      </c>
      <c r="O182" s="29">
        <f t="shared" si="44"/>
        <v>0</v>
      </c>
      <c r="P182" s="29">
        <f t="shared" si="45"/>
        <v>286269.02051811712</v>
      </c>
      <c r="Q182">
        <f t="shared" si="46"/>
        <v>0</v>
      </c>
      <c r="R182" s="29">
        <f t="shared" si="47"/>
        <v>0</v>
      </c>
      <c r="S182" s="29">
        <f t="shared" si="48"/>
        <v>0</v>
      </c>
      <c r="T182" s="29">
        <f t="shared" si="49"/>
        <v>286269.02051811712</v>
      </c>
      <c r="U182">
        <f t="shared" si="50"/>
        <v>0</v>
      </c>
      <c r="V182" s="29">
        <f t="shared" si="51"/>
        <v>0</v>
      </c>
      <c r="W182" s="29">
        <f t="shared" si="52"/>
        <v>0</v>
      </c>
      <c r="X182" s="29">
        <f t="shared" si="53"/>
        <v>286269.02051811712</v>
      </c>
      <c r="Y182">
        <f t="shared" si="54"/>
        <v>0</v>
      </c>
    </row>
    <row r="183" spans="1:25" x14ac:dyDescent="0.25">
      <c r="A183" s="4" t="s">
        <v>1011</v>
      </c>
      <c r="B183" s="7" t="s">
        <v>517</v>
      </c>
      <c r="C183" s="2" t="s">
        <v>1012</v>
      </c>
      <c r="D183">
        <f>VLOOKUP(B183,'Model allocations'!$A$1:$L$317,6,FALSE)</f>
        <v>72974.875672460665</v>
      </c>
      <c r="E183" s="31">
        <f>VLOOKUP(B183,'Initial adjusted formula count'!$A$1:$P$317,12,FALSE)</f>
        <v>0.123678646934461</v>
      </c>
      <c r="F183">
        <f>VLOOKUP(B183,'Model allocations'!$A$1:$L$317,11,FALSE)</f>
        <v>66524.745113005134</v>
      </c>
      <c r="G183" s="30">
        <f t="shared" si="55"/>
        <v>0.85</v>
      </c>
      <c r="H183">
        <f t="shared" si="56"/>
        <v>62028.644321591564</v>
      </c>
      <c r="I183">
        <f t="shared" si="38"/>
        <v>0</v>
      </c>
      <c r="J183">
        <f t="shared" si="39"/>
        <v>66524.745113005134</v>
      </c>
      <c r="K183">
        <f t="shared" si="40"/>
        <v>66485.372757736011</v>
      </c>
      <c r="L183">
        <f t="shared" si="41"/>
        <v>66485.372757736011</v>
      </c>
      <c r="M183">
        <f t="shared" si="42"/>
        <v>0</v>
      </c>
      <c r="N183" s="29">
        <f t="shared" si="43"/>
        <v>66485.372757736011</v>
      </c>
      <c r="O183" s="29">
        <f t="shared" si="44"/>
        <v>66480.328168551103</v>
      </c>
      <c r="P183" s="29">
        <f t="shared" si="45"/>
        <v>66480.328168551103</v>
      </c>
      <c r="Q183">
        <f t="shared" si="46"/>
        <v>0</v>
      </c>
      <c r="R183" s="29">
        <f t="shared" si="47"/>
        <v>66480.328168551103</v>
      </c>
      <c r="S183" s="29">
        <f t="shared" si="48"/>
        <v>66480.328168551045</v>
      </c>
      <c r="T183" s="29">
        <f t="shared" si="49"/>
        <v>66480.328168551045</v>
      </c>
      <c r="U183">
        <f t="shared" si="50"/>
        <v>0</v>
      </c>
      <c r="V183" s="29">
        <f t="shared" si="51"/>
        <v>66480.328168551045</v>
      </c>
      <c r="W183" s="29">
        <f t="shared" si="52"/>
        <v>66480.328168551045</v>
      </c>
      <c r="X183" s="29">
        <f t="shared" si="53"/>
        <v>66480.328168551045</v>
      </c>
      <c r="Y183">
        <f t="shared" si="54"/>
        <v>0</v>
      </c>
    </row>
    <row r="184" spans="1:25" x14ac:dyDescent="0.25">
      <c r="A184" s="4" t="s">
        <v>1013</v>
      </c>
      <c r="B184" s="7" t="s">
        <v>519</v>
      </c>
      <c r="C184" s="2" t="s">
        <v>1014</v>
      </c>
      <c r="D184">
        <f>VLOOKUP(B184,'Model allocations'!$A$1:$L$317,6,FALSE)</f>
        <v>17083.89923712708</v>
      </c>
      <c r="E184" s="31">
        <f>VLOOKUP(B184,'Initial adjusted formula count'!$A$1:$P$317,12,FALSE)</f>
        <v>0.38095238095238099</v>
      </c>
      <c r="F184">
        <f>VLOOKUP(B184,'Model allocations'!$A$1:$L$317,11,FALSE)</f>
        <v>26121.410253362646</v>
      </c>
      <c r="G184" s="30">
        <f t="shared" si="55"/>
        <v>0.95</v>
      </c>
      <c r="H184">
        <f t="shared" si="56"/>
        <v>16229.704275270726</v>
      </c>
      <c r="I184">
        <f t="shared" si="38"/>
        <v>0</v>
      </c>
      <c r="J184">
        <f t="shared" si="39"/>
        <v>26121.410253362646</v>
      </c>
      <c r="K184">
        <f t="shared" si="40"/>
        <v>26105.95042044064</v>
      </c>
      <c r="L184">
        <f t="shared" si="41"/>
        <v>26105.95042044064</v>
      </c>
      <c r="M184">
        <f t="shared" si="42"/>
        <v>0</v>
      </c>
      <c r="N184" s="29">
        <f t="shared" si="43"/>
        <v>26105.95042044064</v>
      </c>
      <c r="O184" s="29">
        <f t="shared" si="44"/>
        <v>26103.969626926362</v>
      </c>
      <c r="P184" s="29">
        <f t="shared" si="45"/>
        <v>26103.969626926362</v>
      </c>
      <c r="Q184">
        <f t="shared" si="46"/>
        <v>0</v>
      </c>
      <c r="R184" s="29">
        <f t="shared" si="47"/>
        <v>26103.969626926362</v>
      </c>
      <c r="S184" s="29">
        <f t="shared" si="48"/>
        <v>26103.969626926344</v>
      </c>
      <c r="T184" s="29">
        <f t="shared" si="49"/>
        <v>26103.969626926344</v>
      </c>
      <c r="U184">
        <f t="shared" si="50"/>
        <v>0</v>
      </c>
      <c r="V184" s="29">
        <f t="shared" si="51"/>
        <v>26103.969626926344</v>
      </c>
      <c r="W184" s="29">
        <f t="shared" si="52"/>
        <v>26103.969626926344</v>
      </c>
      <c r="X184" s="29">
        <f t="shared" si="53"/>
        <v>26103.969626926344</v>
      </c>
      <c r="Y184">
        <f t="shared" si="54"/>
        <v>0</v>
      </c>
    </row>
    <row r="185" spans="1:25" x14ac:dyDescent="0.25">
      <c r="A185" s="4" t="s">
        <v>1015</v>
      </c>
      <c r="B185" s="7" t="s">
        <v>521</v>
      </c>
      <c r="C185" s="2" t="s">
        <v>1016</v>
      </c>
      <c r="D185">
        <f>VLOOKUP(B185,'Model allocations'!$A$1:$L$317,6,FALSE)</f>
        <v>44690.040140499143</v>
      </c>
      <c r="E185" s="31">
        <f>VLOOKUP(B185,'Initial adjusted formula count'!$A$1:$P$317,12,FALSE)</f>
        <v>0.146596858638743</v>
      </c>
      <c r="F185">
        <f>VLOOKUP(B185,'Model allocations'!$A$1:$L$317,11,FALSE)</f>
        <v>47761.355465747271</v>
      </c>
      <c r="G185" s="30">
        <f t="shared" si="55"/>
        <v>0.85</v>
      </c>
      <c r="H185">
        <f t="shared" si="56"/>
        <v>37986.534119424272</v>
      </c>
      <c r="I185">
        <f t="shared" si="38"/>
        <v>0</v>
      </c>
      <c r="J185">
        <f t="shared" si="39"/>
        <v>47761.355465747271</v>
      </c>
      <c r="K185">
        <f t="shared" si="40"/>
        <v>47733.088133759178</v>
      </c>
      <c r="L185">
        <f t="shared" si="41"/>
        <v>47733.088133759178</v>
      </c>
      <c r="M185">
        <f t="shared" si="42"/>
        <v>0</v>
      </c>
      <c r="N185" s="29">
        <f t="shared" si="43"/>
        <v>47733.088133759178</v>
      </c>
      <c r="O185" s="29">
        <f t="shared" si="44"/>
        <v>47729.46637742129</v>
      </c>
      <c r="P185" s="29">
        <f t="shared" si="45"/>
        <v>47729.46637742129</v>
      </c>
      <c r="Q185">
        <f t="shared" si="46"/>
        <v>0</v>
      </c>
      <c r="R185" s="29">
        <f t="shared" si="47"/>
        <v>47729.46637742129</v>
      </c>
      <c r="S185" s="29">
        <f t="shared" si="48"/>
        <v>47729.466377421253</v>
      </c>
      <c r="T185" s="29">
        <f t="shared" si="49"/>
        <v>47729.466377421253</v>
      </c>
      <c r="U185">
        <f t="shared" si="50"/>
        <v>0</v>
      </c>
      <c r="V185" s="29">
        <f t="shared" si="51"/>
        <v>47729.466377421253</v>
      </c>
      <c r="W185" s="29">
        <f t="shared" si="52"/>
        <v>47729.466377421253</v>
      </c>
      <c r="X185" s="29">
        <f t="shared" si="53"/>
        <v>47729.466377421253</v>
      </c>
      <c r="Y185">
        <f t="shared" si="54"/>
        <v>0</v>
      </c>
    </row>
    <row r="186" spans="1:25" x14ac:dyDescent="0.25">
      <c r="A186" s="4" t="s">
        <v>1017</v>
      </c>
      <c r="B186" s="7" t="s">
        <v>290</v>
      </c>
      <c r="C186" s="2" t="s">
        <v>1018</v>
      </c>
      <c r="D186">
        <f>VLOOKUP(B186,'Model allocations'!$A$1:$L$317,6,FALSE)</f>
        <v>12445.327634063058</v>
      </c>
      <c r="E186" s="31">
        <f>VLOOKUP(B186,'Initial adjusted formula count'!$A$1:$P$317,12,FALSE)</f>
        <v>8.98876404494382E-2</v>
      </c>
      <c r="F186">
        <f>VLOOKUP(B186,'Model allocations'!$A$1:$L$317,11,FALSE)</f>
        <v>10578.5284889536</v>
      </c>
      <c r="G186" s="30">
        <f t="shared" si="55"/>
        <v>0.85</v>
      </c>
      <c r="H186">
        <f t="shared" si="56"/>
        <v>10578.5284889536</v>
      </c>
      <c r="I186">
        <f t="shared" si="38"/>
        <v>0</v>
      </c>
      <c r="J186">
        <f t="shared" si="39"/>
        <v>10578.5284889536</v>
      </c>
      <c r="K186">
        <f t="shared" si="40"/>
        <v>10572.267636977629</v>
      </c>
      <c r="L186">
        <f t="shared" si="41"/>
        <v>10572.267636977629</v>
      </c>
      <c r="M186">
        <f t="shared" si="42"/>
        <v>10578.5284889536</v>
      </c>
      <c r="N186" s="29">
        <f t="shared" si="43"/>
        <v>0</v>
      </c>
      <c r="O186" s="29">
        <f t="shared" si="44"/>
        <v>0</v>
      </c>
      <c r="P186" s="29">
        <f t="shared" si="45"/>
        <v>10578.5284889536</v>
      </c>
      <c r="Q186">
        <f t="shared" si="46"/>
        <v>0</v>
      </c>
      <c r="R186" s="29">
        <f t="shared" si="47"/>
        <v>0</v>
      </c>
      <c r="S186" s="29">
        <f t="shared" si="48"/>
        <v>0</v>
      </c>
      <c r="T186" s="29">
        <f t="shared" si="49"/>
        <v>10578.5284889536</v>
      </c>
      <c r="U186">
        <f t="shared" si="50"/>
        <v>0</v>
      </c>
      <c r="V186" s="29">
        <f t="shared" si="51"/>
        <v>0</v>
      </c>
      <c r="W186" s="29">
        <f t="shared" si="52"/>
        <v>0</v>
      </c>
      <c r="X186" s="29">
        <f t="shared" si="53"/>
        <v>10578.5284889536</v>
      </c>
      <c r="Y186">
        <f t="shared" si="54"/>
        <v>0</v>
      </c>
    </row>
    <row r="187" spans="1:25" x14ac:dyDescent="0.25">
      <c r="A187" s="4" t="s">
        <v>1019</v>
      </c>
      <c r="B187" s="7" t="s">
        <v>523</v>
      </c>
      <c r="C187" s="2" t="s">
        <v>1020</v>
      </c>
      <c r="D187">
        <f>VLOOKUP(B187,'Model allocations'!$A$1:$L$317,6,FALSE)</f>
        <v>30444.439294497824</v>
      </c>
      <c r="E187" s="31">
        <f>VLOOKUP(B187,'Initial adjusted formula count'!$A$1:$P$317,12,FALSE)</f>
        <v>0.34615384615384598</v>
      </c>
      <c r="F187">
        <f>VLOOKUP(B187,'Model allocations'!$A$1:$L$317,11,FALSE)</f>
        <v>45541.731758611437</v>
      </c>
      <c r="G187" s="30">
        <f t="shared" si="55"/>
        <v>0.95</v>
      </c>
      <c r="H187">
        <f t="shared" si="56"/>
        <v>28922.217329772931</v>
      </c>
      <c r="I187">
        <f t="shared" si="38"/>
        <v>0</v>
      </c>
      <c r="J187">
        <f t="shared" si="39"/>
        <v>45541.731758611437</v>
      </c>
      <c r="K187">
        <f t="shared" si="40"/>
        <v>45514.778100400108</v>
      </c>
      <c r="L187">
        <f t="shared" si="41"/>
        <v>45514.778100400108</v>
      </c>
      <c r="M187">
        <f t="shared" si="42"/>
        <v>0</v>
      </c>
      <c r="N187" s="29">
        <f t="shared" si="43"/>
        <v>45514.778100400108</v>
      </c>
      <c r="O187" s="29">
        <f t="shared" si="44"/>
        <v>45511.324658720601</v>
      </c>
      <c r="P187" s="29">
        <f t="shared" si="45"/>
        <v>45511.324658720601</v>
      </c>
      <c r="Q187">
        <f t="shared" si="46"/>
        <v>0</v>
      </c>
      <c r="R187" s="29">
        <f t="shared" si="47"/>
        <v>45511.324658720601</v>
      </c>
      <c r="S187" s="29">
        <f t="shared" si="48"/>
        <v>45511.324658720565</v>
      </c>
      <c r="T187" s="29">
        <f t="shared" si="49"/>
        <v>45511.324658720565</v>
      </c>
      <c r="U187">
        <f t="shared" si="50"/>
        <v>0</v>
      </c>
      <c r="V187" s="29">
        <f t="shared" si="51"/>
        <v>45511.324658720565</v>
      </c>
      <c r="W187" s="29">
        <f t="shared" si="52"/>
        <v>45511.324658720565</v>
      </c>
      <c r="X187" s="29">
        <f t="shared" si="53"/>
        <v>45511.324658720565</v>
      </c>
      <c r="Y187">
        <f t="shared" si="54"/>
        <v>0</v>
      </c>
    </row>
    <row r="188" spans="1:25" x14ac:dyDescent="0.25">
      <c r="A188" s="4" t="s">
        <v>1021</v>
      </c>
      <c r="B188" s="7" t="s">
        <v>525</v>
      </c>
      <c r="C188" s="2" t="s">
        <v>1022</v>
      </c>
      <c r="D188">
        <f>VLOOKUP(B188,'Model allocations'!$A$1:$L$317,6,FALSE)</f>
        <v>34863.15681055926</v>
      </c>
      <c r="E188" s="31">
        <f>VLOOKUP(B188,'Initial adjusted formula count'!$A$1:$P$317,12,FALSE)</f>
        <v>7.1969696969697003E-2</v>
      </c>
      <c r="F188">
        <f>VLOOKUP(B188,'Model allocations'!$A$1:$L$317,11,FALSE)</f>
        <v>29633.683288975371</v>
      </c>
      <c r="G188" s="30">
        <f t="shared" si="55"/>
        <v>0.85</v>
      </c>
      <c r="H188">
        <f t="shared" si="56"/>
        <v>29633.683288975371</v>
      </c>
      <c r="I188">
        <f t="shared" si="38"/>
        <v>0</v>
      </c>
      <c r="J188">
        <f t="shared" si="39"/>
        <v>29633.683288975371</v>
      </c>
      <c r="K188">
        <f t="shared" si="40"/>
        <v>29616.144733894784</v>
      </c>
      <c r="L188">
        <f t="shared" si="41"/>
        <v>29616.144733894784</v>
      </c>
      <c r="M188">
        <f t="shared" si="42"/>
        <v>29633.683288975371</v>
      </c>
      <c r="N188" s="29">
        <f t="shared" si="43"/>
        <v>0</v>
      </c>
      <c r="O188" s="29">
        <f t="shared" si="44"/>
        <v>0</v>
      </c>
      <c r="P188" s="29">
        <f t="shared" si="45"/>
        <v>29633.683288975371</v>
      </c>
      <c r="Q188">
        <f t="shared" si="46"/>
        <v>0</v>
      </c>
      <c r="R188" s="29">
        <f t="shared" si="47"/>
        <v>0</v>
      </c>
      <c r="S188" s="29">
        <f t="shared" si="48"/>
        <v>0</v>
      </c>
      <c r="T188" s="29">
        <f t="shared" si="49"/>
        <v>29633.683288975371</v>
      </c>
      <c r="U188">
        <f t="shared" si="50"/>
        <v>0</v>
      </c>
      <c r="V188" s="29">
        <f t="shared" si="51"/>
        <v>0</v>
      </c>
      <c r="W188" s="29">
        <f t="shared" si="52"/>
        <v>0</v>
      </c>
      <c r="X188" s="29">
        <f t="shared" si="53"/>
        <v>29633.683288975371</v>
      </c>
      <c r="Y188">
        <f t="shared" si="54"/>
        <v>0</v>
      </c>
    </row>
    <row r="189" spans="1:25" x14ac:dyDescent="0.25">
      <c r="A189" s="4" t="s">
        <v>1023</v>
      </c>
      <c r="B189" s="7" t="s">
        <v>527</v>
      </c>
      <c r="C189" s="2" t="s">
        <v>1024</v>
      </c>
      <c r="D189">
        <f>VLOOKUP(B189,'Model allocations'!$A$1:$L$317,6,FALSE)</f>
        <v>264395.0129220672</v>
      </c>
      <c r="E189" s="31">
        <f>VLOOKUP(B189,'Initial adjusted formula count'!$A$1:$P$317,12,FALSE)</f>
        <v>0.215317919075144</v>
      </c>
      <c r="F189">
        <f>VLOOKUP(B189,'Model allocations'!$A$1:$L$317,11,FALSE)</f>
        <v>237955.51162986047</v>
      </c>
      <c r="G189" s="30">
        <f t="shared" si="55"/>
        <v>0.9</v>
      </c>
      <c r="H189">
        <f t="shared" si="56"/>
        <v>237955.51162986047</v>
      </c>
      <c r="I189">
        <f t="shared" si="38"/>
        <v>0</v>
      </c>
      <c r="J189">
        <f t="shared" si="39"/>
        <v>237955.51162986047</v>
      </c>
      <c r="K189">
        <f t="shared" si="40"/>
        <v>237814.67878749146</v>
      </c>
      <c r="L189">
        <f t="shared" si="41"/>
        <v>237814.67878749146</v>
      </c>
      <c r="M189">
        <f t="shared" si="42"/>
        <v>237955.51162986047</v>
      </c>
      <c r="N189" s="29">
        <f t="shared" si="43"/>
        <v>0</v>
      </c>
      <c r="O189" s="29">
        <f t="shared" si="44"/>
        <v>0</v>
      </c>
      <c r="P189" s="29">
        <f t="shared" si="45"/>
        <v>237955.51162986047</v>
      </c>
      <c r="Q189">
        <f t="shared" si="46"/>
        <v>0</v>
      </c>
      <c r="R189" s="29">
        <f t="shared" si="47"/>
        <v>0</v>
      </c>
      <c r="S189" s="29">
        <f t="shared" si="48"/>
        <v>0</v>
      </c>
      <c r="T189" s="29">
        <f t="shared" si="49"/>
        <v>237955.51162986047</v>
      </c>
      <c r="U189">
        <f t="shared" si="50"/>
        <v>0</v>
      </c>
      <c r="V189" s="29">
        <f t="shared" si="51"/>
        <v>0</v>
      </c>
      <c r="W189" s="29">
        <f t="shared" si="52"/>
        <v>0</v>
      </c>
      <c r="X189" s="29">
        <f t="shared" si="53"/>
        <v>237955.51162986047</v>
      </c>
      <c r="Y189">
        <f t="shared" si="54"/>
        <v>0</v>
      </c>
    </row>
    <row r="190" spans="1:25" x14ac:dyDescent="0.25">
      <c r="A190" s="4" t="s">
        <v>1025</v>
      </c>
      <c r="B190" s="7" t="s">
        <v>292</v>
      </c>
      <c r="C190" s="2" t="s">
        <v>1026</v>
      </c>
      <c r="D190">
        <f>VLOOKUP(B190,'Model allocations'!$A$1:$L$317,6,FALSE)</f>
        <v>97865.530940586759</v>
      </c>
      <c r="E190" s="31">
        <f>VLOOKUP(B190,'Initial adjusted formula count'!$A$1:$P$317,12,FALSE)</f>
        <v>5.16188149053146E-2</v>
      </c>
      <c r="F190">
        <f>VLOOKUP(B190,'Model allocations'!$A$1:$L$317,11,FALSE)</f>
        <v>96091.298496562973</v>
      </c>
      <c r="G190" s="30">
        <f t="shared" si="55"/>
        <v>0.85</v>
      </c>
      <c r="H190">
        <f t="shared" si="56"/>
        <v>83185.701299498745</v>
      </c>
      <c r="I190">
        <f t="shared" si="38"/>
        <v>0</v>
      </c>
      <c r="J190">
        <f t="shared" si="39"/>
        <v>96091.298496562973</v>
      </c>
      <c r="K190">
        <f t="shared" si="40"/>
        <v>96034.42731672978</v>
      </c>
      <c r="L190">
        <f t="shared" si="41"/>
        <v>96034.42731672978</v>
      </c>
      <c r="M190">
        <f t="shared" si="42"/>
        <v>0</v>
      </c>
      <c r="N190" s="29">
        <f t="shared" si="43"/>
        <v>96034.42731672978</v>
      </c>
      <c r="O190" s="29">
        <f t="shared" si="44"/>
        <v>96027.140687907129</v>
      </c>
      <c r="P190" s="29">
        <f t="shared" si="45"/>
        <v>96027.140687907129</v>
      </c>
      <c r="Q190">
        <f t="shared" si="46"/>
        <v>0</v>
      </c>
      <c r="R190" s="29">
        <f t="shared" si="47"/>
        <v>96027.140687907129</v>
      </c>
      <c r="S190" s="29">
        <f t="shared" si="48"/>
        <v>96027.140687907042</v>
      </c>
      <c r="T190" s="29">
        <f t="shared" si="49"/>
        <v>96027.140687907042</v>
      </c>
      <c r="U190">
        <f t="shared" si="50"/>
        <v>0</v>
      </c>
      <c r="V190" s="29">
        <f t="shared" si="51"/>
        <v>96027.140687907042</v>
      </c>
      <c r="W190" s="29">
        <f t="shared" si="52"/>
        <v>96027.140687907042</v>
      </c>
      <c r="X190" s="29">
        <f t="shared" si="53"/>
        <v>96027.140687907042</v>
      </c>
      <c r="Y190">
        <f t="shared" si="54"/>
        <v>0</v>
      </c>
    </row>
    <row r="191" spans="1:25" x14ac:dyDescent="0.25">
      <c r="A191" s="4" t="s">
        <v>1027</v>
      </c>
      <c r="B191" s="7" t="s">
        <v>529</v>
      </c>
      <c r="C191" s="2" t="s">
        <v>1028</v>
      </c>
      <c r="D191">
        <f>VLOOKUP(B191,'Model allocations'!$A$1:$L$317,6,FALSE)</f>
        <v>500479.12715852086</v>
      </c>
      <c r="E191" s="31">
        <f>VLOOKUP(B191,'Initial adjusted formula count'!$A$1:$P$317,12,FALSE)</f>
        <v>0.19907407407407399</v>
      </c>
      <c r="F191">
        <f>VLOOKUP(B191,'Model allocations'!$A$1:$L$317,11,FALSE)</f>
        <v>597141.12284605182</v>
      </c>
      <c r="G191" s="30">
        <f t="shared" si="55"/>
        <v>0.9</v>
      </c>
      <c r="H191">
        <f t="shared" si="56"/>
        <v>450431.21444266877</v>
      </c>
      <c r="I191">
        <f t="shared" si="38"/>
        <v>0</v>
      </c>
      <c r="J191">
        <f t="shared" si="39"/>
        <v>597141.12284605182</v>
      </c>
      <c r="K191">
        <f t="shared" si="40"/>
        <v>596787.70770113741</v>
      </c>
      <c r="L191">
        <f t="shared" si="41"/>
        <v>596787.70770113741</v>
      </c>
      <c r="M191">
        <f t="shared" si="42"/>
        <v>0</v>
      </c>
      <c r="N191" s="29">
        <f t="shared" si="43"/>
        <v>596787.70770113741</v>
      </c>
      <c r="O191" s="29">
        <f t="shared" si="44"/>
        <v>596742.42633034731</v>
      </c>
      <c r="P191" s="29">
        <f t="shared" si="45"/>
        <v>596742.42633034731</v>
      </c>
      <c r="Q191">
        <f t="shared" si="46"/>
        <v>0</v>
      </c>
      <c r="R191" s="29">
        <f t="shared" si="47"/>
        <v>596742.42633034731</v>
      </c>
      <c r="S191" s="29">
        <f t="shared" si="48"/>
        <v>596742.42633034685</v>
      </c>
      <c r="T191" s="29">
        <f t="shared" si="49"/>
        <v>596742.42633034685</v>
      </c>
      <c r="U191">
        <f t="shared" si="50"/>
        <v>0</v>
      </c>
      <c r="V191" s="29">
        <f t="shared" si="51"/>
        <v>596742.42633034685</v>
      </c>
      <c r="W191" s="29">
        <f t="shared" si="52"/>
        <v>596742.42633034685</v>
      </c>
      <c r="X191" s="29">
        <f t="shared" si="53"/>
        <v>596742.42633034685</v>
      </c>
      <c r="Y191">
        <f t="shared" si="54"/>
        <v>0</v>
      </c>
    </row>
    <row r="192" spans="1:25" x14ac:dyDescent="0.25">
      <c r="A192" s="4" t="s">
        <v>1029</v>
      </c>
      <c r="B192" s="7" t="s">
        <v>531</v>
      </c>
      <c r="C192" s="2" t="s">
        <v>1030</v>
      </c>
      <c r="D192">
        <f>VLOOKUP(B192,'Model allocations'!$A$1:$L$317,6,FALSE)</f>
        <v>6879.6763651632755</v>
      </c>
      <c r="E192" s="31">
        <f>VLOOKUP(B192,'Initial adjusted formula count'!$A$1:$P$317,12,FALSE)</f>
        <v>0.10638297872340401</v>
      </c>
      <c r="F192">
        <f>VLOOKUP(B192,'Model allocations'!$A$1:$L$317,11,FALSE)</f>
        <v>0</v>
      </c>
      <c r="G192" s="30">
        <f t="shared" si="55"/>
        <v>0.85</v>
      </c>
      <c r="H192">
        <f t="shared" si="56"/>
        <v>0</v>
      </c>
      <c r="I192">
        <f t="shared" si="38"/>
        <v>0</v>
      </c>
      <c r="J192">
        <f t="shared" si="39"/>
        <v>0</v>
      </c>
      <c r="K192">
        <f t="shared" si="40"/>
        <v>0</v>
      </c>
      <c r="L192">
        <f t="shared" si="41"/>
        <v>0</v>
      </c>
      <c r="M192">
        <f t="shared" si="42"/>
        <v>0</v>
      </c>
      <c r="N192" s="29">
        <f t="shared" si="43"/>
        <v>0</v>
      </c>
      <c r="O192" s="29">
        <f t="shared" si="44"/>
        <v>0</v>
      </c>
      <c r="P192" s="29">
        <f t="shared" si="45"/>
        <v>0</v>
      </c>
      <c r="Q192">
        <f t="shared" si="46"/>
        <v>0</v>
      </c>
      <c r="R192" s="29">
        <f t="shared" si="47"/>
        <v>0</v>
      </c>
      <c r="S192" s="29">
        <f t="shared" si="48"/>
        <v>0</v>
      </c>
      <c r="T192" s="29">
        <f t="shared" si="49"/>
        <v>0</v>
      </c>
      <c r="U192">
        <f t="shared" si="50"/>
        <v>0</v>
      </c>
      <c r="V192" s="29">
        <f t="shared" si="51"/>
        <v>0</v>
      </c>
      <c r="W192" s="29">
        <f t="shared" si="52"/>
        <v>0</v>
      </c>
      <c r="X192" s="29">
        <f t="shared" si="53"/>
        <v>0</v>
      </c>
      <c r="Y192">
        <f t="shared" si="54"/>
        <v>0</v>
      </c>
    </row>
    <row r="193" spans="1:25" x14ac:dyDescent="0.25">
      <c r="A193" s="4" t="s">
        <v>1031</v>
      </c>
      <c r="B193" s="7" t="s">
        <v>533</v>
      </c>
      <c r="C193" s="2" t="s">
        <v>1032</v>
      </c>
      <c r="D193">
        <f>VLOOKUP(B193,'Model allocations'!$A$1:$L$317,6,FALSE)</f>
        <v>0</v>
      </c>
      <c r="E193" s="31">
        <f>VLOOKUP(B193,'Initial adjusted formula count'!$A$1:$P$317,12,FALSE)</f>
        <v>4.8582995951416998E-2</v>
      </c>
      <c r="F193">
        <f>VLOOKUP(B193,'Model allocations'!$A$1:$L$317,11,FALSE)</f>
        <v>0</v>
      </c>
      <c r="G193" s="30">
        <f t="shared" si="55"/>
        <v>0.85</v>
      </c>
      <c r="H193">
        <f t="shared" si="56"/>
        <v>0</v>
      </c>
      <c r="I193">
        <f t="shared" si="38"/>
        <v>0</v>
      </c>
      <c r="J193">
        <f t="shared" si="39"/>
        <v>0</v>
      </c>
      <c r="K193">
        <f t="shared" si="40"/>
        <v>0</v>
      </c>
      <c r="L193">
        <f t="shared" si="41"/>
        <v>0</v>
      </c>
      <c r="M193">
        <f t="shared" si="42"/>
        <v>0</v>
      </c>
      <c r="N193" s="29">
        <f t="shared" si="43"/>
        <v>0</v>
      </c>
      <c r="O193" s="29">
        <f t="shared" si="44"/>
        <v>0</v>
      </c>
      <c r="P193" s="29">
        <f t="shared" si="45"/>
        <v>0</v>
      </c>
      <c r="Q193">
        <f t="shared" si="46"/>
        <v>0</v>
      </c>
      <c r="R193" s="29">
        <f t="shared" si="47"/>
        <v>0</v>
      </c>
      <c r="S193" s="29">
        <f t="shared" si="48"/>
        <v>0</v>
      </c>
      <c r="T193" s="29">
        <f t="shared" si="49"/>
        <v>0</v>
      </c>
      <c r="U193">
        <f t="shared" si="50"/>
        <v>0</v>
      </c>
      <c r="V193" s="29">
        <f t="shared" si="51"/>
        <v>0</v>
      </c>
      <c r="W193" s="29">
        <f t="shared" si="52"/>
        <v>0</v>
      </c>
      <c r="X193" s="29">
        <f t="shared" si="53"/>
        <v>0</v>
      </c>
      <c r="Y193">
        <f t="shared" si="54"/>
        <v>0</v>
      </c>
    </row>
    <row r="194" spans="1:25" x14ac:dyDescent="0.25">
      <c r="A194" s="4" t="s">
        <v>1033</v>
      </c>
      <c r="B194" s="7" t="s">
        <v>535</v>
      </c>
      <c r="C194" s="2" t="s">
        <v>1034</v>
      </c>
      <c r="D194">
        <f>VLOOKUP(B194,'Model allocations'!$A$1:$L$317,6,FALSE)</f>
        <v>1903852.279656328</v>
      </c>
      <c r="E194" s="31">
        <f>VLOOKUP(B194,'Initial adjusted formula count'!$A$1:$P$317,12,FALSE)</f>
        <v>0.156570363466915</v>
      </c>
      <c r="F194">
        <f>VLOOKUP(B194,'Model allocations'!$A$1:$L$317,11,FALSE)</f>
        <v>2790343.4755732715</v>
      </c>
      <c r="G194" s="30">
        <f t="shared" si="55"/>
        <v>0.9</v>
      </c>
      <c r="H194">
        <f t="shared" si="56"/>
        <v>1713467.0516906953</v>
      </c>
      <c r="I194">
        <f t="shared" si="38"/>
        <v>0</v>
      </c>
      <c r="J194">
        <f t="shared" si="39"/>
        <v>2790343.4755732715</v>
      </c>
      <c r="K194">
        <f t="shared" si="40"/>
        <v>2788692.0240050382</v>
      </c>
      <c r="L194">
        <f t="shared" si="41"/>
        <v>2788692.0240050382</v>
      </c>
      <c r="M194">
        <f t="shared" si="42"/>
        <v>0</v>
      </c>
      <c r="N194" s="29">
        <f t="shared" si="43"/>
        <v>2788692.0240050382</v>
      </c>
      <c r="O194" s="29">
        <f t="shared" si="44"/>
        <v>2788480.4315142259</v>
      </c>
      <c r="P194" s="29">
        <f t="shared" si="45"/>
        <v>2788480.4315142259</v>
      </c>
      <c r="Q194">
        <f t="shared" si="46"/>
        <v>0</v>
      </c>
      <c r="R194" s="29">
        <f t="shared" si="47"/>
        <v>2788480.4315142259</v>
      </c>
      <c r="S194" s="29">
        <f t="shared" si="48"/>
        <v>2788480.4315142236</v>
      </c>
      <c r="T194" s="29">
        <f t="shared" si="49"/>
        <v>2788480.4315142236</v>
      </c>
      <c r="U194">
        <f t="shared" si="50"/>
        <v>0</v>
      </c>
      <c r="V194" s="29">
        <f t="shared" si="51"/>
        <v>2788480.4315142236</v>
      </c>
      <c r="W194" s="29">
        <f t="shared" si="52"/>
        <v>2788480.4315142236</v>
      </c>
      <c r="X194" s="29">
        <f t="shared" si="53"/>
        <v>2788480.4315142236</v>
      </c>
      <c r="Y194">
        <f t="shared" si="54"/>
        <v>0</v>
      </c>
    </row>
    <row r="195" spans="1:25" x14ac:dyDescent="0.25">
      <c r="A195" s="4" t="s">
        <v>1035</v>
      </c>
      <c r="B195" s="7" t="s">
        <v>537</v>
      </c>
      <c r="C195" s="2" t="s">
        <v>1036</v>
      </c>
      <c r="D195">
        <f>VLOOKUP(B195,'Model allocations'!$A$1:$L$317,6,FALSE)</f>
        <v>37869.176754537511</v>
      </c>
      <c r="E195" s="31">
        <f>VLOOKUP(B195,'Initial adjusted formula count'!$A$1:$P$317,12,FALSE)</f>
        <v>0.14285714285714299</v>
      </c>
      <c r="F195">
        <f>VLOOKUP(B195,'Model allocations'!$A$1:$L$317,11,FALSE)</f>
        <v>32188.800241356883</v>
      </c>
      <c r="G195" s="30">
        <f t="shared" si="55"/>
        <v>0.85</v>
      </c>
      <c r="H195">
        <f t="shared" si="56"/>
        <v>32188.800241356883</v>
      </c>
      <c r="I195">
        <f t="shared" si="38"/>
        <v>0</v>
      </c>
      <c r="J195">
        <f t="shared" si="39"/>
        <v>32188.800241356883</v>
      </c>
      <c r="K195">
        <f t="shared" si="40"/>
        <v>32169.74945241155</v>
      </c>
      <c r="L195">
        <f t="shared" si="41"/>
        <v>32169.74945241155</v>
      </c>
      <c r="M195">
        <f t="shared" si="42"/>
        <v>32188.800241356883</v>
      </c>
      <c r="N195" s="29">
        <f t="shared" si="43"/>
        <v>0</v>
      </c>
      <c r="O195" s="29">
        <f t="shared" si="44"/>
        <v>0</v>
      </c>
      <c r="P195" s="29">
        <f t="shared" si="45"/>
        <v>32188.800241356883</v>
      </c>
      <c r="Q195">
        <f t="shared" si="46"/>
        <v>0</v>
      </c>
      <c r="R195" s="29">
        <f t="shared" si="47"/>
        <v>0</v>
      </c>
      <c r="S195" s="29">
        <f t="shared" si="48"/>
        <v>0</v>
      </c>
      <c r="T195" s="29">
        <f t="shared" si="49"/>
        <v>32188.800241356883</v>
      </c>
      <c r="U195">
        <f t="shared" si="50"/>
        <v>0</v>
      </c>
      <c r="V195" s="29">
        <f t="shared" si="51"/>
        <v>0</v>
      </c>
      <c r="W195" s="29">
        <f t="shared" si="52"/>
        <v>0</v>
      </c>
      <c r="X195" s="29">
        <f t="shared" si="53"/>
        <v>32188.800241356883</v>
      </c>
      <c r="Y195">
        <f t="shared" si="54"/>
        <v>0</v>
      </c>
    </row>
    <row r="196" spans="1:25" x14ac:dyDescent="0.25">
      <c r="A196" s="4" t="s">
        <v>1037</v>
      </c>
      <c r="B196" s="7" t="s">
        <v>191</v>
      </c>
      <c r="C196" s="2" t="s">
        <v>1038</v>
      </c>
      <c r="D196">
        <f>VLOOKUP(B196,'Model allocations'!$A$1:$L$317,6,FALSE)</f>
        <v>0</v>
      </c>
      <c r="E196" s="31">
        <f>VLOOKUP(B196,'Initial adjusted formula count'!$A$1:$P$317,12,FALSE)</f>
        <v>4.49438202247191E-2</v>
      </c>
      <c r="F196">
        <f>VLOOKUP(B196,'Model allocations'!$A$1:$L$317,11,FALSE)</f>
        <v>0</v>
      </c>
      <c r="G196" s="30">
        <f t="shared" si="55"/>
        <v>0.85</v>
      </c>
      <c r="H196">
        <f t="shared" si="56"/>
        <v>0</v>
      </c>
      <c r="I196">
        <f t="shared" ref="I196:I258" si="57">IF(F196&lt;H196,H196,0)</f>
        <v>0</v>
      </c>
      <c r="J196">
        <f t="shared" ref="J196:J258" si="58">IF(I196=0,F196,0)</f>
        <v>0</v>
      </c>
      <c r="K196">
        <f t="shared" ref="K196:K258" si="59">(J196/$J$3)*($F$3-$I$3)</f>
        <v>0</v>
      </c>
      <c r="L196">
        <f t="shared" ref="L196:L258" si="60">I196+K196</f>
        <v>0</v>
      </c>
      <c r="M196">
        <f t="shared" ref="M196:M258" si="61">IF(L196&lt;H196,H196,0)</f>
        <v>0</v>
      </c>
      <c r="N196" s="29">
        <f t="shared" ref="N196:N258" si="62">IF($I196+$M196=0,L196,0)</f>
        <v>0</v>
      </c>
      <c r="O196" s="29">
        <f t="shared" ref="O196:O258" si="63">((N196/$N$3)*($F$3-$I$3-$M$3))</f>
        <v>0</v>
      </c>
      <c r="P196" s="29">
        <f t="shared" ref="P196:P258" si="64">$I196+$M196+O196</f>
        <v>0</v>
      </c>
      <c r="Q196">
        <f t="shared" ref="Q196:Q258" si="65">IF(P196&lt;H196,H196,0)</f>
        <v>0</v>
      </c>
      <c r="R196" s="29">
        <f t="shared" ref="R196:R258" si="66">IF($I196+$M196+$Q196=0,P196,0)</f>
        <v>0</v>
      </c>
      <c r="S196" s="29">
        <f t="shared" ref="S196:S258" si="67">((R196/$R$3)*($F$3-$I$3-$M$3-$Q$3))</f>
        <v>0</v>
      </c>
      <c r="T196" s="29">
        <f t="shared" ref="T196:T258" si="68">$I196+$M196+$Q196+S196</f>
        <v>0</v>
      </c>
      <c r="U196">
        <f t="shared" ref="U196:U258" si="69">IF(T196&lt;H196,H196,0)</f>
        <v>0</v>
      </c>
      <c r="V196" s="29">
        <f t="shared" ref="V196:V258" si="70">IF($I196+$M196+$Q196+U196=0,T196,0)</f>
        <v>0</v>
      </c>
      <c r="W196" s="29">
        <f t="shared" ref="W196:W258" si="71">((V196/$V$3)*($F$3-$I$3-$M$3-$Q$3-$U$3))</f>
        <v>0</v>
      </c>
      <c r="X196" s="29">
        <f t="shared" ref="X196:X258" si="72">$I196+$M196+$Q196+$U196+W196</f>
        <v>0</v>
      </c>
      <c r="Y196">
        <f t="shared" ref="Y196:Y258" si="73">IF(X196&lt;H196,H196,0)</f>
        <v>0</v>
      </c>
    </row>
    <row r="197" spans="1:25" x14ac:dyDescent="0.25">
      <c r="A197" s="4" t="s">
        <v>1039</v>
      </c>
      <c r="B197" s="7" t="s">
        <v>294</v>
      </c>
      <c r="C197" s="2" t="s">
        <v>1040</v>
      </c>
      <c r="D197">
        <f>VLOOKUP(B197,'Model allocations'!$A$1:$L$317,6,FALSE)</f>
        <v>17278.449037065977</v>
      </c>
      <c r="E197" s="31">
        <f>VLOOKUP(B197,'Initial adjusted formula count'!$A$1:$P$317,12,FALSE)</f>
        <v>9.5238095238095205E-2</v>
      </c>
      <c r="F197">
        <f>VLOOKUP(B197,'Model allocations'!$A$1:$L$317,11,FALSE)</f>
        <v>14686.681681506079</v>
      </c>
      <c r="G197" s="30">
        <f t="shared" ref="G197:G259" si="74">IF(E197&lt;0.15,0.85,IF(AND(E197&gt;=0.15,E197&lt;0.3),0.9,0.95))</f>
        <v>0.85</v>
      </c>
      <c r="H197">
        <f t="shared" ref="H197:H259" si="75">IF(F197 = 0, 0, D197*G197)</f>
        <v>14686.681681506079</v>
      </c>
      <c r="I197">
        <f t="shared" si="57"/>
        <v>0</v>
      </c>
      <c r="J197">
        <f t="shared" si="58"/>
        <v>14686.681681506079</v>
      </c>
      <c r="K197">
        <f t="shared" si="59"/>
        <v>14677.989438523311</v>
      </c>
      <c r="L197">
        <f t="shared" si="60"/>
        <v>14677.989438523311</v>
      </c>
      <c r="M197">
        <f t="shared" si="61"/>
        <v>14686.681681506079</v>
      </c>
      <c r="N197" s="29">
        <f t="shared" si="62"/>
        <v>0</v>
      </c>
      <c r="O197" s="29">
        <f t="shared" si="63"/>
        <v>0</v>
      </c>
      <c r="P197" s="29">
        <f t="shared" si="64"/>
        <v>14686.681681506079</v>
      </c>
      <c r="Q197">
        <f t="shared" si="65"/>
        <v>0</v>
      </c>
      <c r="R197" s="29">
        <f t="shared" si="66"/>
        <v>0</v>
      </c>
      <c r="S197" s="29">
        <f t="shared" si="67"/>
        <v>0</v>
      </c>
      <c r="T197" s="29">
        <f t="shared" si="68"/>
        <v>14686.681681506079</v>
      </c>
      <c r="U197">
        <f t="shared" si="69"/>
        <v>0</v>
      </c>
      <c r="V197" s="29">
        <f t="shared" si="70"/>
        <v>0</v>
      </c>
      <c r="W197" s="29">
        <f t="shared" si="71"/>
        <v>0</v>
      </c>
      <c r="X197" s="29">
        <f t="shared" si="72"/>
        <v>14686.681681506079</v>
      </c>
      <c r="Y197">
        <f t="shared" si="73"/>
        <v>0</v>
      </c>
    </row>
    <row r="198" spans="1:25" x14ac:dyDescent="0.25">
      <c r="A198" s="4" t="s">
        <v>1041</v>
      </c>
      <c r="B198" s="7" t="s">
        <v>193</v>
      </c>
      <c r="C198" s="2" t="s">
        <v>1042</v>
      </c>
      <c r="D198">
        <f>VLOOKUP(B198,'Model allocations'!$A$1:$L$317,6,FALSE)</f>
        <v>0</v>
      </c>
      <c r="E198" s="31">
        <f>VLOOKUP(B198,'Initial adjusted formula count'!$A$1:$P$317,12,FALSE)</f>
        <v>4.4412364130434798E-2</v>
      </c>
      <c r="F198">
        <f>VLOOKUP(B198,'Model allocations'!$A$1:$L$317,11,FALSE)</f>
        <v>0</v>
      </c>
      <c r="G198" s="30">
        <f t="shared" si="74"/>
        <v>0.85</v>
      </c>
      <c r="H198">
        <f t="shared" si="75"/>
        <v>0</v>
      </c>
      <c r="I198">
        <f t="shared" si="57"/>
        <v>0</v>
      </c>
      <c r="J198">
        <f t="shared" si="58"/>
        <v>0</v>
      </c>
      <c r="K198">
        <f t="shared" si="59"/>
        <v>0</v>
      </c>
      <c r="L198">
        <f t="shared" si="60"/>
        <v>0</v>
      </c>
      <c r="M198">
        <f t="shared" si="61"/>
        <v>0</v>
      </c>
      <c r="N198" s="29">
        <f t="shared" si="62"/>
        <v>0</v>
      </c>
      <c r="O198" s="29">
        <f t="shared" si="63"/>
        <v>0</v>
      </c>
      <c r="P198" s="29">
        <f t="shared" si="64"/>
        <v>0</v>
      </c>
      <c r="Q198">
        <f t="shared" si="65"/>
        <v>0</v>
      </c>
      <c r="R198" s="29">
        <f t="shared" si="66"/>
        <v>0</v>
      </c>
      <c r="S198" s="29">
        <f t="shared" si="67"/>
        <v>0</v>
      </c>
      <c r="T198" s="29">
        <f t="shared" si="68"/>
        <v>0</v>
      </c>
      <c r="U198">
        <f t="shared" si="69"/>
        <v>0</v>
      </c>
      <c r="V198" s="29">
        <f t="shared" si="70"/>
        <v>0</v>
      </c>
      <c r="W198" s="29">
        <f t="shared" si="71"/>
        <v>0</v>
      </c>
      <c r="X198" s="29">
        <f t="shared" si="72"/>
        <v>0</v>
      </c>
      <c r="Y198">
        <f t="shared" si="73"/>
        <v>0</v>
      </c>
    </row>
    <row r="199" spans="1:25" x14ac:dyDescent="0.25">
      <c r="A199" s="4" t="s">
        <v>52</v>
      </c>
      <c r="B199" s="7" t="s">
        <v>83</v>
      </c>
      <c r="C199" s="2" t="s">
        <v>1043</v>
      </c>
      <c r="D199">
        <f>VLOOKUP(B199,'Model allocations'!$A$1:$L$317,6,FALSE)</f>
        <v>13108.720407113116</v>
      </c>
      <c r="E199" s="31">
        <f>VLOOKUP(B199,'Initial adjusted formula count'!$A$1:$P$317,12,FALSE)</f>
        <v>8.8673742888640106E-2</v>
      </c>
      <c r="F199">
        <f>VLOOKUP(B199,'Model allocations'!$A$1:$L$317,11,FALSE)</f>
        <v>15849.908627248995</v>
      </c>
      <c r="G199" s="30">
        <f t="shared" si="74"/>
        <v>0.85</v>
      </c>
      <c r="H199">
        <f t="shared" si="75"/>
        <v>11142.412346046149</v>
      </c>
      <c r="I199">
        <f t="shared" si="57"/>
        <v>0</v>
      </c>
      <c r="J199">
        <f t="shared" si="58"/>
        <v>15849.908627248995</v>
      </c>
      <c r="K199">
        <f t="shared" si="59"/>
        <v>15840.527933908566</v>
      </c>
      <c r="L199">
        <f t="shared" si="60"/>
        <v>15840.527933908566</v>
      </c>
      <c r="M199">
        <f t="shared" si="61"/>
        <v>0</v>
      </c>
      <c r="N199" s="29">
        <f t="shared" si="62"/>
        <v>15840.527933908566</v>
      </c>
      <c r="O199" s="29">
        <f t="shared" si="63"/>
        <v>15839.326031105224</v>
      </c>
      <c r="P199" s="29">
        <f t="shared" si="64"/>
        <v>15839.326031105224</v>
      </c>
      <c r="Q199">
        <f t="shared" si="65"/>
        <v>0</v>
      </c>
      <c r="R199" s="29">
        <f t="shared" si="66"/>
        <v>15839.326031105224</v>
      </c>
      <c r="S199" s="29">
        <f t="shared" si="67"/>
        <v>15839.326031105209</v>
      </c>
      <c r="T199" s="29">
        <f t="shared" si="68"/>
        <v>15839.326031105209</v>
      </c>
      <c r="U199">
        <f t="shared" si="69"/>
        <v>0</v>
      </c>
      <c r="V199" s="29">
        <f t="shared" si="70"/>
        <v>15839.326031105209</v>
      </c>
      <c r="W199" s="29">
        <f t="shared" si="71"/>
        <v>15839.326031105209</v>
      </c>
      <c r="X199" s="29">
        <f t="shared" si="72"/>
        <v>15839.326031105209</v>
      </c>
      <c r="Y199">
        <f t="shared" si="73"/>
        <v>0</v>
      </c>
    </row>
    <row r="200" spans="1:25" x14ac:dyDescent="0.25">
      <c r="A200" s="4" t="s">
        <v>1044</v>
      </c>
      <c r="B200" s="7" t="s">
        <v>539</v>
      </c>
      <c r="C200" s="2" t="s">
        <v>1045</v>
      </c>
      <c r="D200">
        <f>VLOOKUP(B200,'Model allocations'!$A$1:$L$317,6,FALSE)</f>
        <v>119684.0514973964</v>
      </c>
      <c r="E200" s="31">
        <f>VLOOKUP(B200,'Initial adjusted formula count'!$A$1:$P$317,12,FALSE)</f>
        <v>0.111772486772487</v>
      </c>
      <c r="F200">
        <f>VLOOKUP(B200,'Model allocations'!$A$1:$L$317,11,FALSE)</f>
        <v>101731.44377278694</v>
      </c>
      <c r="G200" s="30">
        <f t="shared" si="74"/>
        <v>0.85</v>
      </c>
      <c r="H200">
        <f t="shared" si="75"/>
        <v>101731.44377278694</v>
      </c>
      <c r="I200">
        <f t="shared" si="57"/>
        <v>0</v>
      </c>
      <c r="J200">
        <f t="shared" si="58"/>
        <v>101731.44377278694</v>
      </c>
      <c r="K200">
        <f t="shared" si="59"/>
        <v>101671.23449968925</v>
      </c>
      <c r="L200">
        <f t="shared" si="60"/>
        <v>101671.23449968925</v>
      </c>
      <c r="M200">
        <f t="shared" si="61"/>
        <v>101731.44377278694</v>
      </c>
      <c r="N200" s="29">
        <f t="shared" si="62"/>
        <v>0</v>
      </c>
      <c r="O200" s="29">
        <f t="shared" si="63"/>
        <v>0</v>
      </c>
      <c r="P200" s="29">
        <f t="shared" si="64"/>
        <v>101731.44377278694</v>
      </c>
      <c r="Q200">
        <f t="shared" si="65"/>
        <v>0</v>
      </c>
      <c r="R200" s="29">
        <f t="shared" si="66"/>
        <v>0</v>
      </c>
      <c r="S200" s="29">
        <f t="shared" si="67"/>
        <v>0</v>
      </c>
      <c r="T200" s="29">
        <f t="shared" si="68"/>
        <v>101731.44377278694</v>
      </c>
      <c r="U200">
        <f t="shared" si="69"/>
        <v>0</v>
      </c>
      <c r="V200" s="29">
        <f t="shared" si="70"/>
        <v>0</v>
      </c>
      <c r="W200" s="29">
        <f t="shared" si="71"/>
        <v>0</v>
      </c>
      <c r="X200" s="29">
        <f t="shared" si="72"/>
        <v>101731.44377278694</v>
      </c>
      <c r="Y200">
        <f t="shared" si="73"/>
        <v>0</v>
      </c>
    </row>
    <row r="201" spans="1:25" x14ac:dyDescent="0.25">
      <c r="A201" s="4" t="s">
        <v>1046</v>
      </c>
      <c r="B201" s="7" t="s">
        <v>541</v>
      </c>
      <c r="C201" s="2" t="s">
        <v>1047</v>
      </c>
      <c r="D201">
        <f>VLOOKUP(B201,'Model allocations'!$A$1:$L$317,6,FALSE)</f>
        <v>39427.674774613268</v>
      </c>
      <c r="E201" s="31">
        <f>VLOOKUP(B201,'Initial adjusted formula count'!$A$1:$P$317,12,FALSE)</f>
        <v>0.16253443526170799</v>
      </c>
      <c r="F201">
        <f>VLOOKUP(B201,'Model allocations'!$A$1:$L$317,11,FALSE)</f>
        <v>35484.907297151942</v>
      </c>
      <c r="G201" s="30">
        <f t="shared" si="74"/>
        <v>0.9</v>
      </c>
      <c r="H201">
        <f t="shared" si="75"/>
        <v>35484.907297151942</v>
      </c>
      <c r="I201">
        <f t="shared" si="57"/>
        <v>0</v>
      </c>
      <c r="J201">
        <f t="shared" si="58"/>
        <v>35484.907297151942</v>
      </c>
      <c r="K201">
        <f t="shared" si="59"/>
        <v>35463.905722859214</v>
      </c>
      <c r="L201">
        <f t="shared" si="60"/>
        <v>35463.905722859214</v>
      </c>
      <c r="M201">
        <f t="shared" si="61"/>
        <v>35484.907297151942</v>
      </c>
      <c r="N201" s="29">
        <f t="shared" si="62"/>
        <v>0</v>
      </c>
      <c r="O201" s="29">
        <f t="shared" si="63"/>
        <v>0</v>
      </c>
      <c r="P201" s="29">
        <f t="shared" si="64"/>
        <v>35484.907297151942</v>
      </c>
      <c r="Q201">
        <f t="shared" si="65"/>
        <v>0</v>
      </c>
      <c r="R201" s="29">
        <f t="shared" si="66"/>
        <v>0</v>
      </c>
      <c r="S201" s="29">
        <f t="shared" si="67"/>
        <v>0</v>
      </c>
      <c r="T201" s="29">
        <f t="shared" si="68"/>
        <v>35484.907297151942</v>
      </c>
      <c r="U201">
        <f t="shared" si="69"/>
        <v>0</v>
      </c>
      <c r="V201" s="29">
        <f t="shared" si="70"/>
        <v>0</v>
      </c>
      <c r="W201" s="29">
        <f t="shared" si="71"/>
        <v>0</v>
      </c>
      <c r="X201" s="29">
        <f t="shared" si="72"/>
        <v>35484.907297151942</v>
      </c>
      <c r="Y201">
        <f t="shared" si="73"/>
        <v>0</v>
      </c>
    </row>
    <row r="202" spans="1:25" x14ac:dyDescent="0.25">
      <c r="A202" s="4" t="s">
        <v>1048</v>
      </c>
      <c r="B202" s="7" t="s">
        <v>543</v>
      </c>
      <c r="C202" s="2" t="s">
        <v>1049</v>
      </c>
      <c r="D202">
        <f>VLOOKUP(B202,'Model allocations'!$A$1:$L$317,6,FALSE)</f>
        <v>336589.54283034179</v>
      </c>
      <c r="E202" s="31">
        <f>VLOOKUP(B202,'Initial adjusted formula count'!$A$1:$P$317,12,FALSE)</f>
        <v>0.142722783917235</v>
      </c>
      <c r="F202">
        <f>VLOOKUP(B202,'Model allocations'!$A$1:$L$317,11,FALSE)</f>
        <v>345132.65199653088</v>
      </c>
      <c r="G202" s="30">
        <f t="shared" si="74"/>
        <v>0.85</v>
      </c>
      <c r="H202">
        <f t="shared" si="75"/>
        <v>286101.11140579049</v>
      </c>
      <c r="I202">
        <f t="shared" si="57"/>
        <v>0</v>
      </c>
      <c r="J202">
        <f t="shared" si="58"/>
        <v>345132.65199653088</v>
      </c>
      <c r="K202">
        <f t="shared" si="59"/>
        <v>344928.3868713312</v>
      </c>
      <c r="L202">
        <f t="shared" si="60"/>
        <v>344928.3868713312</v>
      </c>
      <c r="M202">
        <f t="shared" si="61"/>
        <v>0</v>
      </c>
      <c r="N202" s="29">
        <f t="shared" si="62"/>
        <v>344928.3868713312</v>
      </c>
      <c r="O202" s="29">
        <f t="shared" si="63"/>
        <v>344902.21537017525</v>
      </c>
      <c r="P202" s="29">
        <f t="shared" si="64"/>
        <v>344902.21537017525</v>
      </c>
      <c r="Q202">
        <f t="shared" si="65"/>
        <v>0</v>
      </c>
      <c r="R202" s="29">
        <f t="shared" si="66"/>
        <v>344902.21537017525</v>
      </c>
      <c r="S202" s="29">
        <f t="shared" si="67"/>
        <v>344902.21537017496</v>
      </c>
      <c r="T202" s="29">
        <f t="shared" si="68"/>
        <v>344902.21537017496</v>
      </c>
      <c r="U202">
        <f t="shared" si="69"/>
        <v>0</v>
      </c>
      <c r="V202" s="29">
        <f t="shared" si="70"/>
        <v>344902.21537017496</v>
      </c>
      <c r="W202" s="29">
        <f t="shared" si="71"/>
        <v>344902.21537017496</v>
      </c>
      <c r="X202" s="29">
        <f t="shared" si="72"/>
        <v>344902.21537017496</v>
      </c>
      <c r="Y202">
        <f t="shared" si="73"/>
        <v>0</v>
      </c>
    </row>
    <row r="203" spans="1:25" x14ac:dyDescent="0.25">
      <c r="A203" s="4" t="s">
        <v>1050</v>
      </c>
      <c r="B203" s="7" t="s">
        <v>545</v>
      </c>
      <c r="C203" s="2" t="s">
        <v>1051</v>
      </c>
      <c r="D203">
        <f>VLOOKUP(B203,'Model allocations'!$A$1:$L$317,6,FALSE)</f>
        <v>142625.86989973413</v>
      </c>
      <c r="E203" s="31">
        <f>VLOOKUP(B203,'Initial adjusted formula count'!$A$1:$P$317,12,FALSE)</f>
        <v>0.173180076628352</v>
      </c>
      <c r="F203">
        <f>VLOOKUP(B203,'Model allocations'!$A$1:$L$317,11,FALSE)</f>
        <v>138172.89062795055</v>
      </c>
      <c r="G203" s="30">
        <f t="shared" si="74"/>
        <v>0.9</v>
      </c>
      <c r="H203">
        <f t="shared" si="75"/>
        <v>128363.28290976072</v>
      </c>
      <c r="I203">
        <f t="shared" si="57"/>
        <v>0</v>
      </c>
      <c r="J203">
        <f t="shared" si="58"/>
        <v>138172.89062795055</v>
      </c>
      <c r="K203">
        <f t="shared" si="59"/>
        <v>138091.11365715382</v>
      </c>
      <c r="L203">
        <f t="shared" si="60"/>
        <v>138091.11365715382</v>
      </c>
      <c r="M203">
        <f t="shared" si="61"/>
        <v>0</v>
      </c>
      <c r="N203" s="29">
        <f t="shared" si="62"/>
        <v>138091.11365715382</v>
      </c>
      <c r="O203" s="29">
        <f t="shared" si="63"/>
        <v>138080.63596996348</v>
      </c>
      <c r="P203" s="29">
        <f t="shared" si="64"/>
        <v>138080.63596996348</v>
      </c>
      <c r="Q203">
        <f t="shared" si="65"/>
        <v>0</v>
      </c>
      <c r="R203" s="29">
        <f t="shared" si="66"/>
        <v>138080.63596996348</v>
      </c>
      <c r="S203" s="29">
        <f t="shared" si="67"/>
        <v>138080.63596996336</v>
      </c>
      <c r="T203" s="29">
        <f t="shared" si="68"/>
        <v>138080.63596996336</v>
      </c>
      <c r="U203">
        <f t="shared" si="69"/>
        <v>0</v>
      </c>
      <c r="V203" s="29">
        <f t="shared" si="70"/>
        <v>138080.63596996336</v>
      </c>
      <c r="W203" s="29">
        <f t="shared" si="71"/>
        <v>138080.63596996336</v>
      </c>
      <c r="X203" s="29">
        <f t="shared" si="72"/>
        <v>138080.63596996336</v>
      </c>
      <c r="Y203">
        <f t="shared" si="73"/>
        <v>0</v>
      </c>
    </row>
    <row r="204" spans="1:25" x14ac:dyDescent="0.25">
      <c r="A204" s="4" t="s">
        <v>1052</v>
      </c>
      <c r="B204" s="7" t="s">
        <v>547</v>
      </c>
      <c r="C204" s="2" t="s">
        <v>1053</v>
      </c>
      <c r="D204">
        <f>VLOOKUP(B204,'Model allocations'!$A$1:$L$317,6,FALSE)</f>
        <v>26022.048689404583</v>
      </c>
      <c r="E204" s="31">
        <f>VLOOKUP(B204,'Initial adjusted formula count'!$A$1:$P$317,12,FALSE)</f>
        <v>0.199421965317919</v>
      </c>
      <c r="F204">
        <f>VLOOKUP(B204,'Model allocations'!$A$1:$L$317,11,FALSE)</f>
        <v>45668.896367538982</v>
      </c>
      <c r="G204" s="30">
        <f t="shared" si="74"/>
        <v>0.9</v>
      </c>
      <c r="H204">
        <f t="shared" si="75"/>
        <v>23419.843820464124</v>
      </c>
      <c r="I204">
        <f t="shared" si="57"/>
        <v>0</v>
      </c>
      <c r="J204">
        <f t="shared" si="58"/>
        <v>45668.896367538982</v>
      </c>
      <c r="K204">
        <f t="shared" si="59"/>
        <v>45641.867447556237</v>
      </c>
      <c r="L204">
        <f t="shared" si="60"/>
        <v>45641.867447556237</v>
      </c>
      <c r="M204">
        <f t="shared" si="61"/>
        <v>0</v>
      </c>
      <c r="N204" s="29">
        <f t="shared" si="62"/>
        <v>45641.867447556237</v>
      </c>
      <c r="O204" s="29">
        <f t="shared" si="63"/>
        <v>45638.404362950481</v>
      </c>
      <c r="P204" s="29">
        <f t="shared" si="64"/>
        <v>45638.404362950481</v>
      </c>
      <c r="Q204">
        <f t="shared" si="65"/>
        <v>0</v>
      </c>
      <c r="R204" s="29">
        <f t="shared" si="66"/>
        <v>45638.404362950481</v>
      </c>
      <c r="S204" s="29">
        <f t="shared" si="67"/>
        <v>45638.404362950438</v>
      </c>
      <c r="T204" s="29">
        <f t="shared" si="68"/>
        <v>45638.404362950438</v>
      </c>
      <c r="U204">
        <f t="shared" si="69"/>
        <v>0</v>
      </c>
      <c r="V204" s="29">
        <f t="shared" si="70"/>
        <v>45638.404362950438</v>
      </c>
      <c r="W204" s="29">
        <f t="shared" si="71"/>
        <v>45638.404362950438</v>
      </c>
      <c r="X204" s="29">
        <f t="shared" si="72"/>
        <v>45638.404362950438</v>
      </c>
      <c r="Y204">
        <f t="shared" si="73"/>
        <v>0</v>
      </c>
    </row>
    <row r="205" spans="1:25" x14ac:dyDescent="0.25">
      <c r="A205" s="4" t="s">
        <v>33</v>
      </c>
      <c r="B205" s="7" t="s">
        <v>77</v>
      </c>
      <c r="C205" s="2" t="s">
        <v>1054</v>
      </c>
      <c r="D205">
        <f>VLOOKUP(B205,'Model allocations'!$A$1:$L$317,6,FALSE)</f>
        <v>63784.953350142547</v>
      </c>
      <c r="E205" s="31">
        <f>VLOOKUP(B205,'Initial adjusted formula count'!$A$1:$P$317,12,FALSE)</f>
        <v>9.0664664515611698E-2</v>
      </c>
      <c r="F205">
        <f>VLOOKUP(B205,'Model allocations'!$A$1:$L$317,11,FALSE)</f>
        <v>26216.150306065094</v>
      </c>
      <c r="G205" s="30">
        <f t="shared" si="74"/>
        <v>0.85</v>
      </c>
      <c r="H205">
        <f t="shared" si="75"/>
        <v>54217.210347621163</v>
      </c>
      <c r="I205">
        <f t="shared" si="57"/>
        <v>54217.210347621163</v>
      </c>
      <c r="J205">
        <f t="shared" si="58"/>
        <v>0</v>
      </c>
      <c r="K205">
        <f t="shared" si="59"/>
        <v>0</v>
      </c>
      <c r="L205">
        <f t="shared" si="60"/>
        <v>54217.210347621163</v>
      </c>
      <c r="M205">
        <f t="shared" si="61"/>
        <v>0</v>
      </c>
      <c r="N205" s="29">
        <f t="shared" si="62"/>
        <v>0</v>
      </c>
      <c r="O205" s="29">
        <f t="shared" si="63"/>
        <v>0</v>
      </c>
      <c r="P205" s="29">
        <f t="shared" si="64"/>
        <v>54217.210347621163</v>
      </c>
      <c r="Q205">
        <f t="shared" si="65"/>
        <v>0</v>
      </c>
      <c r="R205" s="29">
        <f t="shared" si="66"/>
        <v>0</v>
      </c>
      <c r="S205" s="29">
        <f t="shared" si="67"/>
        <v>0</v>
      </c>
      <c r="T205" s="29">
        <f t="shared" si="68"/>
        <v>54217.210347621163</v>
      </c>
      <c r="U205">
        <f t="shared" si="69"/>
        <v>0</v>
      </c>
      <c r="V205" s="29">
        <f t="shared" si="70"/>
        <v>0</v>
      </c>
      <c r="W205" s="29">
        <f t="shared" si="71"/>
        <v>0</v>
      </c>
      <c r="X205" s="29">
        <f t="shared" si="72"/>
        <v>54217.210347621163</v>
      </c>
      <c r="Y205">
        <f t="shared" si="73"/>
        <v>0</v>
      </c>
    </row>
    <row r="206" spans="1:25" x14ac:dyDescent="0.25">
      <c r="A206" s="4" t="s">
        <v>1055</v>
      </c>
      <c r="B206" s="7" t="s">
        <v>549</v>
      </c>
      <c r="C206" s="2" t="s">
        <v>1056</v>
      </c>
      <c r="D206">
        <f>VLOOKUP(B206,'Model allocations'!$A$1:$L$317,6,FALSE)</f>
        <v>190074.09477478123</v>
      </c>
      <c r="E206" s="31">
        <f>VLOOKUP(B206,'Initial adjusted formula count'!$A$1:$P$317,12,FALSE)</f>
        <v>0.121314808539478</v>
      </c>
      <c r="F206">
        <f>VLOOKUP(B206,'Model allocations'!$A$1:$L$317,11,FALSE)</f>
        <v>203554.34829449432</v>
      </c>
      <c r="G206" s="30">
        <f t="shared" si="74"/>
        <v>0.85</v>
      </c>
      <c r="H206">
        <f t="shared" si="75"/>
        <v>161562.98055856404</v>
      </c>
      <c r="I206">
        <f t="shared" si="57"/>
        <v>0</v>
      </c>
      <c r="J206">
        <f t="shared" si="58"/>
        <v>203554.34829449432</v>
      </c>
      <c r="K206">
        <f t="shared" si="59"/>
        <v>203433.87561768794</v>
      </c>
      <c r="L206">
        <f t="shared" si="60"/>
        <v>203433.87561768794</v>
      </c>
      <c r="M206">
        <f t="shared" si="61"/>
        <v>0</v>
      </c>
      <c r="N206" s="29">
        <f t="shared" si="62"/>
        <v>203433.87561768794</v>
      </c>
      <c r="O206" s="29">
        <f t="shared" si="63"/>
        <v>203418.440037105</v>
      </c>
      <c r="P206" s="29">
        <f t="shared" si="64"/>
        <v>203418.440037105</v>
      </c>
      <c r="Q206">
        <f t="shared" si="65"/>
        <v>0</v>
      </c>
      <c r="R206" s="29">
        <f t="shared" si="66"/>
        <v>203418.440037105</v>
      </c>
      <c r="S206" s="29">
        <f t="shared" si="67"/>
        <v>203418.44003710483</v>
      </c>
      <c r="T206" s="29">
        <f t="shared" si="68"/>
        <v>203418.44003710483</v>
      </c>
      <c r="U206">
        <f t="shared" si="69"/>
        <v>0</v>
      </c>
      <c r="V206" s="29">
        <f t="shared" si="70"/>
        <v>203418.44003710483</v>
      </c>
      <c r="W206" s="29">
        <f t="shared" si="71"/>
        <v>203418.44003710483</v>
      </c>
      <c r="X206" s="29">
        <f t="shared" si="72"/>
        <v>203418.44003710483</v>
      </c>
      <c r="Y206">
        <f t="shared" si="73"/>
        <v>0</v>
      </c>
    </row>
    <row r="207" spans="1:25" x14ac:dyDescent="0.25">
      <c r="A207" s="4" t="s">
        <v>20</v>
      </c>
      <c r="B207" s="7" t="s">
        <v>58</v>
      </c>
      <c r="C207" s="2" t="s">
        <v>1057</v>
      </c>
      <c r="D207">
        <f>VLOOKUP(B207,'Model allocations'!$A$1:$L$317,6,FALSE)</f>
        <v>186114.21780030662</v>
      </c>
      <c r="E207" s="31">
        <f>VLOOKUP(B207,'Initial adjusted formula count'!$A$1:$P$317,12,FALSE)</f>
        <v>0.124369249035322</v>
      </c>
      <c r="F207">
        <f>VLOOKUP(B207,'Model allocations'!$A$1:$L$317,11,FALSE)</f>
        <v>238238.18976366794</v>
      </c>
      <c r="G207" s="30">
        <f t="shared" si="74"/>
        <v>0.85</v>
      </c>
      <c r="H207">
        <f t="shared" si="75"/>
        <v>158197.08513026062</v>
      </c>
      <c r="I207">
        <f t="shared" si="57"/>
        <v>0</v>
      </c>
      <c r="J207">
        <f t="shared" si="58"/>
        <v>238238.18976366794</v>
      </c>
      <c r="K207">
        <f t="shared" si="59"/>
        <v>238097.18961958445</v>
      </c>
      <c r="L207">
        <f t="shared" si="60"/>
        <v>238097.18961958445</v>
      </c>
      <c r="M207">
        <f t="shared" si="61"/>
        <v>0</v>
      </c>
      <c r="N207" s="29">
        <f t="shared" si="62"/>
        <v>238097.18961958445</v>
      </c>
      <c r="O207" s="29">
        <f t="shared" si="63"/>
        <v>238079.12395404186</v>
      </c>
      <c r="P207" s="29">
        <f t="shared" si="64"/>
        <v>238079.12395404186</v>
      </c>
      <c r="Q207">
        <f t="shared" si="65"/>
        <v>0</v>
      </c>
      <c r="R207" s="29">
        <f t="shared" si="66"/>
        <v>238079.12395404186</v>
      </c>
      <c r="S207" s="29">
        <f t="shared" si="67"/>
        <v>238079.12395404166</v>
      </c>
      <c r="T207" s="29">
        <f t="shared" si="68"/>
        <v>238079.12395404166</v>
      </c>
      <c r="U207">
        <f t="shared" si="69"/>
        <v>0</v>
      </c>
      <c r="V207" s="29">
        <f t="shared" si="70"/>
        <v>238079.12395404166</v>
      </c>
      <c r="W207" s="29">
        <f t="shared" si="71"/>
        <v>238079.12395404166</v>
      </c>
      <c r="X207" s="29">
        <f t="shared" si="72"/>
        <v>238079.12395404166</v>
      </c>
      <c r="Y207">
        <f t="shared" si="73"/>
        <v>0</v>
      </c>
    </row>
    <row r="208" spans="1:25" x14ac:dyDescent="0.25">
      <c r="A208" s="4" t="s">
        <v>1058</v>
      </c>
      <c r="B208" s="7" t="s">
        <v>195</v>
      </c>
      <c r="C208" s="2" t="s">
        <v>1059</v>
      </c>
      <c r="D208">
        <f>VLOOKUP(B208,'Model allocations'!$A$1:$L$317,6,FALSE)</f>
        <v>1370117.4331682152</v>
      </c>
      <c r="E208" s="31">
        <f>VLOOKUP(B208,'Initial adjusted formula count'!$A$1:$P$317,12,FALSE)</f>
        <v>8.1236408822615694E-2</v>
      </c>
      <c r="F208">
        <f>VLOOKUP(B208,'Model allocations'!$A$1:$L$317,11,FALSE)</f>
        <v>1587780.7754535626</v>
      </c>
      <c r="G208" s="30">
        <f t="shared" si="74"/>
        <v>0.85</v>
      </c>
      <c r="H208">
        <f t="shared" si="75"/>
        <v>1164599.8181929828</v>
      </c>
      <c r="I208">
        <f t="shared" si="57"/>
        <v>0</v>
      </c>
      <c r="J208">
        <f t="shared" si="58"/>
        <v>1587780.7754535626</v>
      </c>
      <c r="K208">
        <f t="shared" si="59"/>
        <v>1586841.0549228871</v>
      </c>
      <c r="L208">
        <f t="shared" si="60"/>
        <v>1586841.0549228871</v>
      </c>
      <c r="M208">
        <f t="shared" si="61"/>
        <v>0</v>
      </c>
      <c r="N208" s="29">
        <f t="shared" si="62"/>
        <v>1586841.0549228871</v>
      </c>
      <c r="O208" s="29">
        <f t="shared" si="63"/>
        <v>1586720.6530827258</v>
      </c>
      <c r="P208" s="29">
        <f t="shared" si="64"/>
        <v>1586720.6530827258</v>
      </c>
      <c r="Q208">
        <f t="shared" si="65"/>
        <v>0</v>
      </c>
      <c r="R208" s="29">
        <f t="shared" si="66"/>
        <v>1586720.6530827258</v>
      </c>
      <c r="S208" s="29">
        <f t="shared" si="67"/>
        <v>1586720.6530827247</v>
      </c>
      <c r="T208" s="29">
        <f t="shared" si="68"/>
        <v>1586720.6530827247</v>
      </c>
      <c r="U208">
        <f t="shared" si="69"/>
        <v>0</v>
      </c>
      <c r="V208" s="29">
        <f t="shared" si="70"/>
        <v>1586720.6530827247</v>
      </c>
      <c r="W208" s="29">
        <f t="shared" si="71"/>
        <v>1586720.6530827247</v>
      </c>
      <c r="X208" s="29">
        <f t="shared" si="72"/>
        <v>1586720.6530827247</v>
      </c>
      <c r="Y208">
        <f t="shared" si="73"/>
        <v>0</v>
      </c>
    </row>
    <row r="209" spans="1:25" x14ac:dyDescent="0.25">
      <c r="A209" s="4" t="s">
        <v>1060</v>
      </c>
      <c r="B209" s="7" t="s">
        <v>551</v>
      </c>
      <c r="C209" s="2" t="s">
        <v>1061</v>
      </c>
      <c r="D209">
        <f>VLOOKUP(B209,'Model allocations'!$A$1:$L$317,6,FALSE)</f>
        <v>11011.852169303249</v>
      </c>
      <c r="E209" s="31">
        <f>VLOOKUP(B209,'Initial adjusted formula count'!$A$1:$P$317,12,FALSE)</f>
        <v>0.29032258064516098</v>
      </c>
      <c r="F209">
        <f>VLOOKUP(B209,'Model allocations'!$A$1:$L$317,11,FALSE)</f>
        <v>0</v>
      </c>
      <c r="G209" s="30">
        <f t="shared" si="74"/>
        <v>0.9</v>
      </c>
      <c r="H209">
        <f t="shared" si="75"/>
        <v>0</v>
      </c>
      <c r="I209">
        <f t="shared" si="57"/>
        <v>0</v>
      </c>
      <c r="J209">
        <f t="shared" si="58"/>
        <v>0</v>
      </c>
      <c r="K209">
        <f t="shared" si="59"/>
        <v>0</v>
      </c>
      <c r="L209">
        <f t="shared" si="60"/>
        <v>0</v>
      </c>
      <c r="M209">
        <f t="shared" si="61"/>
        <v>0</v>
      </c>
      <c r="N209" s="29">
        <f t="shared" si="62"/>
        <v>0</v>
      </c>
      <c r="O209" s="29">
        <f t="shared" si="63"/>
        <v>0</v>
      </c>
      <c r="P209" s="29">
        <f t="shared" si="64"/>
        <v>0</v>
      </c>
      <c r="Q209">
        <f t="shared" si="65"/>
        <v>0</v>
      </c>
      <c r="R209" s="29">
        <f t="shared" si="66"/>
        <v>0</v>
      </c>
      <c r="S209" s="29">
        <f t="shared" si="67"/>
        <v>0</v>
      </c>
      <c r="T209" s="29">
        <f t="shared" si="68"/>
        <v>0</v>
      </c>
      <c r="U209">
        <f t="shared" si="69"/>
        <v>0</v>
      </c>
      <c r="V209" s="29">
        <f t="shared" si="70"/>
        <v>0</v>
      </c>
      <c r="W209" s="29">
        <f t="shared" si="71"/>
        <v>0</v>
      </c>
      <c r="X209" s="29">
        <f t="shared" si="72"/>
        <v>0</v>
      </c>
      <c r="Y209">
        <f t="shared" si="73"/>
        <v>0</v>
      </c>
    </row>
    <row r="210" spans="1:25" x14ac:dyDescent="0.25">
      <c r="A210" s="4" t="s">
        <v>1062</v>
      </c>
      <c r="B210" s="7" t="s">
        <v>553</v>
      </c>
      <c r="C210" s="2" t="s">
        <v>1063</v>
      </c>
      <c r="D210">
        <f>VLOOKUP(B210,'Model allocations'!$A$1:$L$317,6,FALSE)</f>
        <v>16405.204608537671</v>
      </c>
      <c r="E210" s="31">
        <f>VLOOKUP(B210,'Initial adjusted formula count'!$A$1:$P$317,12,FALSE)</f>
        <v>0.16062176165803099</v>
      </c>
      <c r="F210">
        <f>VLOOKUP(B210,'Model allocations'!$A$1:$L$317,11,FALSE)</f>
        <v>18023.060208160528</v>
      </c>
      <c r="G210" s="30">
        <f t="shared" si="74"/>
        <v>0.9</v>
      </c>
      <c r="H210">
        <f t="shared" si="75"/>
        <v>14764.684147683905</v>
      </c>
      <c r="I210">
        <f t="shared" si="57"/>
        <v>0</v>
      </c>
      <c r="J210">
        <f t="shared" si="58"/>
        <v>18023.060208160528</v>
      </c>
      <c r="K210">
        <f t="shared" si="59"/>
        <v>18012.393345351098</v>
      </c>
      <c r="L210">
        <f t="shared" si="60"/>
        <v>18012.393345351098</v>
      </c>
      <c r="M210">
        <f t="shared" si="61"/>
        <v>0</v>
      </c>
      <c r="N210" s="29">
        <f t="shared" si="62"/>
        <v>18012.393345351098</v>
      </c>
      <c r="O210" s="29">
        <f t="shared" si="63"/>
        <v>18011.026651883112</v>
      </c>
      <c r="P210" s="29">
        <f t="shared" si="64"/>
        <v>18011.026651883112</v>
      </c>
      <c r="Q210">
        <f t="shared" si="65"/>
        <v>0</v>
      </c>
      <c r="R210" s="29">
        <f t="shared" si="66"/>
        <v>18011.026651883112</v>
      </c>
      <c r="S210" s="29">
        <f t="shared" si="67"/>
        <v>18011.026651883098</v>
      </c>
      <c r="T210" s="29">
        <f t="shared" si="68"/>
        <v>18011.026651883098</v>
      </c>
      <c r="U210">
        <f t="shared" si="69"/>
        <v>0</v>
      </c>
      <c r="V210" s="29">
        <f t="shared" si="70"/>
        <v>18011.026651883098</v>
      </c>
      <c r="W210" s="29">
        <f t="shared" si="71"/>
        <v>18011.026651883098</v>
      </c>
      <c r="X210" s="29">
        <f t="shared" si="72"/>
        <v>18011.026651883098</v>
      </c>
      <c r="Y210">
        <f t="shared" si="73"/>
        <v>0</v>
      </c>
    </row>
    <row r="211" spans="1:25" x14ac:dyDescent="0.25">
      <c r="A211" s="4" t="s">
        <v>1064</v>
      </c>
      <c r="B211" s="7" t="s">
        <v>555</v>
      </c>
      <c r="C211" s="2" t="s">
        <v>1065</v>
      </c>
      <c r="D211">
        <f>VLOOKUP(B211,'Model allocations'!$A$1:$L$317,6,FALSE)</f>
        <v>216538.89026043261</v>
      </c>
      <c r="E211" s="31">
        <f>VLOOKUP(B211,'Initial adjusted formula count'!$A$1:$P$317,12,FALSE)</f>
        <v>0.187607573149742</v>
      </c>
      <c r="F211">
        <f>VLOOKUP(B211,'Model allocations'!$A$1:$L$317,11,FALSE)</f>
        <v>194885.00123438935</v>
      </c>
      <c r="G211" s="30">
        <f t="shared" si="74"/>
        <v>0.9</v>
      </c>
      <c r="H211">
        <f t="shared" si="75"/>
        <v>194885.00123438935</v>
      </c>
      <c r="I211">
        <f t="shared" si="57"/>
        <v>0</v>
      </c>
      <c r="J211">
        <f t="shared" si="58"/>
        <v>194885.00123438935</v>
      </c>
      <c r="K211">
        <f t="shared" si="59"/>
        <v>194769.65946957399</v>
      </c>
      <c r="L211">
        <f t="shared" si="60"/>
        <v>194769.65946957399</v>
      </c>
      <c r="M211">
        <f t="shared" si="61"/>
        <v>194885.00123438935</v>
      </c>
      <c r="N211" s="29">
        <f t="shared" si="62"/>
        <v>0</v>
      </c>
      <c r="O211" s="29">
        <f t="shared" si="63"/>
        <v>0</v>
      </c>
      <c r="P211" s="29">
        <f t="shared" si="64"/>
        <v>194885.00123438935</v>
      </c>
      <c r="Q211">
        <f t="shared" si="65"/>
        <v>0</v>
      </c>
      <c r="R211" s="29">
        <f t="shared" si="66"/>
        <v>0</v>
      </c>
      <c r="S211" s="29">
        <f t="shared" si="67"/>
        <v>0</v>
      </c>
      <c r="T211" s="29">
        <f t="shared" si="68"/>
        <v>194885.00123438935</v>
      </c>
      <c r="U211">
        <f t="shared" si="69"/>
        <v>0</v>
      </c>
      <c r="V211" s="29">
        <f t="shared" si="70"/>
        <v>0</v>
      </c>
      <c r="W211" s="29">
        <f t="shared" si="71"/>
        <v>0</v>
      </c>
      <c r="X211" s="29">
        <f t="shared" si="72"/>
        <v>194885.00123438935</v>
      </c>
      <c r="Y211">
        <f t="shared" si="73"/>
        <v>0</v>
      </c>
    </row>
    <row r="212" spans="1:25" x14ac:dyDescent="0.25">
      <c r="A212" s="4" t="s">
        <v>1066</v>
      </c>
      <c r="B212" s="7" t="s">
        <v>445</v>
      </c>
      <c r="C212" s="2" t="s">
        <v>1067</v>
      </c>
      <c r="D212">
        <f>VLOOKUP(B212,'Model allocations'!$A$1:$L$317,6,FALSE)</f>
        <v>28745.623787612669</v>
      </c>
      <c r="E212" s="31">
        <f>VLOOKUP(B212,'Initial adjusted formula count'!$A$1:$P$317,12,FALSE)</f>
        <v>0.17714285714285699</v>
      </c>
      <c r="F212">
        <f>VLOOKUP(B212,'Model allocations'!$A$1:$L$317,11,FALSE)</f>
        <v>25871.061408851401</v>
      </c>
      <c r="G212" s="30">
        <f t="shared" si="74"/>
        <v>0.9</v>
      </c>
      <c r="H212">
        <f t="shared" si="75"/>
        <v>25871.061408851401</v>
      </c>
      <c r="I212">
        <f t="shared" si="57"/>
        <v>0</v>
      </c>
      <c r="J212">
        <f t="shared" si="58"/>
        <v>25871.061408851401</v>
      </c>
      <c r="K212">
        <f t="shared" si="59"/>
        <v>25855.749743707125</v>
      </c>
      <c r="L212">
        <f t="shared" si="60"/>
        <v>25855.749743707125</v>
      </c>
      <c r="M212">
        <f t="shared" si="61"/>
        <v>25871.061408851401</v>
      </c>
      <c r="N212" s="29">
        <f t="shared" si="62"/>
        <v>0</v>
      </c>
      <c r="O212" s="29">
        <f t="shared" si="63"/>
        <v>0</v>
      </c>
      <c r="P212" s="29">
        <f t="shared" si="64"/>
        <v>25871.061408851401</v>
      </c>
      <c r="Q212">
        <f t="shared" si="65"/>
        <v>0</v>
      </c>
      <c r="R212" s="29">
        <f t="shared" si="66"/>
        <v>0</v>
      </c>
      <c r="S212" s="29">
        <f t="shared" si="67"/>
        <v>0</v>
      </c>
      <c r="T212" s="29">
        <f t="shared" si="68"/>
        <v>25871.061408851401</v>
      </c>
      <c r="U212">
        <f t="shared" si="69"/>
        <v>0</v>
      </c>
      <c r="V212" s="29">
        <f t="shared" si="70"/>
        <v>0</v>
      </c>
      <c r="W212" s="29">
        <f t="shared" si="71"/>
        <v>0</v>
      </c>
      <c r="X212" s="29">
        <f t="shared" si="72"/>
        <v>25871.061408851401</v>
      </c>
      <c r="Y212">
        <f t="shared" si="73"/>
        <v>0</v>
      </c>
    </row>
    <row r="213" spans="1:25" x14ac:dyDescent="0.25">
      <c r="A213" s="4" t="s">
        <v>1068</v>
      </c>
      <c r="B213" s="7" t="s">
        <v>557</v>
      </c>
      <c r="C213" s="2" t="s">
        <v>1069</v>
      </c>
      <c r="D213">
        <f>VLOOKUP(B213,'Model allocations'!$A$1:$L$317,6,FALSE)</f>
        <v>264746.0605791597</v>
      </c>
      <c r="E213" s="31">
        <f>VLOOKUP(B213,'Initial adjusted formula count'!$A$1:$P$317,12,FALSE)</f>
        <v>0.14040114613180499</v>
      </c>
      <c r="F213">
        <f>VLOOKUP(B213,'Model allocations'!$A$1:$L$317,11,FALSE)</f>
        <v>250747.11619517318</v>
      </c>
      <c r="G213" s="30">
        <f t="shared" si="74"/>
        <v>0.85</v>
      </c>
      <c r="H213">
        <f t="shared" si="75"/>
        <v>225034.15149228575</v>
      </c>
      <c r="I213">
        <f t="shared" si="57"/>
        <v>0</v>
      </c>
      <c r="J213">
        <f t="shared" si="58"/>
        <v>250747.11619517318</v>
      </c>
      <c r="K213">
        <f t="shared" si="59"/>
        <v>250598.71270223567</v>
      </c>
      <c r="L213">
        <f t="shared" si="60"/>
        <v>250598.71270223567</v>
      </c>
      <c r="M213">
        <f t="shared" si="61"/>
        <v>0</v>
      </c>
      <c r="N213" s="29">
        <f t="shared" si="62"/>
        <v>250598.71270223567</v>
      </c>
      <c r="O213" s="29">
        <f t="shared" si="63"/>
        <v>250579.69848146176</v>
      </c>
      <c r="P213" s="29">
        <f t="shared" si="64"/>
        <v>250579.69848146176</v>
      </c>
      <c r="Q213">
        <f t="shared" si="65"/>
        <v>0</v>
      </c>
      <c r="R213" s="29">
        <f t="shared" si="66"/>
        <v>250579.69848146176</v>
      </c>
      <c r="S213" s="29">
        <f t="shared" si="67"/>
        <v>250579.69848146156</v>
      </c>
      <c r="T213" s="29">
        <f t="shared" si="68"/>
        <v>250579.69848146156</v>
      </c>
      <c r="U213">
        <f t="shared" si="69"/>
        <v>0</v>
      </c>
      <c r="V213" s="29">
        <f t="shared" si="70"/>
        <v>250579.69848146156</v>
      </c>
      <c r="W213" s="29">
        <f t="shared" si="71"/>
        <v>250579.69848146156</v>
      </c>
      <c r="X213" s="29">
        <f t="shared" si="72"/>
        <v>250579.69848146156</v>
      </c>
      <c r="Y213">
        <f t="shared" si="73"/>
        <v>0</v>
      </c>
    </row>
    <row r="214" spans="1:25" x14ac:dyDescent="0.25">
      <c r="A214" s="4" t="s">
        <v>1070</v>
      </c>
      <c r="B214" s="7" t="s">
        <v>197</v>
      </c>
      <c r="C214" s="2" t="s">
        <v>1071</v>
      </c>
      <c r="D214">
        <f>VLOOKUP(B214,'Model allocations'!$A$1:$L$317,6,FALSE)</f>
        <v>74109.880984559015</v>
      </c>
      <c r="E214" s="31">
        <f>VLOOKUP(B214,'Initial adjusted formula count'!$A$1:$P$317,12,FALSE)</f>
        <v>8.6744639376218305E-2</v>
      </c>
      <c r="F214">
        <f>VLOOKUP(B214,'Model allocations'!$A$1:$L$317,11,FALSE)</f>
        <v>62993.39883687516</v>
      </c>
      <c r="G214" s="30">
        <f t="shared" si="74"/>
        <v>0.85</v>
      </c>
      <c r="H214">
        <f t="shared" si="75"/>
        <v>62993.39883687516</v>
      </c>
      <c r="I214">
        <f t="shared" si="57"/>
        <v>0</v>
      </c>
      <c r="J214">
        <f t="shared" si="58"/>
        <v>62993.39883687516</v>
      </c>
      <c r="K214">
        <f t="shared" si="59"/>
        <v>62956.116492171663</v>
      </c>
      <c r="L214">
        <f t="shared" si="60"/>
        <v>62956.116492171663</v>
      </c>
      <c r="M214">
        <f t="shared" si="61"/>
        <v>62993.39883687516</v>
      </c>
      <c r="N214" s="29">
        <f t="shared" si="62"/>
        <v>0</v>
      </c>
      <c r="O214" s="29">
        <f t="shared" si="63"/>
        <v>0</v>
      </c>
      <c r="P214" s="29">
        <f t="shared" si="64"/>
        <v>62993.39883687516</v>
      </c>
      <c r="Q214">
        <f t="shared" si="65"/>
        <v>0</v>
      </c>
      <c r="R214" s="29">
        <f t="shared" si="66"/>
        <v>0</v>
      </c>
      <c r="S214" s="29">
        <f t="shared" si="67"/>
        <v>0</v>
      </c>
      <c r="T214" s="29">
        <f t="shared" si="68"/>
        <v>62993.39883687516</v>
      </c>
      <c r="U214">
        <f t="shared" si="69"/>
        <v>0</v>
      </c>
      <c r="V214" s="29">
        <f t="shared" si="70"/>
        <v>0</v>
      </c>
      <c r="W214" s="29">
        <f t="shared" si="71"/>
        <v>0</v>
      </c>
      <c r="X214" s="29">
        <f t="shared" si="72"/>
        <v>62993.39883687516</v>
      </c>
      <c r="Y214">
        <f t="shared" si="73"/>
        <v>0</v>
      </c>
    </row>
    <row r="215" spans="1:25" x14ac:dyDescent="0.25">
      <c r="A215" s="4" t="s">
        <v>15</v>
      </c>
      <c r="B215" s="7" t="s">
        <v>69</v>
      </c>
      <c r="C215" s="2" t="s">
        <v>1072</v>
      </c>
      <c r="D215">
        <f>VLOOKUP(B215,'Model allocations'!$A$1:$L$317,6,FALSE)</f>
        <v>49736.805696874522</v>
      </c>
      <c r="E215" s="31">
        <f>VLOOKUP(B215,'Initial adjusted formula count'!$A$1:$P$317,12,FALSE)</f>
        <v>0.172194800399085</v>
      </c>
      <c r="F215">
        <f>VLOOKUP(B215,'Model allocations'!$A$1:$L$317,11,FALSE)</f>
        <v>61229.492620235556</v>
      </c>
      <c r="G215" s="30">
        <f t="shared" si="74"/>
        <v>0.9</v>
      </c>
      <c r="H215">
        <f t="shared" si="75"/>
        <v>44763.125127187071</v>
      </c>
      <c r="I215">
        <f t="shared" si="57"/>
        <v>0</v>
      </c>
      <c r="J215">
        <f t="shared" si="58"/>
        <v>61229.492620235556</v>
      </c>
      <c r="K215">
        <f t="shared" si="59"/>
        <v>61193.254235070803</v>
      </c>
      <c r="L215">
        <f t="shared" si="60"/>
        <v>61193.254235070803</v>
      </c>
      <c r="M215">
        <f t="shared" si="61"/>
        <v>0</v>
      </c>
      <c r="N215" s="29">
        <f t="shared" si="62"/>
        <v>61193.254235070803</v>
      </c>
      <c r="O215" s="29">
        <f t="shared" si="63"/>
        <v>61188.611186296308</v>
      </c>
      <c r="P215" s="29">
        <f t="shared" si="64"/>
        <v>61188.611186296308</v>
      </c>
      <c r="Q215">
        <f t="shared" si="65"/>
        <v>0</v>
      </c>
      <c r="R215" s="29">
        <f t="shared" si="66"/>
        <v>61188.611186296308</v>
      </c>
      <c r="S215" s="29">
        <f t="shared" si="67"/>
        <v>61188.611186296264</v>
      </c>
      <c r="T215" s="29">
        <f t="shared" si="68"/>
        <v>61188.611186296264</v>
      </c>
      <c r="U215">
        <f t="shared" si="69"/>
        <v>0</v>
      </c>
      <c r="V215" s="29">
        <f t="shared" si="70"/>
        <v>61188.611186296264</v>
      </c>
      <c r="W215" s="29">
        <f t="shared" si="71"/>
        <v>61188.611186296264</v>
      </c>
      <c r="X215" s="29">
        <f t="shared" si="72"/>
        <v>61188.611186296264</v>
      </c>
      <c r="Y215">
        <f t="shared" si="73"/>
        <v>0</v>
      </c>
    </row>
    <row r="216" spans="1:25" x14ac:dyDescent="0.25">
      <c r="A216" s="4" t="s">
        <v>21</v>
      </c>
      <c r="B216" s="7" t="s">
        <v>71</v>
      </c>
      <c r="C216" s="2" t="s">
        <v>1073</v>
      </c>
      <c r="D216">
        <f>VLOOKUP(B216,'Model allocations'!$A$1:$L$317,6,FALSE)</f>
        <v>55511.693074575538</v>
      </c>
      <c r="E216" s="31">
        <f>VLOOKUP(B216,'Initial adjusted formula count'!$A$1:$P$317,12,FALSE)</f>
        <v>0.143722761819817</v>
      </c>
      <c r="F216">
        <f>VLOOKUP(B216,'Model allocations'!$A$1:$L$317,11,FALSE)</f>
        <v>24611.783840870714</v>
      </c>
      <c r="G216" s="30">
        <f t="shared" si="74"/>
        <v>0.85</v>
      </c>
      <c r="H216">
        <f t="shared" si="75"/>
        <v>47184.939113389206</v>
      </c>
      <c r="I216">
        <f t="shared" si="57"/>
        <v>47184.939113389206</v>
      </c>
      <c r="J216">
        <f t="shared" si="58"/>
        <v>0</v>
      </c>
      <c r="K216">
        <f t="shared" si="59"/>
        <v>0</v>
      </c>
      <c r="L216">
        <f t="shared" si="60"/>
        <v>47184.939113389206</v>
      </c>
      <c r="M216">
        <f t="shared" si="61"/>
        <v>0</v>
      </c>
      <c r="N216" s="29">
        <f t="shared" si="62"/>
        <v>0</v>
      </c>
      <c r="O216" s="29">
        <f t="shared" si="63"/>
        <v>0</v>
      </c>
      <c r="P216" s="29">
        <f t="shared" si="64"/>
        <v>47184.939113389206</v>
      </c>
      <c r="Q216">
        <f t="shared" si="65"/>
        <v>0</v>
      </c>
      <c r="R216" s="29">
        <f t="shared" si="66"/>
        <v>0</v>
      </c>
      <c r="S216" s="29">
        <f t="shared" si="67"/>
        <v>0</v>
      </c>
      <c r="T216" s="29">
        <f t="shared" si="68"/>
        <v>47184.939113389206</v>
      </c>
      <c r="U216">
        <f t="shared" si="69"/>
        <v>0</v>
      </c>
      <c r="V216" s="29">
        <f t="shared" si="70"/>
        <v>0</v>
      </c>
      <c r="W216" s="29">
        <f t="shared" si="71"/>
        <v>0</v>
      </c>
      <c r="X216" s="29">
        <f t="shared" si="72"/>
        <v>47184.939113389206</v>
      </c>
      <c r="Y216">
        <f t="shared" si="73"/>
        <v>0</v>
      </c>
    </row>
    <row r="217" spans="1:25" x14ac:dyDescent="0.25">
      <c r="A217" s="4" t="s">
        <v>1074</v>
      </c>
      <c r="B217" s="7" t="s">
        <v>559</v>
      </c>
      <c r="C217" s="2" t="s">
        <v>1075</v>
      </c>
      <c r="D217">
        <f>VLOOKUP(B217,'Model allocations'!$A$1:$L$317,6,FALSE)</f>
        <v>68308.641500246391</v>
      </c>
      <c r="E217" s="31">
        <f>VLOOKUP(B217,'Initial adjusted formula count'!$A$1:$P$317,12,FALSE)</f>
        <v>0.19512195121951201</v>
      </c>
      <c r="F217">
        <f>VLOOKUP(B217,'Model allocations'!$A$1:$L$317,11,FALSE)</f>
        <v>78543.1226227476</v>
      </c>
      <c r="G217" s="30">
        <f t="shared" si="74"/>
        <v>0.9</v>
      </c>
      <c r="H217">
        <f t="shared" si="75"/>
        <v>61477.777350221753</v>
      </c>
      <c r="I217">
        <f t="shared" si="57"/>
        <v>0</v>
      </c>
      <c r="J217">
        <f t="shared" si="58"/>
        <v>78543.1226227476</v>
      </c>
      <c r="K217">
        <f t="shared" si="59"/>
        <v>78496.637247680075</v>
      </c>
      <c r="L217">
        <f t="shared" si="60"/>
        <v>78496.637247680075</v>
      </c>
      <c r="M217">
        <f t="shared" si="61"/>
        <v>0</v>
      </c>
      <c r="N217" s="29">
        <f t="shared" si="62"/>
        <v>78496.637247680075</v>
      </c>
      <c r="O217" s="29">
        <f t="shared" si="63"/>
        <v>78490.681301719524</v>
      </c>
      <c r="P217" s="29">
        <f t="shared" si="64"/>
        <v>78490.681301719524</v>
      </c>
      <c r="Q217">
        <f t="shared" si="65"/>
        <v>0</v>
      </c>
      <c r="R217" s="29">
        <f t="shared" si="66"/>
        <v>78490.681301719524</v>
      </c>
      <c r="S217" s="29">
        <f t="shared" si="67"/>
        <v>78490.681301719451</v>
      </c>
      <c r="T217" s="29">
        <f t="shared" si="68"/>
        <v>78490.681301719451</v>
      </c>
      <c r="U217">
        <f t="shared" si="69"/>
        <v>0</v>
      </c>
      <c r="V217" s="29">
        <f t="shared" si="70"/>
        <v>78490.681301719451</v>
      </c>
      <c r="W217" s="29">
        <f t="shared" si="71"/>
        <v>78490.681301719451</v>
      </c>
      <c r="X217" s="29">
        <f t="shared" si="72"/>
        <v>78490.681301719451</v>
      </c>
      <c r="Y217">
        <f t="shared" si="73"/>
        <v>0</v>
      </c>
    </row>
    <row r="218" spans="1:25" x14ac:dyDescent="0.25">
      <c r="A218" s="4" t="s">
        <v>1076</v>
      </c>
      <c r="B218" s="7" t="s">
        <v>561</v>
      </c>
      <c r="C218" s="2" t="s">
        <v>1077</v>
      </c>
      <c r="D218">
        <f>VLOOKUP(B218,'Model allocations'!$A$1:$L$317,6,FALSE)</f>
        <v>72409.17896182141</v>
      </c>
      <c r="E218" s="31">
        <f>VLOOKUP(B218,'Initial adjusted formula count'!$A$1:$P$317,12,FALSE)</f>
        <v>7.9000000000000001E-2</v>
      </c>
      <c r="F218">
        <f>VLOOKUP(B218,'Model allocations'!$A$1:$L$317,11,FALSE)</f>
        <v>61547.802117548199</v>
      </c>
      <c r="G218" s="30">
        <f t="shared" si="74"/>
        <v>0.85</v>
      </c>
      <c r="H218">
        <f t="shared" si="75"/>
        <v>61547.802117548199</v>
      </c>
      <c r="I218">
        <f t="shared" si="57"/>
        <v>0</v>
      </c>
      <c r="J218">
        <f t="shared" si="58"/>
        <v>61547.802117548199</v>
      </c>
      <c r="K218">
        <f t="shared" si="59"/>
        <v>61511.375342415275</v>
      </c>
      <c r="L218">
        <f t="shared" si="60"/>
        <v>61511.375342415275</v>
      </c>
      <c r="M218">
        <f t="shared" si="61"/>
        <v>61547.802117548199</v>
      </c>
      <c r="N218" s="29">
        <f t="shared" si="62"/>
        <v>0</v>
      </c>
      <c r="O218" s="29">
        <f t="shared" si="63"/>
        <v>0</v>
      </c>
      <c r="P218" s="29">
        <f t="shared" si="64"/>
        <v>61547.802117548199</v>
      </c>
      <c r="Q218">
        <f t="shared" si="65"/>
        <v>0</v>
      </c>
      <c r="R218" s="29">
        <f t="shared" si="66"/>
        <v>0</v>
      </c>
      <c r="S218" s="29">
        <f t="shared" si="67"/>
        <v>0</v>
      </c>
      <c r="T218" s="29">
        <f t="shared" si="68"/>
        <v>61547.802117548199</v>
      </c>
      <c r="U218">
        <f t="shared" si="69"/>
        <v>0</v>
      </c>
      <c r="V218" s="29">
        <f t="shared" si="70"/>
        <v>0</v>
      </c>
      <c r="W218" s="29">
        <f t="shared" si="71"/>
        <v>0</v>
      </c>
      <c r="X218" s="29">
        <f t="shared" si="72"/>
        <v>61547.802117548199</v>
      </c>
      <c r="Y218">
        <f t="shared" si="73"/>
        <v>0</v>
      </c>
    </row>
    <row r="219" spans="1:25" x14ac:dyDescent="0.25">
      <c r="A219" s="4" t="s">
        <v>1078</v>
      </c>
      <c r="B219" s="7" t="s">
        <v>563</v>
      </c>
      <c r="C219" s="2" t="s">
        <v>1079</v>
      </c>
      <c r="D219">
        <f>VLOOKUP(B219,'Model allocations'!$A$1:$L$317,6,FALSE)</f>
        <v>1767864.0598806071</v>
      </c>
      <c r="E219" s="31">
        <f>VLOOKUP(B219,'Initial adjusted formula count'!$A$1:$P$317,12,FALSE)</f>
        <v>0.13325835521341101</v>
      </c>
      <c r="F219">
        <f>VLOOKUP(B219,'Model allocations'!$A$1:$L$317,11,FALSE)</f>
        <v>1826256.9753181522</v>
      </c>
      <c r="G219" s="30">
        <f t="shared" si="74"/>
        <v>0.85</v>
      </c>
      <c r="H219">
        <f t="shared" si="75"/>
        <v>1502684.450898516</v>
      </c>
      <c r="I219">
        <f t="shared" si="57"/>
        <v>0</v>
      </c>
      <c r="J219">
        <f t="shared" si="58"/>
        <v>1826256.9753181522</v>
      </c>
      <c r="K219">
        <f t="shared" si="59"/>
        <v>1825176.1137782424</v>
      </c>
      <c r="L219">
        <f t="shared" si="60"/>
        <v>1825176.1137782424</v>
      </c>
      <c r="M219">
        <f t="shared" si="61"/>
        <v>0</v>
      </c>
      <c r="N219" s="29">
        <f t="shared" si="62"/>
        <v>1825176.1137782424</v>
      </c>
      <c r="O219" s="29">
        <f t="shared" si="63"/>
        <v>1825037.6282241689</v>
      </c>
      <c r="P219" s="29">
        <f t="shared" si="64"/>
        <v>1825037.6282241689</v>
      </c>
      <c r="Q219">
        <f t="shared" si="65"/>
        <v>0</v>
      </c>
      <c r="R219" s="29">
        <f t="shared" si="66"/>
        <v>1825037.6282241689</v>
      </c>
      <c r="S219" s="29">
        <f t="shared" si="67"/>
        <v>1825037.6282241675</v>
      </c>
      <c r="T219" s="29">
        <f t="shared" si="68"/>
        <v>1825037.6282241675</v>
      </c>
      <c r="U219">
        <f t="shared" si="69"/>
        <v>0</v>
      </c>
      <c r="V219" s="29">
        <f t="shared" si="70"/>
        <v>1825037.6282241675</v>
      </c>
      <c r="W219" s="29">
        <f t="shared" si="71"/>
        <v>1825037.6282241675</v>
      </c>
      <c r="X219" s="29">
        <f t="shared" si="72"/>
        <v>1825037.6282241675</v>
      </c>
      <c r="Y219">
        <f t="shared" si="73"/>
        <v>0</v>
      </c>
    </row>
    <row r="220" spans="1:25" x14ac:dyDescent="0.25">
      <c r="A220" s="4" t="s">
        <v>1080</v>
      </c>
      <c r="B220" s="7" t="s">
        <v>564</v>
      </c>
      <c r="C220" s="2" t="s">
        <v>1081</v>
      </c>
      <c r="D220">
        <f>VLOOKUP(B220,'Model allocations'!$A$1:$L$317,6,FALSE)</f>
        <v>68460.432070128634</v>
      </c>
      <c r="E220" s="31">
        <f>VLOOKUP(B220,'Initial adjusted formula count'!$A$1:$P$317,12,FALSE)</f>
        <v>0.25333333333333302</v>
      </c>
      <c r="F220">
        <f>VLOOKUP(B220,'Model allocations'!$A$1:$L$317,11,FALSE)</f>
        <v>74767.487970356407</v>
      </c>
      <c r="G220" s="30">
        <f t="shared" si="74"/>
        <v>0.9</v>
      </c>
      <c r="H220">
        <f t="shared" si="75"/>
        <v>61614.388863115775</v>
      </c>
      <c r="I220">
        <f t="shared" si="57"/>
        <v>0</v>
      </c>
      <c r="J220">
        <f t="shared" si="58"/>
        <v>74767.487970356407</v>
      </c>
      <c r="K220">
        <f t="shared" si="59"/>
        <v>74723.237186772807</v>
      </c>
      <c r="L220">
        <f t="shared" si="60"/>
        <v>74723.237186772807</v>
      </c>
      <c r="M220">
        <f t="shared" si="61"/>
        <v>0</v>
      </c>
      <c r="N220" s="29">
        <f t="shared" si="62"/>
        <v>74723.237186772807</v>
      </c>
      <c r="O220" s="29">
        <f t="shared" si="63"/>
        <v>74717.567548196093</v>
      </c>
      <c r="P220" s="29">
        <f t="shared" si="64"/>
        <v>74717.567548196093</v>
      </c>
      <c r="Q220">
        <f t="shared" si="65"/>
        <v>0</v>
      </c>
      <c r="R220" s="29">
        <f t="shared" si="66"/>
        <v>74717.567548196093</v>
      </c>
      <c r="S220" s="29">
        <f t="shared" si="67"/>
        <v>74717.567548196035</v>
      </c>
      <c r="T220" s="29">
        <f t="shared" si="68"/>
        <v>74717.567548196035</v>
      </c>
      <c r="U220">
        <f t="shared" si="69"/>
        <v>0</v>
      </c>
      <c r="V220" s="29">
        <f t="shared" si="70"/>
        <v>74717.567548196035</v>
      </c>
      <c r="W220" s="29">
        <f t="shared" si="71"/>
        <v>74717.567548196035</v>
      </c>
      <c r="X220" s="29">
        <f t="shared" si="72"/>
        <v>74717.567548196035</v>
      </c>
      <c r="Y220">
        <f t="shared" si="73"/>
        <v>0</v>
      </c>
    </row>
    <row r="221" spans="1:25" x14ac:dyDescent="0.25">
      <c r="A221" s="4" t="s">
        <v>1082</v>
      </c>
      <c r="B221" s="7" t="s">
        <v>199</v>
      </c>
      <c r="C221" s="2" t="s">
        <v>1083</v>
      </c>
      <c r="D221">
        <f>VLOOKUP(B221,'Model allocations'!$A$1:$L$317,6,FALSE)</f>
        <v>944996.35512283375</v>
      </c>
      <c r="E221" s="31">
        <f>VLOOKUP(B221,'Initial adjusted formula count'!$A$1:$P$317,12,FALSE)</f>
        <v>9.6311345311408794E-2</v>
      </c>
      <c r="F221">
        <f>VLOOKUP(B221,'Model allocations'!$A$1:$L$317,11,FALSE)</f>
        <v>1097374.0005820503</v>
      </c>
      <c r="G221" s="30">
        <f t="shared" si="74"/>
        <v>0.85</v>
      </c>
      <c r="H221">
        <f t="shared" si="75"/>
        <v>803246.90185440867</v>
      </c>
      <c r="I221">
        <f t="shared" si="57"/>
        <v>0</v>
      </c>
      <c r="J221">
        <f t="shared" si="58"/>
        <v>1097374.0005820503</v>
      </c>
      <c r="K221">
        <f t="shared" si="59"/>
        <v>1096724.5249780382</v>
      </c>
      <c r="L221">
        <f t="shared" si="60"/>
        <v>1096724.5249780382</v>
      </c>
      <c r="M221">
        <f t="shared" si="61"/>
        <v>0</v>
      </c>
      <c r="N221" s="29">
        <f t="shared" si="62"/>
        <v>1096724.5249780382</v>
      </c>
      <c r="O221" s="29">
        <f t="shared" si="63"/>
        <v>1096641.3108145604</v>
      </c>
      <c r="P221" s="29">
        <f t="shared" si="64"/>
        <v>1096641.3108145604</v>
      </c>
      <c r="Q221">
        <f t="shared" si="65"/>
        <v>0</v>
      </c>
      <c r="R221" s="29">
        <f t="shared" si="66"/>
        <v>1096641.3108145604</v>
      </c>
      <c r="S221" s="29">
        <f t="shared" si="67"/>
        <v>1096641.3108145595</v>
      </c>
      <c r="T221" s="29">
        <f t="shared" si="68"/>
        <v>1096641.3108145595</v>
      </c>
      <c r="U221">
        <f t="shared" si="69"/>
        <v>0</v>
      </c>
      <c r="V221" s="29">
        <f t="shared" si="70"/>
        <v>1096641.3108145595</v>
      </c>
      <c r="W221" s="29">
        <f t="shared" si="71"/>
        <v>1096641.3108145595</v>
      </c>
      <c r="X221" s="29">
        <f t="shared" si="72"/>
        <v>1096641.3108145595</v>
      </c>
      <c r="Y221">
        <f t="shared" si="73"/>
        <v>0</v>
      </c>
    </row>
    <row r="222" spans="1:25" x14ac:dyDescent="0.25">
      <c r="A222" s="4" t="s">
        <v>1084</v>
      </c>
      <c r="B222" s="7" t="s">
        <v>201</v>
      </c>
      <c r="C222" s="2" t="s">
        <v>1085</v>
      </c>
      <c r="D222">
        <f>VLOOKUP(B222,'Model allocations'!$A$1:$L$317,6,FALSE)</f>
        <v>0</v>
      </c>
      <c r="E222" s="31">
        <f>VLOOKUP(B222,'Initial adjusted formula count'!$A$1:$P$317,12,FALSE)</f>
        <v>3.9135654261704698E-2</v>
      </c>
      <c r="F222">
        <f>VLOOKUP(B222,'Model allocations'!$A$1:$L$317,11,FALSE)</f>
        <v>0</v>
      </c>
      <c r="G222" s="30">
        <f t="shared" si="74"/>
        <v>0.85</v>
      </c>
      <c r="H222">
        <f t="shared" si="75"/>
        <v>0</v>
      </c>
      <c r="I222">
        <f t="shared" si="57"/>
        <v>0</v>
      </c>
      <c r="J222">
        <f t="shared" si="58"/>
        <v>0</v>
      </c>
      <c r="K222">
        <f t="shared" si="59"/>
        <v>0</v>
      </c>
      <c r="L222">
        <f t="shared" si="60"/>
        <v>0</v>
      </c>
      <c r="M222">
        <f t="shared" si="61"/>
        <v>0</v>
      </c>
      <c r="N222" s="29">
        <f t="shared" si="62"/>
        <v>0</v>
      </c>
      <c r="O222" s="29">
        <f t="shared" si="63"/>
        <v>0</v>
      </c>
      <c r="P222" s="29">
        <f t="shared" si="64"/>
        <v>0</v>
      </c>
      <c r="Q222">
        <f t="shared" si="65"/>
        <v>0</v>
      </c>
      <c r="R222" s="29">
        <f t="shared" si="66"/>
        <v>0</v>
      </c>
      <c r="S222" s="29">
        <f t="shared" si="67"/>
        <v>0</v>
      </c>
      <c r="T222" s="29">
        <f t="shared" si="68"/>
        <v>0</v>
      </c>
      <c r="U222">
        <f t="shared" si="69"/>
        <v>0</v>
      </c>
      <c r="V222" s="29">
        <f t="shared" si="70"/>
        <v>0</v>
      </c>
      <c r="W222" s="29">
        <f t="shared" si="71"/>
        <v>0</v>
      </c>
      <c r="X222" s="29">
        <f t="shared" si="72"/>
        <v>0</v>
      </c>
      <c r="Y222">
        <f t="shared" si="73"/>
        <v>0</v>
      </c>
    </row>
    <row r="223" spans="1:25" x14ac:dyDescent="0.25">
      <c r="A223" s="4" t="s">
        <v>1086</v>
      </c>
      <c r="B223" s="7" t="s">
        <v>203</v>
      </c>
      <c r="C223" s="2" t="s">
        <v>1087</v>
      </c>
      <c r="D223">
        <f>VLOOKUP(B223,'Model allocations'!$A$1:$L$317,6,FALSE)</f>
        <v>33376.105927714569</v>
      </c>
      <c r="E223" s="31">
        <f>VLOOKUP(B223,'Initial adjusted formula count'!$A$1:$P$317,12,FALSE)</f>
        <v>0.115942028985507</v>
      </c>
      <c r="F223">
        <f>VLOOKUP(B223,'Model allocations'!$A$1:$L$317,11,FALSE)</f>
        <v>28369.690038557383</v>
      </c>
      <c r="G223" s="30">
        <f t="shared" si="74"/>
        <v>0.85</v>
      </c>
      <c r="H223">
        <f t="shared" si="75"/>
        <v>28369.690038557383</v>
      </c>
      <c r="I223">
        <f t="shared" si="57"/>
        <v>0</v>
      </c>
      <c r="J223">
        <f t="shared" si="58"/>
        <v>28369.690038557383</v>
      </c>
      <c r="K223">
        <f t="shared" si="59"/>
        <v>28352.899571894552</v>
      </c>
      <c r="L223">
        <f t="shared" si="60"/>
        <v>28352.899571894552</v>
      </c>
      <c r="M223">
        <f t="shared" si="61"/>
        <v>28369.690038557383</v>
      </c>
      <c r="N223" s="29">
        <f t="shared" si="62"/>
        <v>0</v>
      </c>
      <c r="O223" s="29">
        <f t="shared" si="63"/>
        <v>0</v>
      </c>
      <c r="P223" s="29">
        <f t="shared" si="64"/>
        <v>28369.690038557383</v>
      </c>
      <c r="Q223">
        <f t="shared" si="65"/>
        <v>0</v>
      </c>
      <c r="R223" s="29">
        <f t="shared" si="66"/>
        <v>0</v>
      </c>
      <c r="S223" s="29">
        <f t="shared" si="67"/>
        <v>0</v>
      </c>
      <c r="T223" s="29">
        <f t="shared" si="68"/>
        <v>28369.690038557383</v>
      </c>
      <c r="U223">
        <f t="shared" si="69"/>
        <v>0</v>
      </c>
      <c r="V223" s="29">
        <f t="shared" si="70"/>
        <v>0</v>
      </c>
      <c r="W223" s="29">
        <f t="shared" si="71"/>
        <v>0</v>
      </c>
      <c r="X223" s="29">
        <f t="shared" si="72"/>
        <v>28369.690038557383</v>
      </c>
      <c r="Y223">
        <f t="shared" si="73"/>
        <v>0</v>
      </c>
    </row>
    <row r="224" spans="1:25" x14ac:dyDescent="0.25">
      <c r="A224" s="4" t="s">
        <v>1088</v>
      </c>
      <c r="B224" s="7" t="s">
        <v>296</v>
      </c>
      <c r="C224" s="2" t="s">
        <v>1089</v>
      </c>
      <c r="D224">
        <f>VLOOKUP(B224,'Model allocations'!$A$1:$L$317,6,FALSE)</f>
        <v>154435.20200450975</v>
      </c>
      <c r="E224" s="31">
        <f>VLOOKUP(B224,'Initial adjusted formula count'!$A$1:$P$317,12,FALSE)</f>
        <v>0.11764705882352899</v>
      </c>
      <c r="F224">
        <f>VLOOKUP(B224,'Model allocations'!$A$1:$L$317,11,FALSE)</f>
        <v>137598.19074655767</v>
      </c>
      <c r="G224" s="30">
        <f t="shared" si="74"/>
        <v>0.85</v>
      </c>
      <c r="H224">
        <f t="shared" si="75"/>
        <v>131269.92170383327</v>
      </c>
      <c r="I224">
        <f t="shared" si="57"/>
        <v>0</v>
      </c>
      <c r="J224">
        <f t="shared" si="58"/>
        <v>137598.19074655767</v>
      </c>
      <c r="K224">
        <f t="shared" si="59"/>
        <v>137516.75390916338</v>
      </c>
      <c r="L224">
        <f t="shared" si="60"/>
        <v>137516.75390916338</v>
      </c>
      <c r="M224">
        <f t="shared" si="61"/>
        <v>0</v>
      </c>
      <c r="N224" s="29">
        <f t="shared" si="62"/>
        <v>137516.75390916338</v>
      </c>
      <c r="O224" s="29">
        <f t="shared" si="63"/>
        <v>137506.31980161849</v>
      </c>
      <c r="P224" s="29">
        <f t="shared" si="64"/>
        <v>137506.31980161849</v>
      </c>
      <c r="Q224">
        <f t="shared" si="65"/>
        <v>0</v>
      </c>
      <c r="R224" s="29">
        <f t="shared" si="66"/>
        <v>137506.31980161849</v>
      </c>
      <c r="S224" s="29">
        <f t="shared" si="67"/>
        <v>137506.31980161837</v>
      </c>
      <c r="T224" s="29">
        <f t="shared" si="68"/>
        <v>137506.31980161837</v>
      </c>
      <c r="U224">
        <f t="shared" si="69"/>
        <v>0</v>
      </c>
      <c r="V224" s="29">
        <f t="shared" si="70"/>
        <v>137506.31980161837</v>
      </c>
      <c r="W224" s="29">
        <f t="shared" si="71"/>
        <v>137506.31980161837</v>
      </c>
      <c r="X224" s="29">
        <f t="shared" si="72"/>
        <v>137506.31980161837</v>
      </c>
      <c r="Y224">
        <f t="shared" si="73"/>
        <v>0</v>
      </c>
    </row>
    <row r="225" spans="1:25" x14ac:dyDescent="0.25">
      <c r="A225" s="4" t="s">
        <v>1090</v>
      </c>
      <c r="B225" s="7" t="s">
        <v>205</v>
      </c>
      <c r="C225" s="2" t="s">
        <v>1091</v>
      </c>
      <c r="D225">
        <f>VLOOKUP(B225,'Model allocations'!$A$1:$L$317,6,FALSE)</f>
        <v>0</v>
      </c>
      <c r="E225" s="31">
        <f>VLOOKUP(B225,'Initial adjusted formula count'!$A$1:$P$317,12,FALSE)</f>
        <v>3.3472803347280297E-2</v>
      </c>
      <c r="F225">
        <f>VLOOKUP(B225,'Model allocations'!$A$1:$L$317,11,FALSE)</f>
        <v>0</v>
      </c>
      <c r="G225" s="30">
        <f t="shared" si="74"/>
        <v>0.85</v>
      </c>
      <c r="H225">
        <f t="shared" si="75"/>
        <v>0</v>
      </c>
      <c r="I225">
        <f t="shared" si="57"/>
        <v>0</v>
      </c>
      <c r="J225">
        <f t="shared" si="58"/>
        <v>0</v>
      </c>
      <c r="K225">
        <f t="shared" si="59"/>
        <v>0</v>
      </c>
      <c r="L225">
        <f t="shared" si="60"/>
        <v>0</v>
      </c>
      <c r="M225">
        <f t="shared" si="61"/>
        <v>0</v>
      </c>
      <c r="N225" s="29">
        <f t="shared" si="62"/>
        <v>0</v>
      </c>
      <c r="O225" s="29">
        <f t="shared" si="63"/>
        <v>0</v>
      </c>
      <c r="P225" s="29">
        <f t="shared" si="64"/>
        <v>0</v>
      </c>
      <c r="Q225">
        <f t="shared" si="65"/>
        <v>0</v>
      </c>
      <c r="R225" s="29">
        <f t="shared" si="66"/>
        <v>0</v>
      </c>
      <c r="S225" s="29">
        <f t="shared" si="67"/>
        <v>0</v>
      </c>
      <c r="T225" s="29">
        <f t="shared" si="68"/>
        <v>0</v>
      </c>
      <c r="U225">
        <f t="shared" si="69"/>
        <v>0</v>
      </c>
      <c r="V225" s="29">
        <f t="shared" si="70"/>
        <v>0</v>
      </c>
      <c r="W225" s="29">
        <f t="shared" si="71"/>
        <v>0</v>
      </c>
      <c r="X225" s="29">
        <f t="shared" si="72"/>
        <v>0</v>
      </c>
      <c r="Y225">
        <f t="shared" si="73"/>
        <v>0</v>
      </c>
    </row>
    <row r="226" spans="1:25" x14ac:dyDescent="0.25">
      <c r="A226" s="4" t="s">
        <v>1092</v>
      </c>
      <c r="B226" s="7" t="s">
        <v>566</v>
      </c>
      <c r="C226" s="2" t="s">
        <v>1093</v>
      </c>
      <c r="D226">
        <f>VLOOKUP(B226,'Model allocations'!$A$1:$L$317,6,FALSE)</f>
        <v>167552.77439987258</v>
      </c>
      <c r="E226" s="31">
        <f>VLOOKUP(B226,'Initial adjusted formula count'!$A$1:$P$317,12,FALSE)</f>
        <v>0.103629032258065</v>
      </c>
      <c r="F226">
        <f>VLOOKUP(B226,'Model allocations'!$A$1:$L$317,11,FALSE)</f>
        <v>146127.0042225839</v>
      </c>
      <c r="G226" s="30">
        <f t="shared" si="74"/>
        <v>0.85</v>
      </c>
      <c r="H226">
        <f t="shared" si="75"/>
        <v>142419.85823989168</v>
      </c>
      <c r="I226">
        <f t="shared" si="57"/>
        <v>0</v>
      </c>
      <c r="J226">
        <f t="shared" si="58"/>
        <v>146127.0042225839</v>
      </c>
      <c r="K226">
        <f t="shared" si="59"/>
        <v>146040.51964733462</v>
      </c>
      <c r="L226">
        <f t="shared" si="60"/>
        <v>146040.51964733462</v>
      </c>
      <c r="M226">
        <f t="shared" si="61"/>
        <v>0</v>
      </c>
      <c r="N226" s="29">
        <f t="shared" si="62"/>
        <v>146040.51964733462</v>
      </c>
      <c r="O226" s="29">
        <f t="shared" si="63"/>
        <v>146029.43879758654</v>
      </c>
      <c r="P226" s="29">
        <f t="shared" si="64"/>
        <v>146029.43879758654</v>
      </c>
      <c r="Q226">
        <f t="shared" si="65"/>
        <v>0</v>
      </c>
      <c r="R226" s="29">
        <f t="shared" si="66"/>
        <v>146029.43879758654</v>
      </c>
      <c r="S226" s="29">
        <f t="shared" si="67"/>
        <v>146029.43879758642</v>
      </c>
      <c r="T226" s="29">
        <f t="shared" si="68"/>
        <v>146029.43879758642</v>
      </c>
      <c r="U226">
        <f t="shared" si="69"/>
        <v>0</v>
      </c>
      <c r="V226" s="29">
        <f t="shared" si="70"/>
        <v>146029.43879758642</v>
      </c>
      <c r="W226" s="29">
        <f t="shared" si="71"/>
        <v>146029.43879758642</v>
      </c>
      <c r="X226" s="29">
        <f t="shared" si="72"/>
        <v>146029.43879758642</v>
      </c>
      <c r="Y226">
        <f t="shared" si="73"/>
        <v>0</v>
      </c>
    </row>
    <row r="227" spans="1:25" x14ac:dyDescent="0.25">
      <c r="A227" s="4" t="s">
        <v>1094</v>
      </c>
      <c r="B227" s="7" t="s">
        <v>298</v>
      </c>
      <c r="C227" s="2" t="s">
        <v>1095</v>
      </c>
      <c r="D227">
        <f>VLOOKUP(B227,'Model allocations'!$A$1:$L$317,6,FALSE)</f>
        <v>0</v>
      </c>
      <c r="E227" s="31">
        <f>VLOOKUP(B227,'Initial adjusted formula count'!$A$1:$P$317,12,FALSE)</f>
        <v>9.3023255813953501E-2</v>
      </c>
      <c r="F227">
        <f>VLOOKUP(B227,'Model allocations'!$A$1:$L$317,11,FALSE)</f>
        <v>0</v>
      </c>
      <c r="G227" s="30">
        <f t="shared" si="74"/>
        <v>0.85</v>
      </c>
      <c r="H227">
        <f t="shared" si="75"/>
        <v>0</v>
      </c>
      <c r="I227">
        <f t="shared" si="57"/>
        <v>0</v>
      </c>
      <c r="J227">
        <f t="shared" si="58"/>
        <v>0</v>
      </c>
      <c r="K227">
        <f t="shared" si="59"/>
        <v>0</v>
      </c>
      <c r="L227">
        <f t="shared" si="60"/>
        <v>0</v>
      </c>
      <c r="M227">
        <f t="shared" si="61"/>
        <v>0</v>
      </c>
      <c r="N227" s="29">
        <f t="shared" si="62"/>
        <v>0</v>
      </c>
      <c r="O227" s="29">
        <f t="shared" si="63"/>
        <v>0</v>
      </c>
      <c r="P227" s="29">
        <f t="shared" si="64"/>
        <v>0</v>
      </c>
      <c r="Q227">
        <f t="shared" si="65"/>
        <v>0</v>
      </c>
      <c r="R227" s="29">
        <f t="shared" si="66"/>
        <v>0</v>
      </c>
      <c r="S227" s="29">
        <f t="shared" si="67"/>
        <v>0</v>
      </c>
      <c r="T227" s="29">
        <f t="shared" si="68"/>
        <v>0</v>
      </c>
      <c r="U227">
        <f t="shared" si="69"/>
        <v>0</v>
      </c>
      <c r="V227" s="29">
        <f t="shared" si="70"/>
        <v>0</v>
      </c>
      <c r="W227" s="29">
        <f t="shared" si="71"/>
        <v>0</v>
      </c>
      <c r="X227" s="29">
        <f t="shared" si="72"/>
        <v>0</v>
      </c>
      <c r="Y227">
        <f t="shared" si="73"/>
        <v>0</v>
      </c>
    </row>
    <row r="228" spans="1:25" x14ac:dyDescent="0.25">
      <c r="A228" s="4" t="s">
        <v>1096</v>
      </c>
      <c r="B228" s="7" t="s">
        <v>568</v>
      </c>
      <c r="C228" s="2" t="s">
        <v>1097</v>
      </c>
      <c r="D228">
        <f>VLOOKUP(B228,'Model allocations'!$A$1:$L$317,6,FALSE)</f>
        <v>18667.991451094585</v>
      </c>
      <c r="E228" s="31">
        <f>VLOOKUP(B228,'Initial adjusted formula count'!$A$1:$P$317,12,FALSE)</f>
        <v>0.19028340080971701</v>
      </c>
      <c r="F228">
        <f>VLOOKUP(B228,'Model allocations'!$A$1:$L$317,11,FALSE)</f>
        <v>30355.781353251044</v>
      </c>
      <c r="G228" s="30">
        <f t="shared" si="74"/>
        <v>0.9</v>
      </c>
      <c r="H228">
        <f t="shared" si="75"/>
        <v>16801.192305985129</v>
      </c>
      <c r="I228">
        <f t="shared" si="57"/>
        <v>0</v>
      </c>
      <c r="J228">
        <f t="shared" si="58"/>
        <v>30355.781353251044</v>
      </c>
      <c r="K228">
        <f t="shared" si="59"/>
        <v>30337.815427851674</v>
      </c>
      <c r="L228">
        <f t="shared" si="60"/>
        <v>30337.815427851674</v>
      </c>
      <c r="M228">
        <f t="shared" si="61"/>
        <v>0</v>
      </c>
      <c r="N228" s="29">
        <f t="shared" si="62"/>
        <v>30337.815427851674</v>
      </c>
      <c r="O228" s="29">
        <f t="shared" si="63"/>
        <v>30335.513540846256</v>
      </c>
      <c r="P228" s="29">
        <f t="shared" si="64"/>
        <v>30335.513540846256</v>
      </c>
      <c r="Q228">
        <f t="shared" si="65"/>
        <v>0</v>
      </c>
      <c r="R228" s="29">
        <f t="shared" si="66"/>
        <v>30335.513540846256</v>
      </c>
      <c r="S228" s="29">
        <f t="shared" si="67"/>
        <v>30335.51354084623</v>
      </c>
      <c r="T228" s="29">
        <f t="shared" si="68"/>
        <v>30335.51354084623</v>
      </c>
      <c r="U228">
        <f t="shared" si="69"/>
        <v>0</v>
      </c>
      <c r="V228" s="29">
        <f t="shared" si="70"/>
        <v>30335.51354084623</v>
      </c>
      <c r="W228" s="29">
        <f t="shared" si="71"/>
        <v>30335.51354084623</v>
      </c>
      <c r="X228" s="29">
        <f t="shared" si="72"/>
        <v>30335.51354084623</v>
      </c>
      <c r="Y228">
        <f t="shared" si="73"/>
        <v>0</v>
      </c>
    </row>
    <row r="229" spans="1:25" x14ac:dyDescent="0.25">
      <c r="A229" s="4" t="s">
        <v>1098</v>
      </c>
      <c r="B229" s="7" t="s">
        <v>570</v>
      </c>
      <c r="C229" s="2" t="s">
        <v>1099</v>
      </c>
      <c r="D229">
        <f>VLOOKUP(B229,'Model allocations'!$A$1:$L$317,6,FALSE)</f>
        <v>162084.26198210713</v>
      </c>
      <c r="E229" s="31">
        <f>VLOOKUP(B229,'Initial adjusted formula count'!$A$1:$P$317,12,FALSE)</f>
        <v>0.14450516089860399</v>
      </c>
      <c r="F229">
        <f>VLOOKUP(B229,'Model allocations'!$A$1:$L$317,11,FALSE)</f>
        <v>137771.62268479104</v>
      </c>
      <c r="G229" s="30">
        <f t="shared" si="74"/>
        <v>0.85</v>
      </c>
      <c r="H229">
        <f t="shared" si="75"/>
        <v>137771.62268479104</v>
      </c>
      <c r="I229">
        <f t="shared" si="57"/>
        <v>0</v>
      </c>
      <c r="J229">
        <f t="shared" si="58"/>
        <v>137771.62268479104</v>
      </c>
      <c r="K229">
        <f t="shared" si="59"/>
        <v>137690.08320252568</v>
      </c>
      <c r="L229">
        <f t="shared" si="60"/>
        <v>137690.08320252568</v>
      </c>
      <c r="M229">
        <f t="shared" si="61"/>
        <v>137771.62268479104</v>
      </c>
      <c r="N229" s="29">
        <f t="shared" si="62"/>
        <v>0</v>
      </c>
      <c r="O229" s="29">
        <f t="shared" si="63"/>
        <v>0</v>
      </c>
      <c r="P229" s="29">
        <f t="shared" si="64"/>
        <v>137771.62268479104</v>
      </c>
      <c r="Q229">
        <f t="shared" si="65"/>
        <v>0</v>
      </c>
      <c r="R229" s="29">
        <f t="shared" si="66"/>
        <v>0</v>
      </c>
      <c r="S229" s="29">
        <f t="shared" si="67"/>
        <v>0</v>
      </c>
      <c r="T229" s="29">
        <f t="shared" si="68"/>
        <v>137771.62268479104</v>
      </c>
      <c r="U229">
        <f t="shared" si="69"/>
        <v>0</v>
      </c>
      <c r="V229" s="29">
        <f t="shared" si="70"/>
        <v>0</v>
      </c>
      <c r="W229" s="29">
        <f t="shared" si="71"/>
        <v>0</v>
      </c>
      <c r="X229" s="29">
        <f t="shared" si="72"/>
        <v>137771.62268479104</v>
      </c>
      <c r="Y229">
        <f t="shared" si="73"/>
        <v>0</v>
      </c>
    </row>
    <row r="230" spans="1:25" x14ac:dyDescent="0.25">
      <c r="A230" s="4" t="s">
        <v>1100</v>
      </c>
      <c r="B230" s="7" t="s">
        <v>207</v>
      </c>
      <c r="C230" s="2" t="s">
        <v>1101</v>
      </c>
      <c r="D230">
        <f>VLOOKUP(B230,'Model allocations'!$A$1:$L$317,6,FALSE)</f>
        <v>55237.178373584364</v>
      </c>
      <c r="E230" s="31">
        <f>VLOOKUP(B230,'Initial adjusted formula count'!$A$1:$P$317,12,FALSE)</f>
        <v>9.8850574712643705E-2</v>
      </c>
      <c r="F230">
        <f>VLOOKUP(B230,'Model allocations'!$A$1:$L$317,11,FALSE)</f>
        <v>48898.530595884105</v>
      </c>
      <c r="G230" s="30">
        <f t="shared" si="74"/>
        <v>0.85</v>
      </c>
      <c r="H230">
        <f t="shared" si="75"/>
        <v>46951.601617546708</v>
      </c>
      <c r="I230">
        <f t="shared" si="57"/>
        <v>0</v>
      </c>
      <c r="J230">
        <f t="shared" si="58"/>
        <v>48898.530595884105</v>
      </c>
      <c r="K230">
        <f t="shared" si="59"/>
        <v>48869.59023218201</v>
      </c>
      <c r="L230">
        <f t="shared" si="60"/>
        <v>48869.59023218201</v>
      </c>
      <c r="M230">
        <f t="shared" si="61"/>
        <v>0</v>
      </c>
      <c r="N230" s="29">
        <f t="shared" si="62"/>
        <v>48869.59023218201</v>
      </c>
      <c r="O230" s="29">
        <f t="shared" si="63"/>
        <v>48865.882243550361</v>
      </c>
      <c r="P230" s="29">
        <f t="shared" si="64"/>
        <v>48865.882243550361</v>
      </c>
      <c r="Q230">
        <f t="shared" si="65"/>
        <v>0</v>
      </c>
      <c r="R230" s="29">
        <f t="shared" si="66"/>
        <v>48865.882243550361</v>
      </c>
      <c r="S230" s="29">
        <f t="shared" si="67"/>
        <v>48865.882243550324</v>
      </c>
      <c r="T230" s="29">
        <f t="shared" si="68"/>
        <v>48865.882243550324</v>
      </c>
      <c r="U230">
        <f t="shared" si="69"/>
        <v>0</v>
      </c>
      <c r="V230" s="29">
        <f t="shared" si="70"/>
        <v>48865.882243550324</v>
      </c>
      <c r="W230" s="29">
        <f t="shared" si="71"/>
        <v>48865.882243550324</v>
      </c>
      <c r="X230" s="29">
        <f t="shared" si="72"/>
        <v>48865.882243550324</v>
      </c>
      <c r="Y230">
        <f t="shared" si="73"/>
        <v>0</v>
      </c>
    </row>
    <row r="231" spans="1:25" x14ac:dyDescent="0.25">
      <c r="A231" s="4" t="s">
        <v>1102</v>
      </c>
      <c r="B231" s="7" t="s">
        <v>572</v>
      </c>
      <c r="C231" s="2" t="s">
        <v>1103</v>
      </c>
      <c r="D231">
        <f>VLOOKUP(B231,'Model allocations'!$A$1:$L$317,6,FALSE)</f>
        <v>12385.864999166692</v>
      </c>
      <c r="E231" s="31">
        <f>VLOOKUP(B231,'Initial adjusted formula count'!$A$1:$P$317,12,FALSE)</f>
        <v>0.13636363636363599</v>
      </c>
      <c r="F231">
        <f>VLOOKUP(B231,'Model allocations'!$A$1:$L$317,11,FALSE)</f>
        <v>10527.985249291687</v>
      </c>
      <c r="G231" s="30">
        <f t="shared" si="74"/>
        <v>0.85</v>
      </c>
      <c r="H231">
        <f t="shared" si="75"/>
        <v>10527.985249291687</v>
      </c>
      <c r="I231">
        <f t="shared" si="57"/>
        <v>0</v>
      </c>
      <c r="J231">
        <f t="shared" si="58"/>
        <v>10527.985249291687</v>
      </c>
      <c r="K231">
        <f t="shared" si="59"/>
        <v>10521.754311092687</v>
      </c>
      <c r="L231">
        <f t="shared" si="60"/>
        <v>10521.754311092687</v>
      </c>
      <c r="M231">
        <f t="shared" si="61"/>
        <v>10527.985249291687</v>
      </c>
      <c r="N231" s="29">
        <f t="shared" si="62"/>
        <v>0</v>
      </c>
      <c r="O231" s="29">
        <f t="shared" si="63"/>
        <v>0</v>
      </c>
      <c r="P231" s="29">
        <f t="shared" si="64"/>
        <v>10527.985249291687</v>
      </c>
      <c r="Q231">
        <f t="shared" si="65"/>
        <v>0</v>
      </c>
      <c r="R231" s="29">
        <f t="shared" si="66"/>
        <v>0</v>
      </c>
      <c r="S231" s="29">
        <f t="shared" si="67"/>
        <v>0</v>
      </c>
      <c r="T231" s="29">
        <f t="shared" si="68"/>
        <v>10527.985249291687</v>
      </c>
      <c r="U231">
        <f t="shared" si="69"/>
        <v>0</v>
      </c>
      <c r="V231" s="29">
        <f t="shared" si="70"/>
        <v>0</v>
      </c>
      <c r="W231" s="29">
        <f t="shared" si="71"/>
        <v>0</v>
      </c>
      <c r="X231" s="29">
        <f t="shared" si="72"/>
        <v>10527.985249291687</v>
      </c>
      <c r="Y231">
        <f t="shared" si="73"/>
        <v>0</v>
      </c>
    </row>
    <row r="232" spans="1:25" x14ac:dyDescent="0.25">
      <c r="A232" s="8" t="s">
        <v>50</v>
      </c>
      <c r="B232" s="7" t="s">
        <v>82</v>
      </c>
      <c r="C232" s="2" t="s">
        <v>1104</v>
      </c>
      <c r="D232">
        <f>VLOOKUP(B232,'Model allocations'!$A$1:$L$317,6,FALSE)</f>
        <v>18329.14775078238</v>
      </c>
      <c r="E232" s="31">
        <f>VLOOKUP(B232,'Initial adjusted formula count'!$A$1:$P$317,12,FALSE)</f>
        <v>0.13887299293747199</v>
      </c>
      <c r="F232">
        <f>VLOOKUP(B232,'Model allocations'!$A$1:$L$317,11,FALSE)</f>
        <v>16659.97797259461</v>
      </c>
      <c r="G232" s="30">
        <f t="shared" si="74"/>
        <v>0.85</v>
      </c>
      <c r="H232">
        <f t="shared" si="75"/>
        <v>15579.775588165023</v>
      </c>
      <c r="I232">
        <f t="shared" si="57"/>
        <v>0</v>
      </c>
      <c r="J232">
        <f t="shared" si="58"/>
        <v>16659.97797259461</v>
      </c>
      <c r="K232">
        <f t="shared" si="59"/>
        <v>16650.117843549415</v>
      </c>
      <c r="L232">
        <f t="shared" si="60"/>
        <v>16650.117843549415</v>
      </c>
      <c r="M232">
        <f t="shared" si="61"/>
        <v>0</v>
      </c>
      <c r="N232" s="29">
        <f t="shared" si="62"/>
        <v>16650.117843549415</v>
      </c>
      <c r="O232" s="29">
        <f t="shared" si="63"/>
        <v>16648.854512971313</v>
      </c>
      <c r="P232" s="29">
        <f t="shared" si="64"/>
        <v>16648.854512971313</v>
      </c>
      <c r="Q232">
        <f t="shared" si="65"/>
        <v>0</v>
      </c>
      <c r="R232" s="29">
        <f t="shared" si="66"/>
        <v>16648.854512971313</v>
      </c>
      <c r="S232" s="29">
        <f t="shared" si="67"/>
        <v>16648.854512971298</v>
      </c>
      <c r="T232" s="29">
        <f t="shared" si="68"/>
        <v>16648.854512971298</v>
      </c>
      <c r="U232">
        <f t="shared" si="69"/>
        <v>0</v>
      </c>
      <c r="V232" s="29">
        <f t="shared" si="70"/>
        <v>16648.854512971298</v>
      </c>
      <c r="W232" s="29">
        <f t="shared" si="71"/>
        <v>16648.854512971298</v>
      </c>
      <c r="X232" s="29">
        <f t="shared" si="72"/>
        <v>16648.854512971298</v>
      </c>
      <c r="Y232">
        <f t="shared" si="73"/>
        <v>0</v>
      </c>
    </row>
    <row r="233" spans="1:25" x14ac:dyDescent="0.25">
      <c r="A233" s="4" t="s">
        <v>46</v>
      </c>
      <c r="B233" s="7" t="s">
        <v>81</v>
      </c>
      <c r="C233" s="2" t="s">
        <v>1105</v>
      </c>
      <c r="D233">
        <f>VLOOKUP(B233,'Model allocations'!$A$1:$L$317,6,FALSE)</f>
        <v>0</v>
      </c>
      <c r="E233" s="31">
        <f>VLOOKUP(B233,'Initial adjusted formula count'!$A$1:$P$317,12,FALSE)</f>
        <v>6.8532985430347401E-2</v>
      </c>
      <c r="F233">
        <f>VLOOKUP(B233,'Model allocations'!$A$1:$L$317,11,FALSE)</f>
        <v>0</v>
      </c>
      <c r="G233" s="30">
        <f t="shared" si="74"/>
        <v>0.85</v>
      </c>
      <c r="H233">
        <f t="shared" si="75"/>
        <v>0</v>
      </c>
      <c r="I233">
        <f t="shared" si="57"/>
        <v>0</v>
      </c>
      <c r="J233">
        <f t="shared" si="58"/>
        <v>0</v>
      </c>
      <c r="K233">
        <f t="shared" si="59"/>
        <v>0</v>
      </c>
      <c r="L233">
        <f t="shared" si="60"/>
        <v>0</v>
      </c>
      <c r="M233">
        <f t="shared" si="61"/>
        <v>0</v>
      </c>
      <c r="N233" s="29">
        <f t="shared" si="62"/>
        <v>0</v>
      </c>
      <c r="O233" s="29">
        <f t="shared" si="63"/>
        <v>0</v>
      </c>
      <c r="P233" s="29">
        <f t="shared" si="64"/>
        <v>0</v>
      </c>
      <c r="Q233">
        <f t="shared" si="65"/>
        <v>0</v>
      </c>
      <c r="R233" s="29">
        <f t="shared" si="66"/>
        <v>0</v>
      </c>
      <c r="S233" s="29">
        <f t="shared" si="67"/>
        <v>0</v>
      </c>
      <c r="T233" s="29">
        <f t="shared" si="68"/>
        <v>0</v>
      </c>
      <c r="U233">
        <f t="shared" si="69"/>
        <v>0</v>
      </c>
      <c r="V233" s="29">
        <f t="shared" si="70"/>
        <v>0</v>
      </c>
      <c r="W233" s="29">
        <f t="shared" si="71"/>
        <v>0</v>
      </c>
      <c r="X233" s="29">
        <f t="shared" si="72"/>
        <v>0</v>
      </c>
      <c r="Y233">
        <f t="shared" si="73"/>
        <v>0</v>
      </c>
    </row>
    <row r="234" spans="1:25" x14ac:dyDescent="0.25">
      <c r="A234" s="4" t="s">
        <v>24</v>
      </c>
      <c r="B234" s="7" t="s">
        <v>59</v>
      </c>
      <c r="C234" s="2" t="s">
        <v>1106</v>
      </c>
      <c r="D234">
        <f>VLOOKUP(B234,'Model allocations'!$A$1:$L$317,6,FALSE)</f>
        <v>5934379.6924350541</v>
      </c>
      <c r="E234" s="31">
        <f>VLOOKUP(B234,'Initial adjusted formula count'!$A$1:$P$317,12,FALSE)</f>
        <v>9.5002912490484606E-2</v>
      </c>
      <c r="F234">
        <f>VLOOKUP(B234,'Model allocations'!$A$1:$L$317,11,FALSE)</f>
        <v>6574531.3696076497</v>
      </c>
      <c r="G234" s="30">
        <f t="shared" si="74"/>
        <v>0.85</v>
      </c>
      <c r="H234">
        <f t="shared" si="75"/>
        <v>5044222.7385697961</v>
      </c>
      <c r="I234">
        <f t="shared" si="57"/>
        <v>0</v>
      </c>
      <c r="J234">
        <f t="shared" si="58"/>
        <v>6574531.3696076497</v>
      </c>
      <c r="K234">
        <f t="shared" si="59"/>
        <v>6570640.2643599324</v>
      </c>
      <c r="L234">
        <f t="shared" si="60"/>
        <v>6570640.2643599324</v>
      </c>
      <c r="M234">
        <f t="shared" si="61"/>
        <v>0</v>
      </c>
      <c r="N234" s="29">
        <f t="shared" si="62"/>
        <v>6570640.2643599324</v>
      </c>
      <c r="O234" s="29">
        <f t="shared" si="63"/>
        <v>6570141.715890686</v>
      </c>
      <c r="P234" s="29">
        <f t="shared" si="64"/>
        <v>6570141.715890686</v>
      </c>
      <c r="Q234">
        <f t="shared" si="65"/>
        <v>0</v>
      </c>
      <c r="R234" s="29">
        <f t="shared" si="66"/>
        <v>6570141.715890686</v>
      </c>
      <c r="S234" s="29">
        <f t="shared" si="67"/>
        <v>6570141.7158906804</v>
      </c>
      <c r="T234" s="29">
        <f t="shared" si="68"/>
        <v>6570141.7158906804</v>
      </c>
      <c r="U234">
        <f t="shared" si="69"/>
        <v>0</v>
      </c>
      <c r="V234" s="29">
        <f t="shared" si="70"/>
        <v>6570141.7158906804</v>
      </c>
      <c r="W234" s="29">
        <f t="shared" si="71"/>
        <v>6570141.7158906804</v>
      </c>
      <c r="X234" s="29">
        <f t="shared" si="72"/>
        <v>6570141.7158906804</v>
      </c>
      <c r="Y234">
        <f t="shared" si="73"/>
        <v>0</v>
      </c>
    </row>
    <row r="235" spans="1:25" x14ac:dyDescent="0.25">
      <c r="A235" s="4" t="s">
        <v>1107</v>
      </c>
      <c r="B235" s="7" t="s">
        <v>300</v>
      </c>
      <c r="C235" s="2" t="s">
        <v>1108</v>
      </c>
      <c r="D235">
        <f>VLOOKUP(B235,'Model allocations'!$A$1:$L$317,6,FALSE)</f>
        <v>347903.4770431263</v>
      </c>
      <c r="E235" s="31">
        <f>VLOOKUP(B235,'Initial adjusted formula count'!$A$1:$P$317,12,FALSE)</f>
        <v>0.112776025236593</v>
      </c>
      <c r="F235">
        <f>VLOOKUP(B235,'Model allocations'!$A$1:$L$317,11,FALSE)</f>
        <v>325232.08721913619</v>
      </c>
      <c r="G235" s="30">
        <f t="shared" si="74"/>
        <v>0.85</v>
      </c>
      <c r="H235">
        <f t="shared" si="75"/>
        <v>295717.95548665733</v>
      </c>
      <c r="I235">
        <f t="shared" si="57"/>
        <v>0</v>
      </c>
      <c r="J235">
        <f t="shared" si="58"/>
        <v>325232.08721913619</v>
      </c>
      <c r="K235">
        <f t="shared" si="59"/>
        <v>325039.60014893155</v>
      </c>
      <c r="L235">
        <f t="shared" si="60"/>
        <v>325039.60014893155</v>
      </c>
      <c r="M235">
        <f t="shared" si="61"/>
        <v>0</v>
      </c>
      <c r="N235" s="29">
        <f t="shared" si="62"/>
        <v>325039.60014893155</v>
      </c>
      <c r="O235" s="29">
        <f t="shared" si="63"/>
        <v>325014.93771291641</v>
      </c>
      <c r="P235" s="29">
        <f t="shared" si="64"/>
        <v>325014.93771291641</v>
      </c>
      <c r="Q235">
        <f t="shared" si="65"/>
        <v>0</v>
      </c>
      <c r="R235" s="29">
        <f t="shared" si="66"/>
        <v>325014.93771291641</v>
      </c>
      <c r="S235" s="29">
        <f t="shared" si="67"/>
        <v>325014.93771291611</v>
      </c>
      <c r="T235" s="29">
        <f t="shared" si="68"/>
        <v>325014.93771291611</v>
      </c>
      <c r="U235">
        <f t="shared" si="69"/>
        <v>0</v>
      </c>
      <c r="V235" s="29">
        <f t="shared" si="70"/>
        <v>325014.93771291611</v>
      </c>
      <c r="W235" s="29">
        <f t="shared" si="71"/>
        <v>325014.93771291611</v>
      </c>
      <c r="X235" s="29">
        <f t="shared" si="72"/>
        <v>325014.93771291611</v>
      </c>
      <c r="Y235">
        <f t="shared" si="73"/>
        <v>0</v>
      </c>
    </row>
    <row r="236" spans="1:25" x14ac:dyDescent="0.25">
      <c r="A236" s="4" t="s">
        <v>1109</v>
      </c>
      <c r="B236" s="7" t="s">
        <v>574</v>
      </c>
      <c r="C236" s="2" t="s">
        <v>1110</v>
      </c>
      <c r="D236">
        <f>VLOOKUP(B236,'Model allocations'!$A$1:$L$317,6,FALSE)</f>
        <v>264746.06057915959</v>
      </c>
      <c r="E236" s="31">
        <f>VLOOKUP(B236,'Initial adjusted formula count'!$A$1:$P$317,12,FALSE)</f>
        <v>0.121110579224509</v>
      </c>
      <c r="F236">
        <f>VLOOKUP(B236,'Model allocations'!$A$1:$L$317,11,FALSE)</f>
        <v>287705.3079246204</v>
      </c>
      <c r="G236" s="30">
        <f t="shared" si="74"/>
        <v>0.85</v>
      </c>
      <c r="H236">
        <f t="shared" si="75"/>
        <v>225034.15149228563</v>
      </c>
      <c r="I236">
        <f t="shared" si="57"/>
        <v>0</v>
      </c>
      <c r="J236">
        <f t="shared" si="58"/>
        <v>287705.3079246204</v>
      </c>
      <c r="K236">
        <f t="shared" si="59"/>
        <v>287535.03090097784</v>
      </c>
      <c r="L236">
        <f t="shared" si="60"/>
        <v>287535.03090097784</v>
      </c>
      <c r="M236">
        <f t="shared" si="61"/>
        <v>0</v>
      </c>
      <c r="N236" s="29">
        <f t="shared" si="62"/>
        <v>287535.03090097784</v>
      </c>
      <c r="O236" s="29">
        <f t="shared" si="63"/>
        <v>287513.21413065674</v>
      </c>
      <c r="P236" s="29">
        <f t="shared" si="64"/>
        <v>287513.21413065674</v>
      </c>
      <c r="Q236">
        <f t="shared" si="65"/>
        <v>0</v>
      </c>
      <c r="R236" s="29">
        <f t="shared" si="66"/>
        <v>287513.21413065674</v>
      </c>
      <c r="S236" s="29">
        <f t="shared" si="67"/>
        <v>287513.2141306565</v>
      </c>
      <c r="T236" s="29">
        <f t="shared" si="68"/>
        <v>287513.2141306565</v>
      </c>
      <c r="U236">
        <f t="shared" si="69"/>
        <v>0</v>
      </c>
      <c r="V236" s="29">
        <f t="shared" si="70"/>
        <v>287513.2141306565</v>
      </c>
      <c r="W236" s="29">
        <f t="shared" si="71"/>
        <v>287513.2141306565</v>
      </c>
      <c r="X236" s="29">
        <f t="shared" si="72"/>
        <v>287513.2141306565</v>
      </c>
      <c r="Y236">
        <f t="shared" si="73"/>
        <v>0</v>
      </c>
    </row>
    <row r="237" spans="1:25" x14ac:dyDescent="0.25">
      <c r="A237" s="4" t="s">
        <v>1111</v>
      </c>
      <c r="B237" s="7" t="s">
        <v>576</v>
      </c>
      <c r="C237" s="2" t="s">
        <v>1112</v>
      </c>
      <c r="D237">
        <f>VLOOKUP(B237,'Model allocations'!$A$1:$L$317,6,FALSE)</f>
        <v>71733.397671291808</v>
      </c>
      <c r="E237" s="31">
        <f>VLOOKUP(B237,'Initial adjusted formula count'!$A$1:$P$317,12,FALSE)</f>
        <v>0.25937500000000002</v>
      </c>
      <c r="F237">
        <f>VLOOKUP(B237,'Model allocations'!$A$1:$L$317,11,FALSE)</f>
        <v>66549.762965868154</v>
      </c>
      <c r="G237" s="30">
        <f t="shared" si="74"/>
        <v>0.9</v>
      </c>
      <c r="H237">
        <f t="shared" si="75"/>
        <v>64560.057904162626</v>
      </c>
      <c r="I237">
        <f t="shared" si="57"/>
        <v>0</v>
      </c>
      <c r="J237">
        <f t="shared" si="58"/>
        <v>66549.762965868154</v>
      </c>
      <c r="K237">
        <f t="shared" si="59"/>
        <v>66510.375803901319</v>
      </c>
      <c r="L237">
        <f t="shared" si="60"/>
        <v>66510.375803901319</v>
      </c>
      <c r="M237">
        <f t="shared" si="61"/>
        <v>0</v>
      </c>
      <c r="N237" s="29">
        <f t="shared" si="62"/>
        <v>66510.375803901319</v>
      </c>
      <c r="O237" s="29">
        <f t="shared" si="63"/>
        <v>66505.329317605938</v>
      </c>
      <c r="P237" s="29">
        <f t="shared" si="64"/>
        <v>66505.329317605938</v>
      </c>
      <c r="Q237">
        <f t="shared" si="65"/>
        <v>0</v>
      </c>
      <c r="R237" s="29">
        <f t="shared" si="66"/>
        <v>66505.329317605938</v>
      </c>
      <c r="S237" s="29">
        <f t="shared" si="67"/>
        <v>66505.32931760588</v>
      </c>
      <c r="T237" s="29">
        <f t="shared" si="68"/>
        <v>66505.32931760588</v>
      </c>
      <c r="U237">
        <f t="shared" si="69"/>
        <v>0</v>
      </c>
      <c r="V237" s="29">
        <f t="shared" si="70"/>
        <v>66505.32931760588</v>
      </c>
      <c r="W237" s="29">
        <f t="shared" si="71"/>
        <v>66505.32931760588</v>
      </c>
      <c r="X237" s="29">
        <f t="shared" si="72"/>
        <v>66505.32931760588</v>
      </c>
      <c r="Y237">
        <f t="shared" si="73"/>
        <v>0</v>
      </c>
    </row>
    <row r="238" spans="1:25" x14ac:dyDescent="0.25">
      <c r="A238" s="4" t="s">
        <v>1113</v>
      </c>
      <c r="B238" s="7" t="s">
        <v>578</v>
      </c>
      <c r="C238" s="2" t="s">
        <v>1114</v>
      </c>
      <c r="D238">
        <f>VLOOKUP(B238,'Model allocations'!$A$1:$L$317,6,FALSE)</f>
        <v>239855.40531103345</v>
      </c>
      <c r="E238" s="31">
        <f>VLOOKUP(B238,'Initial adjusted formula count'!$A$1:$P$317,12,FALSE)</f>
        <v>0.14715291106845799</v>
      </c>
      <c r="F238">
        <f>VLOOKUP(B238,'Model allocations'!$A$1:$L$317,11,FALSE)</f>
        <v>261550.27993147311</v>
      </c>
      <c r="G238" s="30">
        <f t="shared" si="74"/>
        <v>0.85</v>
      </c>
      <c r="H238">
        <f t="shared" si="75"/>
        <v>203877.09451437843</v>
      </c>
      <c r="I238">
        <f t="shared" si="57"/>
        <v>0</v>
      </c>
      <c r="J238">
        <f t="shared" si="58"/>
        <v>261550.27993147311</v>
      </c>
      <c r="K238">
        <f t="shared" si="59"/>
        <v>261395.4826372526</v>
      </c>
      <c r="L238">
        <f t="shared" si="60"/>
        <v>261395.4826372526</v>
      </c>
      <c r="M238">
        <f t="shared" si="61"/>
        <v>0</v>
      </c>
      <c r="N238" s="29">
        <f t="shared" si="62"/>
        <v>261395.4826372526</v>
      </c>
      <c r="O238" s="29">
        <f t="shared" si="63"/>
        <v>261375.64920968795</v>
      </c>
      <c r="P238" s="29">
        <f t="shared" si="64"/>
        <v>261375.64920968795</v>
      </c>
      <c r="Q238">
        <f t="shared" si="65"/>
        <v>0</v>
      </c>
      <c r="R238" s="29">
        <f t="shared" si="66"/>
        <v>261375.64920968795</v>
      </c>
      <c r="S238" s="29">
        <f t="shared" si="67"/>
        <v>261375.64920968775</v>
      </c>
      <c r="T238" s="29">
        <f t="shared" si="68"/>
        <v>261375.64920968775</v>
      </c>
      <c r="U238">
        <f t="shared" si="69"/>
        <v>0</v>
      </c>
      <c r="V238" s="29">
        <f t="shared" si="70"/>
        <v>261375.64920968775</v>
      </c>
      <c r="W238" s="29">
        <f t="shared" si="71"/>
        <v>261375.64920968775</v>
      </c>
      <c r="X238" s="29">
        <f t="shared" si="72"/>
        <v>261375.64920968775</v>
      </c>
      <c r="Y238">
        <f t="shared" si="73"/>
        <v>0</v>
      </c>
    </row>
    <row r="239" spans="1:25" x14ac:dyDescent="0.25">
      <c r="A239" s="4" t="s">
        <v>1115</v>
      </c>
      <c r="B239" s="7" t="s">
        <v>209</v>
      </c>
      <c r="C239" s="2" t="s">
        <v>1116</v>
      </c>
      <c r="D239">
        <f>VLOOKUP(B239,'Model allocations'!$A$1:$L$317,6,FALSE)</f>
        <v>0</v>
      </c>
      <c r="E239" s="31">
        <f>VLOOKUP(B239,'Initial adjusted formula count'!$A$1:$P$317,12,FALSE)</f>
        <v>0.18181818181818199</v>
      </c>
      <c r="F239">
        <f>VLOOKUP(B239,'Model allocations'!$A$1:$L$317,11,FALSE)</f>
        <v>0</v>
      </c>
      <c r="G239" s="30">
        <f t="shared" si="74"/>
        <v>0.9</v>
      </c>
      <c r="H239">
        <f t="shared" si="75"/>
        <v>0</v>
      </c>
      <c r="I239">
        <f t="shared" si="57"/>
        <v>0</v>
      </c>
      <c r="J239">
        <f t="shared" si="58"/>
        <v>0</v>
      </c>
      <c r="K239">
        <f t="shared" si="59"/>
        <v>0</v>
      </c>
      <c r="L239">
        <f t="shared" si="60"/>
        <v>0</v>
      </c>
      <c r="M239">
        <f t="shared" si="61"/>
        <v>0</v>
      </c>
      <c r="N239" s="29">
        <f t="shared" si="62"/>
        <v>0</v>
      </c>
      <c r="O239" s="29">
        <f t="shared" si="63"/>
        <v>0</v>
      </c>
      <c r="P239" s="29">
        <f t="shared" si="64"/>
        <v>0</v>
      </c>
      <c r="Q239">
        <f t="shared" si="65"/>
        <v>0</v>
      </c>
      <c r="R239" s="29">
        <f t="shared" si="66"/>
        <v>0</v>
      </c>
      <c r="S239" s="29">
        <f t="shared" si="67"/>
        <v>0</v>
      </c>
      <c r="T239" s="29">
        <f t="shared" si="68"/>
        <v>0</v>
      </c>
      <c r="U239">
        <f t="shared" si="69"/>
        <v>0</v>
      </c>
      <c r="V239" s="29">
        <f t="shared" si="70"/>
        <v>0</v>
      </c>
      <c r="W239" s="29">
        <f t="shared" si="71"/>
        <v>0</v>
      </c>
      <c r="X239" s="29">
        <f t="shared" si="72"/>
        <v>0</v>
      </c>
      <c r="Y239">
        <f t="shared" si="73"/>
        <v>0</v>
      </c>
    </row>
    <row r="240" spans="1:25" x14ac:dyDescent="0.25">
      <c r="A240" s="4" t="s">
        <v>1117</v>
      </c>
      <c r="B240" s="7" t="s">
        <v>580</v>
      </c>
      <c r="C240" s="2" t="s">
        <v>1118</v>
      </c>
      <c r="D240">
        <f>VLOOKUP(B240,'Model allocations'!$A$1:$L$317,6,FALSE)</f>
        <v>477210.91253994376</v>
      </c>
      <c r="E240" s="31">
        <f>VLOOKUP(B240,'Initial adjusted formula count'!$A$1:$P$317,12,FALSE)</f>
        <v>0.18101386896221899</v>
      </c>
      <c r="F240">
        <f>VLOOKUP(B240,'Model allocations'!$A$1:$L$317,11,FALSE)</f>
        <v>475386.56774136942</v>
      </c>
      <c r="G240" s="30">
        <f t="shared" si="74"/>
        <v>0.9</v>
      </c>
      <c r="H240">
        <f t="shared" si="75"/>
        <v>429489.82128594938</v>
      </c>
      <c r="I240">
        <f t="shared" si="57"/>
        <v>0</v>
      </c>
      <c r="J240">
        <f t="shared" si="58"/>
        <v>475386.56774136942</v>
      </c>
      <c r="K240">
        <f t="shared" si="59"/>
        <v>475105.21245314559</v>
      </c>
      <c r="L240">
        <f t="shared" si="60"/>
        <v>475105.21245314559</v>
      </c>
      <c r="M240">
        <f t="shared" si="61"/>
        <v>0</v>
      </c>
      <c r="N240" s="29">
        <f t="shared" si="62"/>
        <v>475105.21245314559</v>
      </c>
      <c r="O240" s="29">
        <f t="shared" si="63"/>
        <v>475069.16376277915</v>
      </c>
      <c r="P240" s="29">
        <f t="shared" si="64"/>
        <v>475069.16376277915</v>
      </c>
      <c r="Q240">
        <f t="shared" si="65"/>
        <v>0</v>
      </c>
      <c r="R240" s="29">
        <f t="shared" si="66"/>
        <v>475069.16376277915</v>
      </c>
      <c r="S240" s="29">
        <f t="shared" si="67"/>
        <v>475069.16376277874</v>
      </c>
      <c r="T240" s="29">
        <f t="shared" si="68"/>
        <v>475069.16376277874</v>
      </c>
      <c r="U240">
        <f t="shared" si="69"/>
        <v>0</v>
      </c>
      <c r="V240" s="29">
        <f t="shared" si="70"/>
        <v>475069.16376277874</v>
      </c>
      <c r="W240" s="29">
        <f t="shared" si="71"/>
        <v>475069.16376277874</v>
      </c>
      <c r="X240" s="29">
        <f t="shared" si="72"/>
        <v>475069.16376277874</v>
      </c>
      <c r="Y240">
        <f t="shared" si="73"/>
        <v>0</v>
      </c>
    </row>
    <row r="241" spans="1:25" x14ac:dyDescent="0.25">
      <c r="A241" s="4" t="s">
        <v>1119</v>
      </c>
      <c r="B241" s="7" t="s">
        <v>211</v>
      </c>
      <c r="C241" s="2" t="s">
        <v>1120</v>
      </c>
      <c r="D241">
        <f>VLOOKUP(B241,'Model allocations'!$A$1:$L$317,6,FALSE)</f>
        <v>400239.38829859684</v>
      </c>
      <c r="E241" s="31">
        <f>VLOOKUP(B241,'Initial adjusted formula count'!$A$1:$P$317,12,FALSE)</f>
        <v>6.5039081347100305E-2</v>
      </c>
      <c r="F241">
        <f>VLOOKUP(B241,'Model allocations'!$A$1:$L$317,11,FALSE)</f>
        <v>383228.018856115</v>
      </c>
      <c r="G241" s="30">
        <f t="shared" si="74"/>
        <v>0.85</v>
      </c>
      <c r="H241">
        <f t="shared" si="75"/>
        <v>340203.48005380732</v>
      </c>
      <c r="I241">
        <f t="shared" si="57"/>
        <v>0</v>
      </c>
      <c r="J241">
        <f t="shared" si="58"/>
        <v>383228.018856115</v>
      </c>
      <c r="K241">
        <f t="shared" si="59"/>
        <v>383001.20716849627</v>
      </c>
      <c r="L241">
        <f t="shared" si="60"/>
        <v>383001.20716849627</v>
      </c>
      <c r="M241">
        <f t="shared" si="61"/>
        <v>0</v>
      </c>
      <c r="N241" s="29">
        <f t="shared" si="62"/>
        <v>383001.20716849627</v>
      </c>
      <c r="O241" s="29">
        <f t="shared" si="63"/>
        <v>382972.14688549936</v>
      </c>
      <c r="P241" s="29">
        <f t="shared" si="64"/>
        <v>382972.14688549936</v>
      </c>
      <c r="Q241">
        <f t="shared" si="65"/>
        <v>0</v>
      </c>
      <c r="R241" s="29">
        <f t="shared" si="66"/>
        <v>382972.14688549936</v>
      </c>
      <c r="S241" s="29">
        <f t="shared" si="67"/>
        <v>382972.14688549907</v>
      </c>
      <c r="T241" s="29">
        <f t="shared" si="68"/>
        <v>382972.14688549907</v>
      </c>
      <c r="U241">
        <f t="shared" si="69"/>
        <v>0</v>
      </c>
      <c r="V241" s="29">
        <f t="shared" si="70"/>
        <v>382972.14688549907</v>
      </c>
      <c r="W241" s="29">
        <f t="shared" si="71"/>
        <v>382972.14688549907</v>
      </c>
      <c r="X241" s="29">
        <f t="shared" si="72"/>
        <v>382972.14688549907</v>
      </c>
      <c r="Y241">
        <f t="shared" si="73"/>
        <v>0</v>
      </c>
    </row>
    <row r="242" spans="1:25" x14ac:dyDescent="0.25">
      <c r="A242" s="4" t="s">
        <v>1121</v>
      </c>
      <c r="B242" s="7" t="s">
        <v>302</v>
      </c>
      <c r="C242" s="2" t="s">
        <v>1122</v>
      </c>
      <c r="D242">
        <f>VLOOKUP(B242,'Model allocations'!$A$1:$L$317,6,FALSE)</f>
        <v>7354.0572383099861</v>
      </c>
      <c r="E242" s="31">
        <f>VLOOKUP(B242,'Initial adjusted formula count'!$A$1:$P$317,12,FALSE)</f>
        <v>0.126984126984127</v>
      </c>
      <c r="F242">
        <f>VLOOKUP(B242,'Model allocations'!$A$1:$L$317,11,FALSE)</f>
        <v>9097.4010410947194</v>
      </c>
      <c r="G242" s="30">
        <f t="shared" si="74"/>
        <v>0.85</v>
      </c>
      <c r="H242">
        <f t="shared" si="75"/>
        <v>6250.9486525634884</v>
      </c>
      <c r="I242">
        <f t="shared" si="57"/>
        <v>0</v>
      </c>
      <c r="J242">
        <f t="shared" si="58"/>
        <v>9097.4010410947194</v>
      </c>
      <c r="K242">
        <f t="shared" si="59"/>
        <v>9092.0167873827013</v>
      </c>
      <c r="L242">
        <f t="shared" si="60"/>
        <v>9092.0167873827013</v>
      </c>
      <c r="M242">
        <f t="shared" si="61"/>
        <v>0</v>
      </c>
      <c r="N242" s="29">
        <f t="shared" si="62"/>
        <v>9092.0167873827013</v>
      </c>
      <c r="O242" s="29">
        <f t="shared" si="63"/>
        <v>9091.3269290326261</v>
      </c>
      <c r="P242" s="29">
        <f t="shared" si="64"/>
        <v>9091.3269290326261</v>
      </c>
      <c r="Q242">
        <f t="shared" si="65"/>
        <v>0</v>
      </c>
      <c r="R242" s="29">
        <f t="shared" si="66"/>
        <v>9091.3269290326261</v>
      </c>
      <c r="S242" s="29">
        <f t="shared" si="67"/>
        <v>9091.3269290326189</v>
      </c>
      <c r="T242" s="29">
        <f t="shared" si="68"/>
        <v>9091.3269290326189</v>
      </c>
      <c r="U242">
        <f t="shared" si="69"/>
        <v>0</v>
      </c>
      <c r="V242" s="29">
        <f t="shared" si="70"/>
        <v>9091.3269290326189</v>
      </c>
      <c r="W242" s="29">
        <f t="shared" si="71"/>
        <v>9091.3269290326189</v>
      </c>
      <c r="X242" s="29">
        <f t="shared" si="72"/>
        <v>9091.3269290326189</v>
      </c>
      <c r="Y242">
        <f t="shared" si="73"/>
        <v>0</v>
      </c>
    </row>
    <row r="243" spans="1:25" x14ac:dyDescent="0.25">
      <c r="A243" s="4" t="s">
        <v>1123</v>
      </c>
      <c r="B243" s="7" t="s">
        <v>213</v>
      </c>
      <c r="C243" s="2" t="s">
        <v>1124</v>
      </c>
      <c r="D243">
        <f>VLOOKUP(B243,'Model allocations'!$A$1:$L$317,6,FALSE)</f>
        <v>0</v>
      </c>
      <c r="E243" s="31">
        <f>VLOOKUP(B243,'Initial adjusted formula count'!$A$1:$P$317,12,FALSE)</f>
        <v>7.3529411764705899E-2</v>
      </c>
      <c r="F243">
        <f>VLOOKUP(B243,'Model allocations'!$A$1:$L$317,11,FALSE)</f>
        <v>0</v>
      </c>
      <c r="G243" s="30">
        <f t="shared" si="74"/>
        <v>0.85</v>
      </c>
      <c r="H243">
        <f t="shared" si="75"/>
        <v>0</v>
      </c>
      <c r="I243">
        <f t="shared" si="57"/>
        <v>0</v>
      </c>
      <c r="J243">
        <f t="shared" si="58"/>
        <v>0</v>
      </c>
      <c r="K243">
        <f t="shared" si="59"/>
        <v>0</v>
      </c>
      <c r="L243">
        <f t="shared" si="60"/>
        <v>0</v>
      </c>
      <c r="M243">
        <f t="shared" si="61"/>
        <v>0</v>
      </c>
      <c r="N243" s="29">
        <f t="shared" si="62"/>
        <v>0</v>
      </c>
      <c r="O243" s="29">
        <f t="shared" si="63"/>
        <v>0</v>
      </c>
      <c r="P243" s="29">
        <f t="shared" si="64"/>
        <v>0</v>
      </c>
      <c r="Q243">
        <f t="shared" si="65"/>
        <v>0</v>
      </c>
      <c r="R243" s="29">
        <f t="shared" si="66"/>
        <v>0</v>
      </c>
      <c r="S243" s="29">
        <f t="shared" si="67"/>
        <v>0</v>
      </c>
      <c r="T243" s="29">
        <f t="shared" si="68"/>
        <v>0</v>
      </c>
      <c r="U243">
        <f t="shared" si="69"/>
        <v>0</v>
      </c>
      <c r="V243" s="29">
        <f t="shared" si="70"/>
        <v>0</v>
      </c>
      <c r="W243" s="29">
        <f t="shared" si="71"/>
        <v>0</v>
      </c>
      <c r="X243" s="29">
        <f t="shared" si="72"/>
        <v>0</v>
      </c>
      <c r="Y243">
        <f t="shared" si="73"/>
        <v>0</v>
      </c>
    </row>
    <row r="244" spans="1:25" x14ac:dyDescent="0.25">
      <c r="A244" s="4" t="s">
        <v>1125</v>
      </c>
      <c r="B244" s="7" t="s">
        <v>215</v>
      </c>
      <c r="C244" s="2" t="s">
        <v>1126</v>
      </c>
      <c r="D244">
        <f>VLOOKUP(B244,'Model allocations'!$A$1:$L$317,6,FALSE)</f>
        <v>313961.67440477258</v>
      </c>
      <c r="E244" s="31">
        <f>VLOOKUP(B244,'Initial adjusted formula count'!$A$1:$P$317,12,FALSE)</f>
        <v>5.33778148457048E-2</v>
      </c>
      <c r="F244">
        <f>VLOOKUP(B244,'Model allocations'!$A$1:$L$317,11,FALSE)</f>
        <v>327506.43747940985</v>
      </c>
      <c r="G244" s="30">
        <f t="shared" si="74"/>
        <v>0.85</v>
      </c>
      <c r="H244">
        <f t="shared" si="75"/>
        <v>266867.4232440567</v>
      </c>
      <c r="I244">
        <f t="shared" si="57"/>
        <v>0</v>
      </c>
      <c r="J244">
        <f t="shared" si="58"/>
        <v>327506.43747940985</v>
      </c>
      <c r="K244">
        <f t="shared" si="59"/>
        <v>327312.60434577719</v>
      </c>
      <c r="L244">
        <f t="shared" si="60"/>
        <v>327312.60434577719</v>
      </c>
      <c r="M244">
        <f t="shared" si="61"/>
        <v>0</v>
      </c>
      <c r="N244" s="29">
        <f t="shared" si="62"/>
        <v>327312.60434577719</v>
      </c>
      <c r="O244" s="29">
        <f t="shared" si="63"/>
        <v>327287.76944517449</v>
      </c>
      <c r="P244" s="29">
        <f t="shared" si="64"/>
        <v>327287.76944517449</v>
      </c>
      <c r="Q244">
        <f t="shared" si="65"/>
        <v>0</v>
      </c>
      <c r="R244" s="29">
        <f t="shared" si="66"/>
        <v>327287.76944517449</v>
      </c>
      <c r="S244" s="29">
        <f t="shared" si="67"/>
        <v>327287.7694451742</v>
      </c>
      <c r="T244" s="29">
        <f t="shared" si="68"/>
        <v>327287.7694451742</v>
      </c>
      <c r="U244">
        <f t="shared" si="69"/>
        <v>0</v>
      </c>
      <c r="V244" s="29">
        <f t="shared" si="70"/>
        <v>327287.7694451742</v>
      </c>
      <c r="W244" s="29">
        <f t="shared" si="71"/>
        <v>327287.7694451742</v>
      </c>
      <c r="X244" s="29">
        <f t="shared" si="72"/>
        <v>327287.7694451742</v>
      </c>
      <c r="Y244">
        <f t="shared" si="73"/>
        <v>0</v>
      </c>
    </row>
    <row r="245" spans="1:25" x14ac:dyDescent="0.25">
      <c r="A245" s="8" t="s">
        <v>1127</v>
      </c>
      <c r="B245" s="7" t="s">
        <v>217</v>
      </c>
      <c r="C245" s="2" t="s">
        <v>1128</v>
      </c>
      <c r="D245">
        <f>VLOOKUP(B245,'Model allocations'!$A$1:$L$317,6,FALSE)</f>
        <v>0</v>
      </c>
      <c r="E245" s="31">
        <f>VLOOKUP(B245,'Initial adjusted formula count'!$A$1:$P$317,12,FALSE)</f>
        <v>3.1929960087549898E-2</v>
      </c>
      <c r="F245">
        <f>VLOOKUP(B245,'Model allocations'!$A$1:$L$317,11,FALSE)</f>
        <v>0</v>
      </c>
      <c r="G245" s="30">
        <f t="shared" si="74"/>
        <v>0.85</v>
      </c>
      <c r="H245">
        <f t="shared" si="75"/>
        <v>0</v>
      </c>
      <c r="I245">
        <f t="shared" si="57"/>
        <v>0</v>
      </c>
      <c r="J245">
        <f t="shared" si="58"/>
        <v>0</v>
      </c>
      <c r="K245">
        <f t="shared" si="59"/>
        <v>0</v>
      </c>
      <c r="L245">
        <f t="shared" si="60"/>
        <v>0</v>
      </c>
      <c r="M245">
        <f t="shared" si="61"/>
        <v>0</v>
      </c>
      <c r="N245" s="29">
        <f t="shared" si="62"/>
        <v>0</v>
      </c>
      <c r="O245" s="29">
        <f t="shared" si="63"/>
        <v>0</v>
      </c>
      <c r="P245" s="29">
        <f t="shared" si="64"/>
        <v>0</v>
      </c>
      <c r="Q245">
        <f t="shared" si="65"/>
        <v>0</v>
      </c>
      <c r="R245" s="29">
        <f t="shared" si="66"/>
        <v>0</v>
      </c>
      <c r="S245" s="29">
        <f t="shared" si="67"/>
        <v>0</v>
      </c>
      <c r="T245" s="29">
        <f t="shared" si="68"/>
        <v>0</v>
      </c>
      <c r="U245">
        <f t="shared" si="69"/>
        <v>0</v>
      </c>
      <c r="V245" s="29">
        <f t="shared" si="70"/>
        <v>0</v>
      </c>
      <c r="W245" s="29">
        <f t="shared" si="71"/>
        <v>0</v>
      </c>
      <c r="X245" s="29">
        <f t="shared" si="72"/>
        <v>0</v>
      </c>
      <c r="Y245">
        <f t="shared" si="73"/>
        <v>0</v>
      </c>
    </row>
    <row r="246" spans="1:25" x14ac:dyDescent="0.25">
      <c r="A246" s="4" t="s">
        <v>1129</v>
      </c>
      <c r="B246" s="7" t="s">
        <v>582</v>
      </c>
      <c r="C246" s="2" t="s">
        <v>1130</v>
      </c>
      <c r="D246">
        <f>VLOOKUP(B246,'Model allocations'!$A$1:$L$317,6,FALSE)</f>
        <v>123237.55168221358</v>
      </c>
      <c r="E246" s="31">
        <f>VLOOKUP(B246,'Initial adjusted formula count'!$A$1:$P$317,12,FALSE)</f>
        <v>0.33606557377049201</v>
      </c>
      <c r="F246">
        <f>VLOOKUP(B246,'Model allocations'!$A$1:$L$317,11,FALSE)</f>
        <v>202324.06695057757</v>
      </c>
      <c r="G246" s="30">
        <f t="shared" si="74"/>
        <v>0.95</v>
      </c>
      <c r="H246">
        <f t="shared" si="75"/>
        <v>117075.6740981029</v>
      </c>
      <c r="I246">
        <f t="shared" si="57"/>
        <v>0</v>
      </c>
      <c r="J246">
        <f t="shared" si="58"/>
        <v>202324.06695057757</v>
      </c>
      <c r="K246">
        <f t="shared" si="59"/>
        <v>202204.32240995675</v>
      </c>
      <c r="L246">
        <f t="shared" si="60"/>
        <v>202204.32240995675</v>
      </c>
      <c r="M246">
        <f t="shared" si="61"/>
        <v>0</v>
      </c>
      <c r="N246" s="29">
        <f t="shared" si="62"/>
        <v>202204.32240995675</v>
      </c>
      <c r="O246" s="29">
        <f t="shared" si="63"/>
        <v>202188.98012193662</v>
      </c>
      <c r="P246" s="29">
        <f t="shared" si="64"/>
        <v>202188.98012193662</v>
      </c>
      <c r="Q246">
        <f t="shared" si="65"/>
        <v>0</v>
      </c>
      <c r="R246" s="29">
        <f t="shared" si="66"/>
        <v>202188.98012193662</v>
      </c>
      <c r="S246" s="29">
        <f t="shared" si="67"/>
        <v>202188.98012193647</v>
      </c>
      <c r="T246" s="29">
        <f t="shared" si="68"/>
        <v>202188.98012193647</v>
      </c>
      <c r="U246">
        <f t="shared" si="69"/>
        <v>0</v>
      </c>
      <c r="V246" s="29">
        <f t="shared" si="70"/>
        <v>202188.98012193647</v>
      </c>
      <c r="W246" s="29">
        <f t="shared" si="71"/>
        <v>202188.98012193647</v>
      </c>
      <c r="X246" s="29">
        <f t="shared" si="72"/>
        <v>202188.98012193647</v>
      </c>
      <c r="Y246">
        <f t="shared" si="73"/>
        <v>0</v>
      </c>
    </row>
    <row r="247" spans="1:25" x14ac:dyDescent="0.25">
      <c r="A247" s="4" t="s">
        <v>1131</v>
      </c>
      <c r="B247" s="7" t="s">
        <v>584</v>
      </c>
      <c r="C247" s="2" t="s">
        <v>1132</v>
      </c>
      <c r="D247">
        <f>VLOOKUP(B247,'Model allocations'!$A$1:$L$317,6,FALSE)</f>
        <v>68705.449457924275</v>
      </c>
      <c r="E247" s="31">
        <f>VLOOKUP(B247,'Initial adjusted formula count'!$A$1:$P$317,12,FALSE)</f>
        <v>0.18133333333333301</v>
      </c>
      <c r="F247">
        <f>VLOOKUP(B247,'Model allocations'!$A$1:$L$317,11,FALSE)</f>
        <v>61834.904512131849</v>
      </c>
      <c r="G247" s="30">
        <f t="shared" si="74"/>
        <v>0.9</v>
      </c>
      <c r="H247">
        <f t="shared" si="75"/>
        <v>61834.904512131849</v>
      </c>
      <c r="I247">
        <f t="shared" si="57"/>
        <v>0</v>
      </c>
      <c r="J247">
        <f t="shared" si="58"/>
        <v>61834.904512131849</v>
      </c>
      <c r="K247">
        <f t="shared" si="59"/>
        <v>61798.307816806693</v>
      </c>
      <c r="L247">
        <f t="shared" si="60"/>
        <v>61798.307816806693</v>
      </c>
      <c r="M247">
        <f t="shared" si="61"/>
        <v>61834.904512131849</v>
      </c>
      <c r="N247" s="29">
        <f t="shared" si="62"/>
        <v>0</v>
      </c>
      <c r="O247" s="29">
        <f t="shared" si="63"/>
        <v>0</v>
      </c>
      <c r="P247" s="29">
        <f t="shared" si="64"/>
        <v>61834.904512131849</v>
      </c>
      <c r="Q247">
        <f t="shared" si="65"/>
        <v>0</v>
      </c>
      <c r="R247" s="29">
        <f t="shared" si="66"/>
        <v>0</v>
      </c>
      <c r="S247" s="29">
        <f t="shared" si="67"/>
        <v>0</v>
      </c>
      <c r="T247" s="29">
        <f t="shared" si="68"/>
        <v>61834.904512131849</v>
      </c>
      <c r="U247">
        <f t="shared" si="69"/>
        <v>0</v>
      </c>
      <c r="V247" s="29">
        <f t="shared" si="70"/>
        <v>0</v>
      </c>
      <c r="W247" s="29">
        <f t="shared" si="71"/>
        <v>0</v>
      </c>
      <c r="X247" s="29">
        <f t="shared" si="72"/>
        <v>61834.904512131849</v>
      </c>
      <c r="Y247">
        <f t="shared" si="73"/>
        <v>0</v>
      </c>
    </row>
    <row r="248" spans="1:25" x14ac:dyDescent="0.25">
      <c r="A248" s="4" t="s">
        <v>1133</v>
      </c>
      <c r="B248" s="7" t="s">
        <v>219</v>
      </c>
      <c r="C248" s="2" t="s">
        <v>1134</v>
      </c>
      <c r="D248">
        <f>VLOOKUP(B248,'Model allocations'!$A$1:$L$317,6,FALSE)</f>
        <v>781227.15739277622</v>
      </c>
      <c r="E248" s="31">
        <f>VLOOKUP(B248,'Initial adjusted formula count'!$A$1:$P$317,12,FALSE)</f>
        <v>8.4976847882010001E-2</v>
      </c>
      <c r="F248">
        <f>VLOOKUP(B248,'Model allocations'!$A$1:$L$317,11,FALSE)</f>
        <v>664043.08378385974</v>
      </c>
      <c r="G248" s="30">
        <f t="shared" si="74"/>
        <v>0.85</v>
      </c>
      <c r="H248">
        <f t="shared" si="75"/>
        <v>664043.08378385974</v>
      </c>
      <c r="I248">
        <f t="shared" si="57"/>
        <v>0</v>
      </c>
      <c r="J248">
        <f t="shared" si="58"/>
        <v>664043.08378385974</v>
      </c>
      <c r="K248">
        <f t="shared" si="59"/>
        <v>663650.07303027727</v>
      </c>
      <c r="L248">
        <f t="shared" si="60"/>
        <v>663650.07303027727</v>
      </c>
      <c r="M248">
        <f t="shared" si="61"/>
        <v>664043.08378385974</v>
      </c>
      <c r="N248" s="29">
        <f t="shared" si="62"/>
        <v>0</v>
      </c>
      <c r="O248" s="29">
        <f t="shared" si="63"/>
        <v>0</v>
      </c>
      <c r="P248" s="29">
        <f t="shared" si="64"/>
        <v>664043.08378385974</v>
      </c>
      <c r="Q248">
        <f t="shared" si="65"/>
        <v>0</v>
      </c>
      <c r="R248" s="29">
        <f t="shared" si="66"/>
        <v>0</v>
      </c>
      <c r="S248" s="29">
        <f t="shared" si="67"/>
        <v>0</v>
      </c>
      <c r="T248" s="29">
        <f t="shared" si="68"/>
        <v>664043.08378385974</v>
      </c>
      <c r="U248">
        <f t="shared" si="69"/>
        <v>0</v>
      </c>
      <c r="V248" s="29">
        <f t="shared" si="70"/>
        <v>0</v>
      </c>
      <c r="W248" s="29">
        <f t="shared" si="71"/>
        <v>0</v>
      </c>
      <c r="X248" s="29">
        <f t="shared" si="72"/>
        <v>664043.08378385974</v>
      </c>
      <c r="Y248">
        <f t="shared" si="73"/>
        <v>0</v>
      </c>
    </row>
    <row r="249" spans="1:25" x14ac:dyDescent="0.25">
      <c r="A249" s="4" t="s">
        <v>1135</v>
      </c>
      <c r="B249" s="7" t="s">
        <v>221</v>
      </c>
      <c r="C249" s="2" t="s">
        <v>1136</v>
      </c>
      <c r="D249">
        <f>VLOOKUP(B249,'Model allocations'!$A$1:$L$317,6,FALSE)</f>
        <v>82395.457740596685</v>
      </c>
      <c r="E249" s="31">
        <f>VLOOKUP(B249,'Initial adjusted formula count'!$A$1:$P$317,12,FALSE)</f>
        <v>8.6107921928817402E-2</v>
      </c>
      <c r="F249">
        <f>VLOOKUP(B249,'Model allocations'!$A$1:$L$317,11,FALSE)</f>
        <v>85288.134760262983</v>
      </c>
      <c r="G249" s="30">
        <f t="shared" si="74"/>
        <v>0.85</v>
      </c>
      <c r="H249">
        <f t="shared" si="75"/>
        <v>70036.139079507178</v>
      </c>
      <c r="I249">
        <f t="shared" si="57"/>
        <v>0</v>
      </c>
      <c r="J249">
        <f t="shared" si="58"/>
        <v>85288.134760262983</v>
      </c>
      <c r="K249">
        <f t="shared" si="59"/>
        <v>85237.657381712808</v>
      </c>
      <c r="L249">
        <f t="shared" si="60"/>
        <v>85237.657381712808</v>
      </c>
      <c r="M249">
        <f t="shared" si="61"/>
        <v>0</v>
      </c>
      <c r="N249" s="29">
        <f t="shared" si="62"/>
        <v>85237.657381712808</v>
      </c>
      <c r="O249" s="29">
        <f t="shared" si="63"/>
        <v>85231.189959680865</v>
      </c>
      <c r="P249" s="29">
        <f t="shared" si="64"/>
        <v>85231.189959680865</v>
      </c>
      <c r="Q249">
        <f t="shared" si="65"/>
        <v>0</v>
      </c>
      <c r="R249" s="29">
        <f t="shared" si="66"/>
        <v>85231.189959680865</v>
      </c>
      <c r="S249" s="29">
        <f t="shared" si="67"/>
        <v>85231.189959680793</v>
      </c>
      <c r="T249" s="29">
        <f t="shared" si="68"/>
        <v>85231.189959680793</v>
      </c>
      <c r="U249">
        <f t="shared" si="69"/>
        <v>0</v>
      </c>
      <c r="V249" s="29">
        <f t="shared" si="70"/>
        <v>85231.189959680793</v>
      </c>
      <c r="W249" s="29">
        <f t="shared" si="71"/>
        <v>85231.189959680793</v>
      </c>
      <c r="X249" s="29">
        <f t="shared" si="72"/>
        <v>85231.189959680793</v>
      </c>
      <c r="Y249">
        <f t="shared" si="73"/>
        <v>0</v>
      </c>
    </row>
    <row r="250" spans="1:25" x14ac:dyDescent="0.25">
      <c r="A250" s="4" t="s">
        <v>1137</v>
      </c>
      <c r="B250" s="7" t="s">
        <v>586</v>
      </c>
      <c r="C250" s="2" t="s">
        <v>1138</v>
      </c>
      <c r="D250">
        <f>VLOOKUP(B250,'Model allocations'!$A$1:$L$317,6,FALSE)</f>
        <v>36130.370072474849</v>
      </c>
      <c r="E250" s="31">
        <f>VLOOKUP(B250,'Initial adjusted formula count'!$A$1:$P$317,12,FALSE)</f>
        <v>0.19327731092437</v>
      </c>
      <c r="F250">
        <f>VLOOKUP(B250,'Model allocations'!$A$1:$L$317,11,FALSE)</f>
        <v>44938.062340778313</v>
      </c>
      <c r="G250" s="30">
        <f t="shared" si="74"/>
        <v>0.9</v>
      </c>
      <c r="H250">
        <f t="shared" si="75"/>
        <v>32517.333065227365</v>
      </c>
      <c r="I250">
        <f t="shared" si="57"/>
        <v>0</v>
      </c>
      <c r="J250">
        <f t="shared" si="58"/>
        <v>44938.062340778313</v>
      </c>
      <c r="K250">
        <f t="shared" si="59"/>
        <v>44911.465961452363</v>
      </c>
      <c r="L250">
        <f t="shared" si="60"/>
        <v>44911.465961452363</v>
      </c>
      <c r="M250">
        <f t="shared" si="61"/>
        <v>0</v>
      </c>
      <c r="N250" s="29">
        <f t="shared" si="62"/>
        <v>44911.465961452363</v>
      </c>
      <c r="O250" s="29">
        <f t="shared" si="63"/>
        <v>44908.058296185998</v>
      </c>
      <c r="P250" s="29">
        <f t="shared" si="64"/>
        <v>44908.058296185998</v>
      </c>
      <c r="Q250">
        <f t="shared" si="65"/>
        <v>0</v>
      </c>
      <c r="R250" s="29">
        <f t="shared" si="66"/>
        <v>44908.058296185998</v>
      </c>
      <c r="S250" s="29">
        <f t="shared" si="67"/>
        <v>44908.058296185962</v>
      </c>
      <c r="T250" s="29">
        <f t="shared" si="68"/>
        <v>44908.058296185962</v>
      </c>
      <c r="U250">
        <f t="shared" si="69"/>
        <v>0</v>
      </c>
      <c r="V250" s="29">
        <f t="shared" si="70"/>
        <v>44908.058296185962</v>
      </c>
      <c r="W250" s="29">
        <f t="shared" si="71"/>
        <v>44908.058296185962</v>
      </c>
      <c r="X250" s="29">
        <f t="shared" si="72"/>
        <v>44908.058296185962</v>
      </c>
      <c r="Y250">
        <f t="shared" si="73"/>
        <v>0</v>
      </c>
    </row>
    <row r="251" spans="1:25" x14ac:dyDescent="0.25">
      <c r="A251" s="4" t="s">
        <v>32</v>
      </c>
      <c r="B251" s="7" t="s">
        <v>61</v>
      </c>
      <c r="C251" s="2" t="s">
        <v>1139</v>
      </c>
      <c r="D251">
        <f>VLOOKUP(B251,'Model allocations'!$A$1:$L$317,6,FALSE)</f>
        <v>5990594.5782846157</v>
      </c>
      <c r="E251" s="31">
        <f>VLOOKUP(B251,'Initial adjusted formula count'!$A$1:$P$317,12,FALSE)</f>
        <v>0.14178376698008699</v>
      </c>
      <c r="F251">
        <f>VLOOKUP(B251,'Model allocations'!$A$1:$L$317,11,FALSE)</f>
        <v>5116313.4911168795</v>
      </c>
      <c r="G251" s="30">
        <f t="shared" si="74"/>
        <v>0.85</v>
      </c>
      <c r="H251">
        <f t="shared" si="75"/>
        <v>5092005.3915419234</v>
      </c>
      <c r="I251">
        <f t="shared" si="57"/>
        <v>0</v>
      </c>
      <c r="J251">
        <f t="shared" si="58"/>
        <v>5116313.4911168795</v>
      </c>
      <c r="K251">
        <f t="shared" si="59"/>
        <v>5113285.4252130073</v>
      </c>
      <c r="L251">
        <f t="shared" si="60"/>
        <v>5113285.4252130073</v>
      </c>
      <c r="M251">
        <f t="shared" si="61"/>
        <v>0</v>
      </c>
      <c r="N251" s="29">
        <f t="shared" si="62"/>
        <v>5113285.4252130073</v>
      </c>
      <c r="O251" s="29">
        <f t="shared" si="63"/>
        <v>5112897.4537948519</v>
      </c>
      <c r="P251" s="29">
        <f t="shared" si="64"/>
        <v>5112897.4537948519</v>
      </c>
      <c r="Q251">
        <f t="shared" si="65"/>
        <v>0</v>
      </c>
      <c r="R251" s="29">
        <f t="shared" si="66"/>
        <v>5112897.4537948519</v>
      </c>
      <c r="S251" s="29">
        <f t="shared" si="67"/>
        <v>5112897.4537948482</v>
      </c>
      <c r="T251" s="29">
        <f t="shared" si="68"/>
        <v>5112897.4537948482</v>
      </c>
      <c r="U251">
        <f t="shared" si="69"/>
        <v>0</v>
      </c>
      <c r="V251" s="29">
        <f t="shared" si="70"/>
        <v>5112897.4537948482</v>
      </c>
      <c r="W251" s="29">
        <f t="shared" si="71"/>
        <v>5112897.4537948482</v>
      </c>
      <c r="X251" s="29">
        <f t="shared" si="72"/>
        <v>5112897.4537948482</v>
      </c>
      <c r="Y251">
        <f t="shared" si="73"/>
        <v>0</v>
      </c>
    </row>
    <row r="252" spans="1:25" x14ac:dyDescent="0.25">
      <c r="A252" s="4" t="s">
        <v>35</v>
      </c>
      <c r="B252" s="7" t="s">
        <v>78</v>
      </c>
      <c r="C252" s="2" t="s">
        <v>1140</v>
      </c>
      <c r="D252">
        <f>VLOOKUP(B252,'Model allocations'!$A$1:$L$317,6,FALSE)</f>
        <v>115148.62631104719</v>
      </c>
      <c r="E252" s="31">
        <f>VLOOKUP(B252,'Initial adjusted formula count'!$A$1:$P$317,12,FALSE)</f>
        <v>9.8287212688936795E-2</v>
      </c>
      <c r="F252">
        <f>VLOOKUP(B252,'Model allocations'!$A$1:$L$317,11,FALSE)</f>
        <v>100740.71241207015</v>
      </c>
      <c r="G252" s="30">
        <f t="shared" si="74"/>
        <v>0.85</v>
      </c>
      <c r="H252">
        <f t="shared" si="75"/>
        <v>97876.332364390109</v>
      </c>
      <c r="I252">
        <f t="shared" si="57"/>
        <v>0</v>
      </c>
      <c r="J252">
        <f t="shared" si="58"/>
        <v>100740.71241207015</v>
      </c>
      <c r="K252">
        <f t="shared" si="59"/>
        <v>100681.08949863522</v>
      </c>
      <c r="L252">
        <f t="shared" si="60"/>
        <v>100681.08949863522</v>
      </c>
      <c r="M252">
        <f t="shared" si="61"/>
        <v>0</v>
      </c>
      <c r="N252" s="29">
        <f t="shared" si="62"/>
        <v>100681.08949863522</v>
      </c>
      <c r="O252" s="29">
        <f t="shared" si="63"/>
        <v>100673.45030351389</v>
      </c>
      <c r="P252" s="29">
        <f t="shared" si="64"/>
        <v>100673.45030351389</v>
      </c>
      <c r="Q252">
        <f t="shared" si="65"/>
        <v>0</v>
      </c>
      <c r="R252" s="29">
        <f t="shared" si="66"/>
        <v>100673.45030351389</v>
      </c>
      <c r="S252" s="29">
        <f t="shared" si="67"/>
        <v>100673.45030351382</v>
      </c>
      <c r="T252" s="29">
        <f t="shared" si="68"/>
        <v>100673.45030351382</v>
      </c>
      <c r="U252">
        <f t="shared" si="69"/>
        <v>0</v>
      </c>
      <c r="V252" s="29">
        <f t="shared" si="70"/>
        <v>100673.45030351382</v>
      </c>
      <c r="W252" s="29">
        <f t="shared" si="71"/>
        <v>100673.45030351382</v>
      </c>
      <c r="X252" s="29">
        <f t="shared" si="72"/>
        <v>100673.45030351382</v>
      </c>
      <c r="Y252">
        <f t="shared" si="73"/>
        <v>0</v>
      </c>
    </row>
    <row r="253" spans="1:25" x14ac:dyDescent="0.25">
      <c r="A253" s="4" t="s">
        <v>1141</v>
      </c>
      <c r="B253" s="7" t="s">
        <v>588</v>
      </c>
      <c r="C253" s="2" t="s">
        <v>1142</v>
      </c>
      <c r="D253">
        <f>VLOOKUP(B253,'Model allocations'!$A$1:$L$317,6,FALSE)</f>
        <v>13252.209137283318</v>
      </c>
      <c r="E253" s="31">
        <f>VLOOKUP(B253,'Initial adjusted formula count'!$A$1:$P$317,12,FALSE)</f>
        <v>0.15503875968992201</v>
      </c>
      <c r="F253">
        <f>VLOOKUP(B253,'Model allocations'!$A$1:$L$317,11,FALSE)</f>
        <v>11926.988223554987</v>
      </c>
      <c r="G253" s="30">
        <f t="shared" si="74"/>
        <v>0.9</v>
      </c>
      <c r="H253">
        <f t="shared" si="75"/>
        <v>11926.988223554987</v>
      </c>
      <c r="I253">
        <f t="shared" si="57"/>
        <v>0</v>
      </c>
      <c r="J253">
        <f t="shared" si="58"/>
        <v>11926.988223554987</v>
      </c>
      <c r="K253">
        <f t="shared" si="59"/>
        <v>11919.929292072711</v>
      </c>
      <c r="L253">
        <f t="shared" si="60"/>
        <v>11919.929292072711</v>
      </c>
      <c r="M253">
        <f t="shared" si="61"/>
        <v>11926.988223554987</v>
      </c>
      <c r="N253" s="29">
        <f t="shared" si="62"/>
        <v>0</v>
      </c>
      <c r="O253" s="29">
        <f t="shared" si="63"/>
        <v>0</v>
      </c>
      <c r="P253" s="29">
        <f t="shared" si="64"/>
        <v>11926.988223554987</v>
      </c>
      <c r="Q253">
        <f t="shared" si="65"/>
        <v>0</v>
      </c>
      <c r="R253" s="29">
        <f t="shared" si="66"/>
        <v>0</v>
      </c>
      <c r="S253" s="29">
        <f t="shared" si="67"/>
        <v>0</v>
      </c>
      <c r="T253" s="29">
        <f t="shared" si="68"/>
        <v>11926.988223554987</v>
      </c>
      <c r="U253">
        <f t="shared" si="69"/>
        <v>0</v>
      </c>
      <c r="V253" s="29">
        <f t="shared" si="70"/>
        <v>0</v>
      </c>
      <c r="W253" s="29">
        <f t="shared" si="71"/>
        <v>0</v>
      </c>
      <c r="X253" s="29">
        <f t="shared" si="72"/>
        <v>11926.988223554987</v>
      </c>
      <c r="Y253">
        <f t="shared" si="73"/>
        <v>0</v>
      </c>
    </row>
    <row r="254" spans="1:25" x14ac:dyDescent="0.25">
      <c r="A254" s="4" t="s">
        <v>1143</v>
      </c>
      <c r="B254" s="7" t="s">
        <v>590</v>
      </c>
      <c r="C254" s="2" t="s">
        <v>1144</v>
      </c>
      <c r="D254">
        <f>VLOOKUP(B254,'Model allocations'!$A$1:$L$317,6,FALSE)</f>
        <v>10182.540791506133</v>
      </c>
      <c r="E254" s="31">
        <f>VLOOKUP(B254,'Initial adjusted formula count'!$A$1:$P$317,12,FALSE)</f>
        <v>0.148148148148148</v>
      </c>
      <c r="F254">
        <f>VLOOKUP(B254,'Model allocations'!$A$1:$L$317,11,FALSE)</f>
        <v>13646.101561642079</v>
      </c>
      <c r="G254" s="30">
        <f t="shared" si="74"/>
        <v>0.85</v>
      </c>
      <c r="H254">
        <f t="shared" si="75"/>
        <v>8655.1596727802134</v>
      </c>
      <c r="I254">
        <f t="shared" si="57"/>
        <v>0</v>
      </c>
      <c r="J254">
        <f t="shared" si="58"/>
        <v>13646.101561642079</v>
      </c>
      <c r="K254">
        <f t="shared" si="59"/>
        <v>13638.025181074052</v>
      </c>
      <c r="L254">
        <f t="shared" si="60"/>
        <v>13638.025181074052</v>
      </c>
      <c r="M254">
        <f t="shared" si="61"/>
        <v>0</v>
      </c>
      <c r="N254" s="29">
        <f t="shared" si="62"/>
        <v>13638.025181074052</v>
      </c>
      <c r="O254" s="29">
        <f t="shared" si="63"/>
        <v>13636.99039354894</v>
      </c>
      <c r="P254" s="29">
        <f t="shared" si="64"/>
        <v>13636.99039354894</v>
      </c>
      <c r="Q254">
        <f t="shared" si="65"/>
        <v>0</v>
      </c>
      <c r="R254" s="29">
        <f t="shared" si="66"/>
        <v>13636.99039354894</v>
      </c>
      <c r="S254" s="29">
        <f t="shared" si="67"/>
        <v>13636.990393548929</v>
      </c>
      <c r="T254" s="29">
        <f t="shared" si="68"/>
        <v>13636.990393548929</v>
      </c>
      <c r="U254">
        <f t="shared" si="69"/>
        <v>0</v>
      </c>
      <c r="V254" s="29">
        <f t="shared" si="70"/>
        <v>13636.990393548929</v>
      </c>
      <c r="W254" s="29">
        <f t="shared" si="71"/>
        <v>13636.990393548929</v>
      </c>
      <c r="X254" s="29">
        <f t="shared" si="72"/>
        <v>13636.990393548929</v>
      </c>
      <c r="Y254">
        <f t="shared" si="73"/>
        <v>0</v>
      </c>
    </row>
    <row r="255" spans="1:25" x14ac:dyDescent="0.25">
      <c r="A255" s="4" t="s">
        <v>1145</v>
      </c>
      <c r="B255" s="7" t="s">
        <v>223</v>
      </c>
      <c r="C255" s="2" t="s">
        <v>1146</v>
      </c>
      <c r="D255">
        <f>VLOOKUP(B255,'Model allocations'!$A$1:$L$317,6,FALSE)</f>
        <v>231369.95465144503</v>
      </c>
      <c r="E255" s="31">
        <f>VLOOKUP(B255,'Initial adjusted formula count'!$A$1:$P$317,12,FALSE)</f>
        <v>7.8952222837114894E-2</v>
      </c>
      <c r="F255">
        <f>VLOOKUP(B255,'Model allocations'!$A$1:$L$317,11,FALSE)</f>
        <v>243355.47784928372</v>
      </c>
      <c r="G255" s="30">
        <f t="shared" si="74"/>
        <v>0.85</v>
      </c>
      <c r="H255">
        <f t="shared" si="75"/>
        <v>196664.46145372826</v>
      </c>
      <c r="I255">
        <f t="shared" si="57"/>
        <v>0</v>
      </c>
      <c r="J255">
        <f t="shared" si="58"/>
        <v>243355.47784928372</v>
      </c>
      <c r="K255">
        <f t="shared" si="59"/>
        <v>243211.44906248723</v>
      </c>
      <c r="L255">
        <f t="shared" si="60"/>
        <v>243211.44906248723</v>
      </c>
      <c r="M255">
        <f t="shared" si="61"/>
        <v>0</v>
      </c>
      <c r="N255" s="29">
        <f t="shared" si="62"/>
        <v>243211.44906248723</v>
      </c>
      <c r="O255" s="29">
        <f t="shared" si="63"/>
        <v>243192.99535162275</v>
      </c>
      <c r="P255" s="29">
        <f t="shared" si="64"/>
        <v>243192.99535162275</v>
      </c>
      <c r="Q255">
        <f t="shared" si="65"/>
        <v>0</v>
      </c>
      <c r="R255" s="29">
        <f t="shared" si="66"/>
        <v>243192.99535162275</v>
      </c>
      <c r="S255" s="29">
        <f t="shared" si="67"/>
        <v>243192.99535162255</v>
      </c>
      <c r="T255" s="29">
        <f t="shared" si="68"/>
        <v>243192.99535162255</v>
      </c>
      <c r="U255">
        <f t="shared" si="69"/>
        <v>0</v>
      </c>
      <c r="V255" s="29">
        <f t="shared" si="70"/>
        <v>243192.99535162255</v>
      </c>
      <c r="W255" s="29">
        <f t="shared" si="71"/>
        <v>243192.99535162255</v>
      </c>
      <c r="X255" s="29">
        <f t="shared" si="72"/>
        <v>243192.99535162255</v>
      </c>
      <c r="Y255">
        <f t="shared" si="73"/>
        <v>0</v>
      </c>
    </row>
    <row r="256" spans="1:25" x14ac:dyDescent="0.25">
      <c r="A256" s="4" t="s">
        <v>1147</v>
      </c>
      <c r="B256" s="7" t="s">
        <v>225</v>
      </c>
      <c r="C256" s="2" t="s">
        <v>1148</v>
      </c>
      <c r="D256">
        <f>VLOOKUP(B256,'Model allocations'!$A$1:$L$317,6,FALSE)</f>
        <v>0</v>
      </c>
      <c r="E256" s="31">
        <f>VLOOKUP(B256,'Initial adjusted formula count'!$A$1:$P$317,12,FALSE)</f>
        <v>0.04</v>
      </c>
      <c r="F256">
        <f>VLOOKUP(B256,'Model allocations'!$A$1:$L$317,11,FALSE)</f>
        <v>0</v>
      </c>
      <c r="G256" s="30">
        <f t="shared" si="74"/>
        <v>0.85</v>
      </c>
      <c r="H256">
        <f t="shared" si="75"/>
        <v>0</v>
      </c>
      <c r="I256">
        <f t="shared" si="57"/>
        <v>0</v>
      </c>
      <c r="J256">
        <f t="shared" si="58"/>
        <v>0</v>
      </c>
      <c r="K256">
        <f t="shared" si="59"/>
        <v>0</v>
      </c>
      <c r="L256">
        <f t="shared" si="60"/>
        <v>0</v>
      </c>
      <c r="M256">
        <f t="shared" si="61"/>
        <v>0</v>
      </c>
      <c r="N256" s="29">
        <f t="shared" si="62"/>
        <v>0</v>
      </c>
      <c r="O256" s="29">
        <f t="shared" si="63"/>
        <v>0</v>
      </c>
      <c r="P256" s="29">
        <f t="shared" si="64"/>
        <v>0</v>
      </c>
      <c r="Q256">
        <f t="shared" si="65"/>
        <v>0</v>
      </c>
      <c r="R256" s="29">
        <f t="shared" si="66"/>
        <v>0</v>
      </c>
      <c r="S256" s="29">
        <f t="shared" si="67"/>
        <v>0</v>
      </c>
      <c r="T256" s="29">
        <f t="shared" si="68"/>
        <v>0</v>
      </c>
      <c r="U256">
        <f t="shared" si="69"/>
        <v>0</v>
      </c>
      <c r="V256" s="29">
        <f t="shared" si="70"/>
        <v>0</v>
      </c>
      <c r="W256" s="29">
        <f t="shared" si="71"/>
        <v>0</v>
      </c>
      <c r="X256" s="29">
        <f t="shared" si="72"/>
        <v>0</v>
      </c>
      <c r="Y256">
        <f t="shared" si="73"/>
        <v>0</v>
      </c>
    </row>
    <row r="257" spans="1:25" x14ac:dyDescent="0.25">
      <c r="A257" s="4" t="s">
        <v>1149</v>
      </c>
      <c r="B257" s="7" t="s">
        <v>592</v>
      </c>
      <c r="C257" s="2" t="s">
        <v>1150</v>
      </c>
      <c r="D257">
        <f>VLOOKUP(B257,'Model allocations'!$A$1:$L$317,6,FALSE)</f>
        <v>27190.141684785751</v>
      </c>
      <c r="E257" s="31">
        <f>VLOOKUP(B257,'Initial adjusted formula count'!$A$1:$P$317,12,FALSE)</f>
        <v>0.3125</v>
      </c>
      <c r="F257">
        <f>VLOOKUP(B257,'Model allocations'!$A$1:$L$317,11,FALSE)</f>
        <v>0</v>
      </c>
      <c r="G257" s="30">
        <f t="shared" si="74"/>
        <v>0.95</v>
      </c>
      <c r="H257">
        <f t="shared" si="75"/>
        <v>0</v>
      </c>
      <c r="I257">
        <f t="shared" si="57"/>
        <v>0</v>
      </c>
      <c r="J257">
        <f t="shared" si="58"/>
        <v>0</v>
      </c>
      <c r="K257">
        <f t="shared" si="59"/>
        <v>0</v>
      </c>
      <c r="L257">
        <f t="shared" si="60"/>
        <v>0</v>
      </c>
      <c r="M257">
        <f t="shared" si="61"/>
        <v>0</v>
      </c>
      <c r="N257" s="29">
        <f t="shared" si="62"/>
        <v>0</v>
      </c>
      <c r="O257" s="29">
        <f t="shared" si="63"/>
        <v>0</v>
      </c>
      <c r="P257" s="29">
        <f t="shared" si="64"/>
        <v>0</v>
      </c>
      <c r="Q257">
        <f t="shared" si="65"/>
        <v>0</v>
      </c>
      <c r="R257" s="29">
        <f t="shared" si="66"/>
        <v>0</v>
      </c>
      <c r="S257" s="29">
        <f t="shared" si="67"/>
        <v>0</v>
      </c>
      <c r="T257" s="29">
        <f t="shared" si="68"/>
        <v>0</v>
      </c>
      <c r="U257">
        <f t="shared" si="69"/>
        <v>0</v>
      </c>
      <c r="V257" s="29">
        <f t="shared" si="70"/>
        <v>0</v>
      </c>
      <c r="W257" s="29">
        <f t="shared" si="71"/>
        <v>0</v>
      </c>
      <c r="X257" s="29">
        <f t="shared" si="72"/>
        <v>0</v>
      </c>
      <c r="Y257">
        <f t="shared" si="73"/>
        <v>0</v>
      </c>
    </row>
    <row r="258" spans="1:25" x14ac:dyDescent="0.25">
      <c r="A258" s="4" t="s">
        <v>1151</v>
      </c>
      <c r="B258" s="7" t="s">
        <v>227</v>
      </c>
      <c r="C258" s="2" t="s">
        <v>1152</v>
      </c>
      <c r="D258">
        <f>VLOOKUP(B258,'Model allocations'!$A$1:$L$317,6,FALSE)</f>
        <v>0</v>
      </c>
      <c r="E258" s="31">
        <f>VLOOKUP(B258,'Initial adjusted formula count'!$A$1:$P$317,12,FALSE)</f>
        <v>0.133333333333333</v>
      </c>
      <c r="F258">
        <f>VLOOKUP(B258,'Model allocations'!$A$1:$L$317,11,FALSE)</f>
        <v>0</v>
      </c>
      <c r="G258" s="30">
        <f t="shared" si="74"/>
        <v>0.85</v>
      </c>
      <c r="H258">
        <f t="shared" si="75"/>
        <v>0</v>
      </c>
      <c r="I258">
        <f t="shared" si="57"/>
        <v>0</v>
      </c>
      <c r="J258">
        <f t="shared" si="58"/>
        <v>0</v>
      </c>
      <c r="K258">
        <f t="shared" si="59"/>
        <v>0</v>
      </c>
      <c r="L258">
        <f t="shared" si="60"/>
        <v>0</v>
      </c>
      <c r="M258">
        <f t="shared" si="61"/>
        <v>0</v>
      </c>
      <c r="N258" s="29">
        <f t="shared" si="62"/>
        <v>0</v>
      </c>
      <c r="O258" s="29">
        <f t="shared" si="63"/>
        <v>0</v>
      </c>
      <c r="P258" s="29">
        <f t="shared" si="64"/>
        <v>0</v>
      </c>
      <c r="Q258">
        <f t="shared" si="65"/>
        <v>0</v>
      </c>
      <c r="R258" s="29">
        <f t="shared" si="66"/>
        <v>0</v>
      </c>
      <c r="S258" s="29">
        <f t="shared" si="67"/>
        <v>0</v>
      </c>
      <c r="T258" s="29">
        <f t="shared" si="68"/>
        <v>0</v>
      </c>
      <c r="U258">
        <f t="shared" si="69"/>
        <v>0</v>
      </c>
      <c r="V258" s="29">
        <f t="shared" si="70"/>
        <v>0</v>
      </c>
      <c r="W258" s="29">
        <f t="shared" si="71"/>
        <v>0</v>
      </c>
      <c r="X258" s="29">
        <f t="shared" si="72"/>
        <v>0</v>
      </c>
      <c r="Y258">
        <f t="shared" si="73"/>
        <v>0</v>
      </c>
    </row>
    <row r="259" spans="1:25" x14ac:dyDescent="0.25">
      <c r="A259" s="4" t="s">
        <v>1153</v>
      </c>
      <c r="B259" s="7" t="s">
        <v>229</v>
      </c>
      <c r="C259" s="2" t="s">
        <v>1154</v>
      </c>
      <c r="D259">
        <f>VLOOKUP(B259,'Model allocations'!$A$1:$L$317,6,FALSE)</f>
        <v>152172.41516195281</v>
      </c>
      <c r="E259" s="31">
        <f>VLOOKUP(B259,'Initial adjusted formula count'!$A$1:$P$317,12,FALSE)</f>
        <v>6.2751004016064302E-2</v>
      </c>
      <c r="F259">
        <f>VLOOKUP(B259,'Model allocations'!$A$1:$L$317,11,FALSE)</f>
        <v>142146.89126710495</v>
      </c>
      <c r="G259" s="30">
        <f t="shared" si="74"/>
        <v>0.85</v>
      </c>
      <c r="H259">
        <f t="shared" si="75"/>
        <v>129346.55288765988</v>
      </c>
      <c r="I259">
        <f t="shared" ref="I259:I316" si="76">IF(F259&lt;H259,H259,0)</f>
        <v>0</v>
      </c>
      <c r="J259">
        <f t="shared" ref="J259:J316" si="77">IF(I259=0,F259,0)</f>
        <v>142146.89126710495</v>
      </c>
      <c r="K259">
        <f t="shared" ref="K259:K316" si="78">(J259/$J$3)*($F$3-$I$3)</f>
        <v>142062.76230285468</v>
      </c>
      <c r="L259">
        <f t="shared" ref="L259:L316" si="79">I259+K259</f>
        <v>142062.76230285468</v>
      </c>
      <c r="M259">
        <f t="shared" ref="M259:M316" si="80">IF(L259&lt;H259,H259,0)</f>
        <v>0</v>
      </c>
      <c r="N259" s="29">
        <f t="shared" ref="N259:N316" si="81">IF($I259+$M259=0,L259,0)</f>
        <v>142062.76230285468</v>
      </c>
      <c r="O259" s="29">
        <f t="shared" ref="O259:O316" si="82">((N259/$N$3)*($F$3-$I$3-$M$3))</f>
        <v>142051.98326613478</v>
      </c>
      <c r="P259" s="29">
        <f t="shared" ref="P259:P316" si="83">$I259+$M259+O259</f>
        <v>142051.98326613478</v>
      </c>
      <c r="Q259">
        <f t="shared" ref="Q259:Q316" si="84">IF(P259&lt;H259,H259,0)</f>
        <v>0</v>
      </c>
      <c r="R259" s="29">
        <f t="shared" ref="R259:R316" si="85">IF($I259+$M259+$Q259=0,P259,0)</f>
        <v>142051.98326613478</v>
      </c>
      <c r="S259" s="29">
        <f t="shared" ref="S259:S316" si="86">((R259/$R$3)*($F$3-$I$3-$M$3-$Q$3))</f>
        <v>142051.98326613466</v>
      </c>
      <c r="T259" s="29">
        <f t="shared" ref="T259:T316" si="87">$I259+$M259+$Q259+S259</f>
        <v>142051.98326613466</v>
      </c>
      <c r="U259">
        <f t="shared" ref="U259:U316" si="88">IF(T259&lt;H259,H259,0)</f>
        <v>0</v>
      </c>
      <c r="V259" s="29">
        <f t="shared" ref="V259:V316" si="89">IF($I259+$M259+$Q259+U259=0,T259,0)</f>
        <v>142051.98326613466</v>
      </c>
      <c r="W259" s="29">
        <f t="shared" ref="W259:W316" si="90">((V259/$V$3)*($F$3-$I$3-$M$3-$Q$3-$U$3))</f>
        <v>142051.98326613466</v>
      </c>
      <c r="X259" s="29">
        <f t="shared" ref="X259:X316" si="91">$I259+$M259+$Q259+$U259+W259</f>
        <v>142051.98326613466</v>
      </c>
      <c r="Y259">
        <f t="shared" ref="Y259:Y316" si="92">IF(X259&lt;H259,H259,0)</f>
        <v>0</v>
      </c>
    </row>
    <row r="260" spans="1:25" x14ac:dyDescent="0.25">
      <c r="A260" s="4" t="s">
        <v>1155</v>
      </c>
      <c r="B260" s="7" t="s">
        <v>594</v>
      </c>
      <c r="C260" s="2" t="s">
        <v>1156</v>
      </c>
      <c r="D260">
        <f>VLOOKUP(B260,'Model allocations'!$A$1:$L$317,6,FALSE)</f>
        <v>0</v>
      </c>
      <c r="E260" s="31">
        <f>VLOOKUP(B260,'Initial adjusted formula count'!$A$1:$P$317,12,FALSE)</f>
        <v>0.15094339622641501</v>
      </c>
      <c r="F260">
        <f>VLOOKUP(B260,'Model allocations'!$A$1:$L$317,11,FALSE)</f>
        <v>0</v>
      </c>
      <c r="G260" s="30">
        <f t="shared" ref="G260:G316" si="93">IF(E260&lt;0.15,0.85,IF(AND(E260&gt;=0.15,E260&lt;0.3),0.9,0.95))</f>
        <v>0.9</v>
      </c>
      <c r="H260">
        <f t="shared" ref="H260:H316" si="94">IF(F260 = 0, 0, D260*G260)</f>
        <v>0</v>
      </c>
      <c r="I260">
        <f t="shared" si="76"/>
        <v>0</v>
      </c>
      <c r="J260">
        <f t="shared" si="77"/>
        <v>0</v>
      </c>
      <c r="K260">
        <f t="shared" si="78"/>
        <v>0</v>
      </c>
      <c r="L260">
        <f t="shared" si="79"/>
        <v>0</v>
      </c>
      <c r="M260">
        <f t="shared" si="80"/>
        <v>0</v>
      </c>
      <c r="N260" s="29">
        <f t="shared" si="81"/>
        <v>0</v>
      </c>
      <c r="O260" s="29">
        <f t="shared" si="82"/>
        <v>0</v>
      </c>
      <c r="P260" s="29">
        <f t="shared" si="83"/>
        <v>0</v>
      </c>
      <c r="Q260">
        <f t="shared" si="84"/>
        <v>0</v>
      </c>
      <c r="R260" s="29">
        <f t="shared" si="85"/>
        <v>0</v>
      </c>
      <c r="S260" s="29">
        <f t="shared" si="86"/>
        <v>0</v>
      </c>
      <c r="T260" s="29">
        <f t="shared" si="87"/>
        <v>0</v>
      </c>
      <c r="U260">
        <f t="shared" si="88"/>
        <v>0</v>
      </c>
      <c r="V260" s="29">
        <f t="shared" si="89"/>
        <v>0</v>
      </c>
      <c r="W260" s="29">
        <f t="shared" si="90"/>
        <v>0</v>
      </c>
      <c r="X260" s="29">
        <f t="shared" si="91"/>
        <v>0</v>
      </c>
      <c r="Y260">
        <f t="shared" si="92"/>
        <v>0</v>
      </c>
    </row>
    <row r="261" spans="1:25" x14ac:dyDescent="0.25">
      <c r="A261" s="4" t="s">
        <v>1157</v>
      </c>
      <c r="B261" s="7" t="s">
        <v>596</v>
      </c>
      <c r="C261" s="2" t="s">
        <v>1158</v>
      </c>
      <c r="D261">
        <f>VLOOKUP(B261,'Model allocations'!$A$1:$L$317,6,FALSE)</f>
        <v>71843.482251182199</v>
      </c>
      <c r="E261" s="31">
        <f>VLOOKUP(B261,'Initial adjusted formula count'!$A$1:$P$317,12,FALSE)</f>
        <v>0.15604395604395599</v>
      </c>
      <c r="F261">
        <f>VLOOKUP(B261,'Model allocations'!$A$1:$L$317,11,FALSE)</f>
        <v>80834.10406929953</v>
      </c>
      <c r="G261" s="30">
        <f t="shared" si="93"/>
        <v>0.9</v>
      </c>
      <c r="H261">
        <f t="shared" si="94"/>
        <v>64659.134026063977</v>
      </c>
      <c r="I261">
        <f t="shared" si="76"/>
        <v>0</v>
      </c>
      <c r="J261">
        <f t="shared" si="77"/>
        <v>80834.10406929953</v>
      </c>
      <c r="K261">
        <f t="shared" si="78"/>
        <v>80786.262787715183</v>
      </c>
      <c r="L261">
        <f t="shared" si="79"/>
        <v>80786.262787715183</v>
      </c>
      <c r="M261">
        <f t="shared" si="80"/>
        <v>0</v>
      </c>
      <c r="N261" s="29">
        <f t="shared" si="81"/>
        <v>80786.262787715183</v>
      </c>
      <c r="O261" s="29">
        <f t="shared" si="82"/>
        <v>80780.133116019817</v>
      </c>
      <c r="P261" s="29">
        <f t="shared" si="83"/>
        <v>80780.133116019817</v>
      </c>
      <c r="Q261">
        <f t="shared" si="84"/>
        <v>0</v>
      </c>
      <c r="R261" s="29">
        <f t="shared" si="85"/>
        <v>80780.133116019817</v>
      </c>
      <c r="S261" s="29">
        <f t="shared" si="86"/>
        <v>80780.133116019759</v>
      </c>
      <c r="T261" s="29">
        <f t="shared" si="87"/>
        <v>80780.133116019759</v>
      </c>
      <c r="U261">
        <f t="shared" si="88"/>
        <v>0</v>
      </c>
      <c r="V261" s="29">
        <f t="shared" si="89"/>
        <v>80780.133116019759</v>
      </c>
      <c r="W261" s="29">
        <f t="shared" si="90"/>
        <v>80780.133116019759</v>
      </c>
      <c r="X261" s="29">
        <f t="shared" si="91"/>
        <v>80780.133116019759</v>
      </c>
      <c r="Y261">
        <f t="shared" si="92"/>
        <v>0</v>
      </c>
    </row>
    <row r="262" spans="1:25" x14ac:dyDescent="0.25">
      <c r="A262" s="4" t="s">
        <v>1159</v>
      </c>
      <c r="B262" s="7" t="s">
        <v>231</v>
      </c>
      <c r="C262" s="2" t="s">
        <v>1160</v>
      </c>
      <c r="D262">
        <f>VLOOKUP(B262,'Model allocations'!$A$1:$L$317,6,FALSE)</f>
        <v>123321.88291935209</v>
      </c>
      <c r="E262" s="31">
        <f>VLOOKUP(B262,'Initial adjusted formula count'!$A$1:$P$317,12,FALSE)</f>
        <v>8.5884691848906597E-2</v>
      </c>
      <c r="F262">
        <f>VLOOKUP(B262,'Model allocations'!$A$1:$L$317,11,FALSE)</f>
        <v>122814.91405477871</v>
      </c>
      <c r="G262" s="30">
        <f t="shared" si="93"/>
        <v>0.85</v>
      </c>
      <c r="H262">
        <f t="shared" si="94"/>
        <v>104823.60048144928</v>
      </c>
      <c r="I262">
        <f t="shared" si="76"/>
        <v>0</v>
      </c>
      <c r="J262">
        <f t="shared" si="77"/>
        <v>122814.91405477871</v>
      </c>
      <c r="K262">
        <f t="shared" si="78"/>
        <v>122742.22662966647</v>
      </c>
      <c r="L262">
        <f t="shared" si="79"/>
        <v>122742.22662966647</v>
      </c>
      <c r="M262">
        <f t="shared" si="80"/>
        <v>0</v>
      </c>
      <c r="N262" s="29">
        <f t="shared" si="81"/>
        <v>122742.22662966647</v>
      </c>
      <c r="O262" s="29">
        <f t="shared" si="82"/>
        <v>122732.91354194046</v>
      </c>
      <c r="P262" s="29">
        <f t="shared" si="83"/>
        <v>122732.91354194046</v>
      </c>
      <c r="Q262">
        <f t="shared" si="84"/>
        <v>0</v>
      </c>
      <c r="R262" s="29">
        <f t="shared" si="85"/>
        <v>122732.91354194046</v>
      </c>
      <c r="S262" s="29">
        <f t="shared" si="86"/>
        <v>122732.91354194035</v>
      </c>
      <c r="T262" s="29">
        <f t="shared" si="87"/>
        <v>122732.91354194035</v>
      </c>
      <c r="U262">
        <f t="shared" si="88"/>
        <v>0</v>
      </c>
      <c r="V262" s="29">
        <f t="shared" si="89"/>
        <v>122732.91354194035</v>
      </c>
      <c r="W262" s="29">
        <f t="shared" si="90"/>
        <v>122732.91354194035</v>
      </c>
      <c r="X262" s="29">
        <f t="shared" si="91"/>
        <v>122732.91354194035</v>
      </c>
      <c r="Y262">
        <f t="shared" si="92"/>
        <v>0</v>
      </c>
    </row>
    <row r="263" spans="1:25" x14ac:dyDescent="0.25">
      <c r="A263" s="4" t="s">
        <v>25</v>
      </c>
      <c r="B263" s="7" t="s">
        <v>72</v>
      </c>
      <c r="C263" s="2" t="s">
        <v>1161</v>
      </c>
      <c r="D263">
        <f>VLOOKUP(B263,'Model allocations'!$A$1:$L$317,6,FALSE)</f>
        <v>111528.03790437436</v>
      </c>
      <c r="E263" s="31">
        <f>VLOOKUP(B263,'Initial adjusted formula count'!$A$1:$P$317,12,FALSE)</f>
        <v>0.131424483967399</v>
      </c>
      <c r="F263">
        <f>VLOOKUP(B263,'Model allocations'!$A$1:$L$317,11,FALSE)</f>
        <v>102266.20526982498</v>
      </c>
      <c r="G263" s="30">
        <f t="shared" si="93"/>
        <v>0.85</v>
      </c>
      <c r="H263">
        <f t="shared" si="94"/>
        <v>94798.832218718206</v>
      </c>
      <c r="I263">
        <f t="shared" si="76"/>
        <v>0</v>
      </c>
      <c r="J263">
        <f t="shared" si="77"/>
        <v>102266.20526982498</v>
      </c>
      <c r="K263">
        <f t="shared" si="78"/>
        <v>102205.6795006684</v>
      </c>
      <c r="L263">
        <f t="shared" si="79"/>
        <v>102205.6795006684</v>
      </c>
      <c r="M263">
        <f t="shared" si="80"/>
        <v>0</v>
      </c>
      <c r="N263" s="29">
        <f t="shared" si="81"/>
        <v>102205.6795006684</v>
      </c>
      <c r="O263" s="29">
        <f t="shared" si="82"/>
        <v>102197.92462701633</v>
      </c>
      <c r="P263" s="29">
        <f t="shared" si="83"/>
        <v>102197.92462701633</v>
      </c>
      <c r="Q263">
        <f t="shared" si="84"/>
        <v>0</v>
      </c>
      <c r="R263" s="29">
        <f t="shared" si="85"/>
        <v>102197.92462701633</v>
      </c>
      <c r="S263" s="29">
        <f t="shared" si="86"/>
        <v>102197.92462701625</v>
      </c>
      <c r="T263" s="29">
        <f t="shared" si="87"/>
        <v>102197.92462701625</v>
      </c>
      <c r="U263">
        <f t="shared" si="88"/>
        <v>0</v>
      </c>
      <c r="V263" s="29">
        <f t="shared" si="89"/>
        <v>102197.92462701625</v>
      </c>
      <c r="W263" s="29">
        <f t="shared" si="90"/>
        <v>102197.92462701625</v>
      </c>
      <c r="X263" s="29">
        <f t="shared" si="91"/>
        <v>102197.92462701625</v>
      </c>
      <c r="Y263">
        <f t="shared" si="92"/>
        <v>0</v>
      </c>
    </row>
    <row r="264" spans="1:25" x14ac:dyDescent="0.25">
      <c r="A264" s="4" t="s">
        <v>27</v>
      </c>
      <c r="B264" s="7" t="s">
        <v>73</v>
      </c>
      <c r="C264" s="2" t="s">
        <v>1163</v>
      </c>
      <c r="D264">
        <f>VLOOKUP(B264,'Model allocations'!$A$1:$L$317,6,FALSE)</f>
        <v>42895.399193990197</v>
      </c>
      <c r="E264" s="31">
        <f>VLOOKUP(B264,'Initial adjusted formula count'!$A$1:$P$317,12,FALSE)</f>
        <v>0.121891311010182</v>
      </c>
      <c r="F264">
        <f>VLOOKUP(B264,'Model allocations'!$A$1:$L$317,11,FALSE)</f>
        <v>36068.993559896735</v>
      </c>
      <c r="G264" s="30">
        <f t="shared" si="93"/>
        <v>0.85</v>
      </c>
      <c r="H264">
        <f t="shared" si="94"/>
        <v>36461.089314891666</v>
      </c>
      <c r="I264">
        <f t="shared" si="76"/>
        <v>36461.089314891666</v>
      </c>
      <c r="J264">
        <f t="shared" si="77"/>
        <v>0</v>
      </c>
      <c r="K264">
        <f t="shared" si="78"/>
        <v>0</v>
      </c>
      <c r="L264">
        <f t="shared" si="79"/>
        <v>36461.089314891666</v>
      </c>
      <c r="M264">
        <f t="shared" si="80"/>
        <v>0</v>
      </c>
      <c r="N264" s="29">
        <f t="shared" si="81"/>
        <v>0</v>
      </c>
      <c r="O264" s="29">
        <f t="shared" si="82"/>
        <v>0</v>
      </c>
      <c r="P264" s="29">
        <f t="shared" si="83"/>
        <v>36461.089314891666</v>
      </c>
      <c r="Q264">
        <f t="shared" si="84"/>
        <v>0</v>
      </c>
      <c r="R264" s="29">
        <f t="shared" si="85"/>
        <v>0</v>
      </c>
      <c r="S264" s="29">
        <f t="shared" si="86"/>
        <v>0</v>
      </c>
      <c r="T264" s="29">
        <f t="shared" si="87"/>
        <v>36461.089314891666</v>
      </c>
      <c r="U264">
        <f t="shared" si="88"/>
        <v>0</v>
      </c>
      <c r="V264" s="29">
        <f t="shared" si="89"/>
        <v>0</v>
      </c>
      <c r="W264" s="29">
        <f t="shared" si="90"/>
        <v>0</v>
      </c>
      <c r="X264" s="29">
        <f t="shared" si="91"/>
        <v>36461.089314891666</v>
      </c>
      <c r="Y264">
        <f t="shared" si="92"/>
        <v>0</v>
      </c>
    </row>
    <row r="265" spans="1:25" x14ac:dyDescent="0.25">
      <c r="A265" s="4" t="s">
        <v>1164</v>
      </c>
      <c r="B265" s="7" t="s">
        <v>598</v>
      </c>
      <c r="C265" s="2" t="s">
        <v>1165</v>
      </c>
      <c r="D265">
        <f>VLOOKUP(B265,'Model allocations'!$A$1:$L$317,6,FALSE)</f>
        <v>17054.824055209006</v>
      </c>
      <c r="E265" s="31">
        <f>VLOOKUP(B265,'Initial adjusted formula count'!$A$1:$P$317,12,FALSE)</f>
        <v>0.22807017543859601</v>
      </c>
      <c r="F265">
        <f>VLOOKUP(B265,'Model allocations'!$A$1:$L$317,11,FALSE)</f>
        <v>18635.485874495716</v>
      </c>
      <c r="G265" s="30">
        <f t="shared" si="93"/>
        <v>0.9</v>
      </c>
      <c r="H265">
        <f t="shared" si="94"/>
        <v>15349.341649688105</v>
      </c>
      <c r="I265">
        <f t="shared" si="76"/>
        <v>0</v>
      </c>
      <c r="J265">
        <f t="shared" si="77"/>
        <v>18635.485874495716</v>
      </c>
      <c r="K265">
        <f t="shared" si="78"/>
        <v>18624.456550456711</v>
      </c>
      <c r="L265">
        <f t="shared" si="79"/>
        <v>18624.456550456711</v>
      </c>
      <c r="M265">
        <f t="shared" si="80"/>
        <v>0</v>
      </c>
      <c r="N265" s="29">
        <f t="shared" si="81"/>
        <v>18624.456550456711</v>
      </c>
      <c r="O265" s="29">
        <f t="shared" si="82"/>
        <v>18623.043416586923</v>
      </c>
      <c r="P265" s="29">
        <f t="shared" si="83"/>
        <v>18623.043416586923</v>
      </c>
      <c r="Q265">
        <f t="shared" si="84"/>
        <v>0</v>
      </c>
      <c r="R265" s="29">
        <f t="shared" si="85"/>
        <v>18623.043416586923</v>
      </c>
      <c r="S265" s="29">
        <f t="shared" si="86"/>
        <v>18623.043416586908</v>
      </c>
      <c r="T265" s="29">
        <f t="shared" si="87"/>
        <v>18623.043416586908</v>
      </c>
      <c r="U265">
        <f t="shared" si="88"/>
        <v>0</v>
      </c>
      <c r="V265" s="29">
        <f t="shared" si="89"/>
        <v>18623.043416586908</v>
      </c>
      <c r="W265" s="29">
        <f t="shared" si="90"/>
        <v>18623.043416586908</v>
      </c>
      <c r="X265" s="29">
        <f t="shared" si="91"/>
        <v>18623.043416586908</v>
      </c>
      <c r="Y265">
        <f t="shared" si="92"/>
        <v>0</v>
      </c>
    </row>
    <row r="266" spans="1:25" x14ac:dyDescent="0.25">
      <c r="A266" s="4" t="s">
        <v>1166</v>
      </c>
      <c r="B266" s="7" t="s">
        <v>233</v>
      </c>
      <c r="C266" s="2" t="s">
        <v>1167</v>
      </c>
      <c r="D266">
        <f>VLOOKUP(B266,'Model allocations'!$A$1:$L$317,6,FALSE)</f>
        <v>308304.70729838032</v>
      </c>
      <c r="E266" s="31">
        <f>VLOOKUP(B266,'Initial adjusted formula count'!$A$1:$P$317,12,FALSE)</f>
        <v>5.2346232940736599E-2</v>
      </c>
      <c r="F266">
        <f>VLOOKUP(B266,'Model allocations'!$A$1:$L$317,11,FALSE)</f>
        <v>318409.03643831518</v>
      </c>
      <c r="G266" s="30">
        <f t="shared" si="93"/>
        <v>0.85</v>
      </c>
      <c r="H266">
        <f t="shared" si="94"/>
        <v>262059.00120362328</v>
      </c>
      <c r="I266">
        <f t="shared" si="76"/>
        <v>0</v>
      </c>
      <c r="J266">
        <f t="shared" si="77"/>
        <v>318409.03643831518</v>
      </c>
      <c r="K266">
        <f t="shared" si="78"/>
        <v>318220.58755839453</v>
      </c>
      <c r="L266">
        <f t="shared" si="79"/>
        <v>318220.58755839453</v>
      </c>
      <c r="M266">
        <f t="shared" si="80"/>
        <v>0</v>
      </c>
      <c r="N266" s="29">
        <f t="shared" si="81"/>
        <v>318220.58755839453</v>
      </c>
      <c r="O266" s="29">
        <f t="shared" si="82"/>
        <v>318196.44251614192</v>
      </c>
      <c r="P266" s="29">
        <f t="shared" si="83"/>
        <v>318196.44251614192</v>
      </c>
      <c r="Q266">
        <f t="shared" si="84"/>
        <v>0</v>
      </c>
      <c r="R266" s="29">
        <f t="shared" si="85"/>
        <v>318196.44251614192</v>
      </c>
      <c r="S266" s="29">
        <f t="shared" si="86"/>
        <v>318196.44251614169</v>
      </c>
      <c r="T266" s="29">
        <f t="shared" si="87"/>
        <v>318196.44251614169</v>
      </c>
      <c r="U266">
        <f t="shared" si="88"/>
        <v>0</v>
      </c>
      <c r="V266" s="29">
        <f t="shared" si="89"/>
        <v>318196.44251614169</v>
      </c>
      <c r="W266" s="29">
        <f t="shared" si="90"/>
        <v>318196.44251614169</v>
      </c>
      <c r="X266" s="29">
        <f t="shared" si="91"/>
        <v>318196.44251614169</v>
      </c>
      <c r="Y266">
        <f t="shared" si="92"/>
        <v>0</v>
      </c>
    </row>
    <row r="267" spans="1:25" x14ac:dyDescent="0.25">
      <c r="A267" s="4" t="s">
        <v>1168</v>
      </c>
      <c r="B267" s="7" t="s">
        <v>600</v>
      </c>
      <c r="C267" s="2" t="s">
        <v>1169</v>
      </c>
      <c r="D267">
        <f>VLOOKUP(B267,'Model allocations'!$A$1:$L$317,6,FALSE)</f>
        <v>816017.50509708899</v>
      </c>
      <c r="E267" s="31">
        <f>VLOOKUP(B267,'Initial adjusted formula count'!$A$1:$P$317,12,FALSE)</f>
        <v>0.21151055940673899</v>
      </c>
      <c r="F267">
        <f>VLOOKUP(B267,'Model allocations'!$A$1:$L$317,11,FALSE)</f>
        <v>922533.32432351168</v>
      </c>
      <c r="G267" s="30">
        <f t="shared" si="93"/>
        <v>0.9</v>
      </c>
      <c r="H267">
        <f t="shared" si="94"/>
        <v>734415.7545873801</v>
      </c>
      <c r="I267">
        <f t="shared" si="76"/>
        <v>0</v>
      </c>
      <c r="J267">
        <f t="shared" si="77"/>
        <v>922533.32432351168</v>
      </c>
      <c r="K267">
        <f t="shared" si="78"/>
        <v>921987.32734552748</v>
      </c>
      <c r="L267">
        <f t="shared" si="79"/>
        <v>921987.32734552748</v>
      </c>
      <c r="M267">
        <f t="shared" si="80"/>
        <v>0</v>
      </c>
      <c r="N267" s="29">
        <f t="shared" si="81"/>
        <v>921987.32734552748</v>
      </c>
      <c r="O267" s="29">
        <f t="shared" si="82"/>
        <v>921917.37139721517</v>
      </c>
      <c r="P267" s="29">
        <f t="shared" si="83"/>
        <v>921917.37139721517</v>
      </c>
      <c r="Q267">
        <f t="shared" si="84"/>
        <v>0</v>
      </c>
      <c r="R267" s="29">
        <f t="shared" si="85"/>
        <v>921917.37139721517</v>
      </c>
      <c r="S267" s="29">
        <f t="shared" si="86"/>
        <v>921917.37139721448</v>
      </c>
      <c r="T267" s="29">
        <f t="shared" si="87"/>
        <v>921917.37139721448</v>
      </c>
      <c r="U267">
        <f t="shared" si="88"/>
        <v>0</v>
      </c>
      <c r="V267" s="29">
        <f t="shared" si="89"/>
        <v>921917.37139721448</v>
      </c>
      <c r="W267" s="29">
        <f t="shared" si="90"/>
        <v>921917.37139721448</v>
      </c>
      <c r="X267" s="29">
        <f t="shared" si="91"/>
        <v>921917.37139721448</v>
      </c>
      <c r="Y267">
        <f t="shared" si="92"/>
        <v>0</v>
      </c>
    </row>
    <row r="268" spans="1:25" x14ac:dyDescent="0.25">
      <c r="A268" s="4" t="s">
        <v>11</v>
      </c>
      <c r="B268" s="7" t="s">
        <v>67</v>
      </c>
      <c r="C268" s="2" t="s">
        <v>1170</v>
      </c>
      <c r="D268">
        <f>VLOOKUP(B268,'Model allocations'!$A$1:$L$317,6,FALSE)</f>
        <v>12055.112268926216</v>
      </c>
      <c r="E268" s="31">
        <f>VLOOKUP(B268,'Initial adjusted formula count'!$A$1:$P$317,12,FALSE)</f>
        <v>0.194148516573487</v>
      </c>
      <c r="F268">
        <f>VLOOKUP(B268,'Model allocations'!$A$1:$L$317,11,FALSE)</f>
        <v>11392.69367986163</v>
      </c>
      <c r="G268" s="30">
        <f t="shared" si="93"/>
        <v>0.9</v>
      </c>
      <c r="H268">
        <f t="shared" si="94"/>
        <v>10849.601042033595</v>
      </c>
      <c r="I268">
        <f t="shared" si="76"/>
        <v>0</v>
      </c>
      <c r="J268">
        <f t="shared" si="77"/>
        <v>11392.69367986163</v>
      </c>
      <c r="K268">
        <f t="shared" si="78"/>
        <v>11385.950968074099</v>
      </c>
      <c r="L268">
        <f t="shared" si="79"/>
        <v>11385.950968074099</v>
      </c>
      <c r="M268">
        <f t="shared" si="80"/>
        <v>0</v>
      </c>
      <c r="N268" s="29">
        <f t="shared" si="81"/>
        <v>11385.950968074099</v>
      </c>
      <c r="O268" s="29">
        <f t="shared" si="82"/>
        <v>11385.087057070354</v>
      </c>
      <c r="P268" s="29">
        <f t="shared" si="83"/>
        <v>11385.087057070354</v>
      </c>
      <c r="Q268">
        <f t="shared" si="84"/>
        <v>0</v>
      </c>
      <c r="R268" s="29">
        <f t="shared" si="85"/>
        <v>11385.087057070354</v>
      </c>
      <c r="S268" s="29">
        <f t="shared" si="86"/>
        <v>11385.087057070345</v>
      </c>
      <c r="T268" s="29">
        <f t="shared" si="87"/>
        <v>11385.087057070345</v>
      </c>
      <c r="U268">
        <f t="shared" si="88"/>
        <v>0</v>
      </c>
      <c r="V268" s="29">
        <f t="shared" si="89"/>
        <v>11385.087057070345</v>
      </c>
      <c r="W268" s="29">
        <f t="shared" si="90"/>
        <v>11385.087057070345</v>
      </c>
      <c r="X268" s="29">
        <f t="shared" si="91"/>
        <v>11385.087057070345</v>
      </c>
      <c r="Y268">
        <f t="shared" si="92"/>
        <v>0</v>
      </c>
    </row>
    <row r="269" spans="1:25" x14ac:dyDescent="0.25">
      <c r="A269" s="4" t="s">
        <v>39</v>
      </c>
      <c r="B269" s="7" t="s">
        <v>62</v>
      </c>
      <c r="C269" s="2" t="s">
        <v>1171</v>
      </c>
      <c r="D269">
        <f>VLOOKUP(B269,'Model allocations'!$A$1:$L$317,6,FALSE)</f>
        <v>4095329.0634309025</v>
      </c>
      <c r="E269" s="31">
        <f>VLOOKUP(B269,'Initial adjusted formula count'!$A$1:$P$317,12,FALSE)</f>
        <v>0.13322423799507099</v>
      </c>
      <c r="F269">
        <f>VLOOKUP(B269,'Model allocations'!$A$1:$L$317,11,FALSE)</f>
        <v>4179496.1636306671</v>
      </c>
      <c r="G269" s="30">
        <f t="shared" si="93"/>
        <v>0.85</v>
      </c>
      <c r="H269">
        <f t="shared" si="94"/>
        <v>3481029.703916267</v>
      </c>
      <c r="I269">
        <f t="shared" si="76"/>
        <v>0</v>
      </c>
      <c r="J269">
        <f t="shared" si="77"/>
        <v>4179496.1636306671</v>
      </c>
      <c r="K269">
        <f t="shared" si="78"/>
        <v>4177022.5486243875</v>
      </c>
      <c r="L269">
        <f t="shared" si="79"/>
        <v>4177022.5486243875</v>
      </c>
      <c r="M269">
        <f t="shared" si="80"/>
        <v>0</v>
      </c>
      <c r="N269" s="29">
        <f t="shared" si="81"/>
        <v>4177022.5486243875</v>
      </c>
      <c r="O269" s="29">
        <f t="shared" si="82"/>
        <v>4176705.6163143176</v>
      </c>
      <c r="P269" s="29">
        <f t="shared" si="83"/>
        <v>4176705.6163143176</v>
      </c>
      <c r="Q269">
        <f t="shared" si="84"/>
        <v>0</v>
      </c>
      <c r="R269" s="29">
        <f t="shared" si="85"/>
        <v>4176705.6163143176</v>
      </c>
      <c r="S269" s="29">
        <f t="shared" si="86"/>
        <v>4176705.6163143143</v>
      </c>
      <c r="T269" s="29">
        <f t="shared" si="87"/>
        <v>4176705.6163143143</v>
      </c>
      <c r="U269">
        <f t="shared" si="88"/>
        <v>0</v>
      </c>
      <c r="V269" s="29">
        <f t="shared" si="89"/>
        <v>4176705.6163143143</v>
      </c>
      <c r="W269" s="29">
        <f t="shared" si="90"/>
        <v>4176705.6163143143</v>
      </c>
      <c r="X269" s="29">
        <f t="shared" si="91"/>
        <v>4176705.6163143143</v>
      </c>
      <c r="Y269">
        <f t="shared" si="92"/>
        <v>0</v>
      </c>
    </row>
    <row r="270" spans="1:25" x14ac:dyDescent="0.25">
      <c r="A270" s="4" t="s">
        <v>1172</v>
      </c>
      <c r="B270" s="7" t="s">
        <v>602</v>
      </c>
      <c r="C270" s="2" t="s">
        <v>1173</v>
      </c>
      <c r="D270">
        <f>VLOOKUP(B270,'Model allocations'!$A$1:$L$317,6,FALSE)</f>
        <v>67710.75664677177</v>
      </c>
      <c r="E270" s="31">
        <f>VLOOKUP(B270,'Initial adjusted formula count'!$A$1:$P$317,12,FALSE)</f>
        <v>0.155619596541787</v>
      </c>
      <c r="F270">
        <f>VLOOKUP(B270,'Model allocations'!$A$1:$L$317,11,FALSE)</f>
        <v>60939.680982094593</v>
      </c>
      <c r="G270" s="30">
        <f t="shared" si="93"/>
        <v>0.9</v>
      </c>
      <c r="H270">
        <f t="shared" si="94"/>
        <v>60939.680982094593</v>
      </c>
      <c r="I270">
        <f t="shared" si="76"/>
        <v>0</v>
      </c>
      <c r="J270">
        <f t="shared" si="77"/>
        <v>60939.680982094593</v>
      </c>
      <c r="K270">
        <f t="shared" si="78"/>
        <v>60903.614120575039</v>
      </c>
      <c r="L270">
        <f t="shared" si="79"/>
        <v>60903.614120575039</v>
      </c>
      <c r="M270">
        <f t="shared" si="80"/>
        <v>60939.680982094593</v>
      </c>
      <c r="N270" s="29">
        <f t="shared" si="81"/>
        <v>0</v>
      </c>
      <c r="O270" s="29">
        <f t="shared" si="82"/>
        <v>0</v>
      </c>
      <c r="P270" s="29">
        <f t="shared" si="83"/>
        <v>60939.680982094593</v>
      </c>
      <c r="Q270">
        <f t="shared" si="84"/>
        <v>0</v>
      </c>
      <c r="R270" s="29">
        <f t="shared" si="85"/>
        <v>0</v>
      </c>
      <c r="S270" s="29">
        <f t="shared" si="86"/>
        <v>0</v>
      </c>
      <c r="T270" s="29">
        <f t="shared" si="87"/>
        <v>60939.680982094593</v>
      </c>
      <c r="U270">
        <f t="shared" si="88"/>
        <v>0</v>
      </c>
      <c r="V270" s="29">
        <f t="shared" si="89"/>
        <v>0</v>
      </c>
      <c r="W270" s="29">
        <f t="shared" si="90"/>
        <v>0</v>
      </c>
      <c r="X270" s="29">
        <f t="shared" si="91"/>
        <v>60939.680982094593</v>
      </c>
      <c r="Y270">
        <f t="shared" si="92"/>
        <v>0</v>
      </c>
    </row>
    <row r="271" spans="1:25" x14ac:dyDescent="0.25">
      <c r="A271" s="4" t="s">
        <v>1174</v>
      </c>
      <c r="B271" s="7" t="s">
        <v>235</v>
      </c>
      <c r="C271" s="2" t="s">
        <v>1175</v>
      </c>
      <c r="D271">
        <f>VLOOKUP(B271,'Model allocations'!$A$1:$L$317,6,FALSE)</f>
        <v>0</v>
      </c>
      <c r="E271" s="31">
        <f>VLOOKUP(B271,'Initial adjusted formula count'!$A$1:$P$317,12,FALSE)</f>
        <v>4.5739417262231997E-2</v>
      </c>
      <c r="F271">
        <f>VLOOKUP(B271,'Model allocations'!$A$1:$L$317,11,FALSE)</f>
        <v>0</v>
      </c>
      <c r="G271" s="30">
        <f t="shared" si="93"/>
        <v>0.85</v>
      </c>
      <c r="H271">
        <f t="shared" si="94"/>
        <v>0</v>
      </c>
      <c r="I271">
        <f t="shared" si="76"/>
        <v>0</v>
      </c>
      <c r="J271">
        <f t="shared" si="77"/>
        <v>0</v>
      </c>
      <c r="K271">
        <f t="shared" si="78"/>
        <v>0</v>
      </c>
      <c r="L271">
        <f t="shared" si="79"/>
        <v>0</v>
      </c>
      <c r="M271">
        <f t="shared" si="80"/>
        <v>0</v>
      </c>
      <c r="N271" s="29">
        <f t="shared" si="81"/>
        <v>0</v>
      </c>
      <c r="O271" s="29">
        <f t="shared" si="82"/>
        <v>0</v>
      </c>
      <c r="P271" s="29">
        <f t="shared" si="83"/>
        <v>0</v>
      </c>
      <c r="Q271">
        <f t="shared" si="84"/>
        <v>0</v>
      </c>
      <c r="R271" s="29">
        <f t="shared" si="85"/>
        <v>0</v>
      </c>
      <c r="S271" s="29">
        <f t="shared" si="86"/>
        <v>0</v>
      </c>
      <c r="T271" s="29">
        <f t="shared" si="87"/>
        <v>0</v>
      </c>
      <c r="U271">
        <f t="shared" si="88"/>
        <v>0</v>
      </c>
      <c r="V271" s="29">
        <f t="shared" si="89"/>
        <v>0</v>
      </c>
      <c r="W271" s="29">
        <f t="shared" si="90"/>
        <v>0</v>
      </c>
      <c r="X271" s="29">
        <f t="shared" si="91"/>
        <v>0</v>
      </c>
      <c r="Y271">
        <f t="shared" si="92"/>
        <v>0</v>
      </c>
    </row>
    <row r="272" spans="1:25" x14ac:dyDescent="0.25">
      <c r="A272" s="4" t="s">
        <v>1176</v>
      </c>
      <c r="B272" s="7" t="s">
        <v>237</v>
      </c>
      <c r="C272" s="2" t="s">
        <v>1177</v>
      </c>
      <c r="D272">
        <f>VLOOKUP(B272,'Model allocations'!$A$1:$L$317,6,FALSE)</f>
        <v>16944.568137296643</v>
      </c>
      <c r="E272" s="31">
        <f>VLOOKUP(B272,'Initial adjusted formula count'!$A$1:$P$317,12,FALSE)</f>
        <v>0.124260355029586</v>
      </c>
      <c r="F272">
        <f>VLOOKUP(B272,'Model allocations'!$A$1:$L$317,11,FALSE)</f>
        <v>14402.882916702147</v>
      </c>
      <c r="G272" s="30">
        <f t="shared" si="93"/>
        <v>0.85</v>
      </c>
      <c r="H272">
        <f t="shared" si="94"/>
        <v>14402.882916702147</v>
      </c>
      <c r="I272">
        <f t="shared" si="76"/>
        <v>0</v>
      </c>
      <c r="J272">
        <f t="shared" si="77"/>
        <v>14402.882916702147</v>
      </c>
      <c r="K272">
        <f t="shared" si="78"/>
        <v>14394.358638673981</v>
      </c>
      <c r="L272">
        <f t="shared" si="79"/>
        <v>14394.358638673981</v>
      </c>
      <c r="M272">
        <f t="shared" si="80"/>
        <v>14402.882916702147</v>
      </c>
      <c r="N272" s="29">
        <f t="shared" si="81"/>
        <v>0</v>
      </c>
      <c r="O272" s="29">
        <f t="shared" si="82"/>
        <v>0</v>
      </c>
      <c r="P272" s="29">
        <f t="shared" si="83"/>
        <v>14402.882916702147</v>
      </c>
      <c r="Q272">
        <f t="shared" si="84"/>
        <v>0</v>
      </c>
      <c r="R272" s="29">
        <f t="shared" si="85"/>
        <v>0</v>
      </c>
      <c r="S272" s="29">
        <f t="shared" si="86"/>
        <v>0</v>
      </c>
      <c r="T272" s="29">
        <f t="shared" si="87"/>
        <v>14402.882916702147</v>
      </c>
      <c r="U272">
        <f t="shared" si="88"/>
        <v>0</v>
      </c>
      <c r="V272" s="29">
        <f t="shared" si="89"/>
        <v>0</v>
      </c>
      <c r="W272" s="29">
        <f t="shared" si="90"/>
        <v>0</v>
      </c>
      <c r="X272" s="29">
        <f t="shared" si="91"/>
        <v>14402.882916702147</v>
      </c>
      <c r="Y272">
        <f t="shared" si="92"/>
        <v>0</v>
      </c>
    </row>
    <row r="273" spans="1:25" x14ac:dyDescent="0.25">
      <c r="A273" s="4" t="s">
        <v>1178</v>
      </c>
      <c r="B273" s="7" t="s">
        <v>304</v>
      </c>
      <c r="C273" s="2" t="s">
        <v>1179</v>
      </c>
      <c r="D273">
        <f>VLOOKUP(B273,'Model allocations'!$A$1:$L$317,6,FALSE)</f>
        <v>110310.85857464984</v>
      </c>
      <c r="E273" s="31">
        <f>VLOOKUP(B273,'Initial adjusted formula count'!$A$1:$P$317,12,FALSE)</f>
        <v>8.4050297816015904E-2</v>
      </c>
      <c r="F273">
        <f>VLOOKUP(B273,'Model allocations'!$A$1:$L$317,11,FALSE)</f>
        <v>93764.229788452358</v>
      </c>
      <c r="G273" s="30">
        <f t="shared" si="93"/>
        <v>0.85</v>
      </c>
      <c r="H273">
        <f t="shared" si="94"/>
        <v>93764.229788452358</v>
      </c>
      <c r="I273">
        <f t="shared" si="76"/>
        <v>0</v>
      </c>
      <c r="J273">
        <f t="shared" si="77"/>
        <v>93764.229788452358</v>
      </c>
      <c r="K273">
        <f t="shared" si="78"/>
        <v>93708.735873210797</v>
      </c>
      <c r="L273">
        <f t="shared" si="79"/>
        <v>93708.735873210797</v>
      </c>
      <c r="M273">
        <f t="shared" si="80"/>
        <v>93764.229788452358</v>
      </c>
      <c r="N273" s="29">
        <f t="shared" si="81"/>
        <v>0</v>
      </c>
      <c r="O273" s="29">
        <f t="shared" si="82"/>
        <v>0</v>
      </c>
      <c r="P273" s="29">
        <f t="shared" si="83"/>
        <v>93764.229788452358</v>
      </c>
      <c r="Q273">
        <f t="shared" si="84"/>
        <v>0</v>
      </c>
      <c r="R273" s="29">
        <f t="shared" si="85"/>
        <v>0</v>
      </c>
      <c r="S273" s="29">
        <f t="shared" si="86"/>
        <v>0</v>
      </c>
      <c r="T273" s="29">
        <f t="shared" si="87"/>
        <v>93764.229788452358</v>
      </c>
      <c r="U273">
        <f t="shared" si="88"/>
        <v>0</v>
      </c>
      <c r="V273" s="29">
        <f t="shared" si="89"/>
        <v>0</v>
      </c>
      <c r="W273" s="29">
        <f t="shared" si="90"/>
        <v>0</v>
      </c>
      <c r="X273" s="29">
        <f t="shared" si="91"/>
        <v>93764.229788452358</v>
      </c>
      <c r="Y273">
        <f t="shared" si="92"/>
        <v>0</v>
      </c>
    </row>
    <row r="274" spans="1:25" x14ac:dyDescent="0.25">
      <c r="A274" s="4" t="s">
        <v>1180</v>
      </c>
      <c r="B274" s="7" t="s">
        <v>239</v>
      </c>
      <c r="C274" s="2" t="s">
        <v>1181</v>
      </c>
      <c r="D274">
        <f>VLOOKUP(B274,'Model allocations'!$A$1:$L$317,6,FALSE)</f>
        <v>14269.604413175957</v>
      </c>
      <c r="E274" s="31">
        <f>VLOOKUP(B274,'Initial adjusted formula count'!$A$1:$P$317,12,FALSE)</f>
        <v>0.14903846153846201</v>
      </c>
      <c r="F274">
        <f>VLOOKUP(B274,'Model allocations'!$A$1:$L$317,11,FALSE)</f>
        <v>17626.214517121018</v>
      </c>
      <c r="G274" s="30">
        <f t="shared" si="93"/>
        <v>0.85</v>
      </c>
      <c r="H274">
        <f t="shared" si="94"/>
        <v>12129.163751199563</v>
      </c>
      <c r="I274">
        <f t="shared" si="76"/>
        <v>0</v>
      </c>
      <c r="J274">
        <f t="shared" si="77"/>
        <v>17626.214517121018</v>
      </c>
      <c r="K274">
        <f t="shared" si="78"/>
        <v>17615.782525553983</v>
      </c>
      <c r="L274">
        <f t="shared" si="79"/>
        <v>17615.782525553983</v>
      </c>
      <c r="M274">
        <f t="shared" si="80"/>
        <v>0</v>
      </c>
      <c r="N274" s="29">
        <f t="shared" si="81"/>
        <v>17615.782525553983</v>
      </c>
      <c r="O274" s="29">
        <f t="shared" si="82"/>
        <v>17614.445925000713</v>
      </c>
      <c r="P274" s="29">
        <f t="shared" si="83"/>
        <v>17614.445925000713</v>
      </c>
      <c r="Q274">
        <f t="shared" si="84"/>
        <v>0</v>
      </c>
      <c r="R274" s="29">
        <f t="shared" si="85"/>
        <v>17614.445925000713</v>
      </c>
      <c r="S274" s="29">
        <f t="shared" si="86"/>
        <v>17614.445925000698</v>
      </c>
      <c r="T274" s="29">
        <f t="shared" si="87"/>
        <v>17614.445925000698</v>
      </c>
      <c r="U274">
        <f t="shared" si="88"/>
        <v>0</v>
      </c>
      <c r="V274" s="29">
        <f t="shared" si="89"/>
        <v>17614.445925000698</v>
      </c>
      <c r="W274" s="29">
        <f t="shared" si="90"/>
        <v>17614.445925000698</v>
      </c>
      <c r="X274" s="29">
        <f t="shared" si="91"/>
        <v>17614.445925000698</v>
      </c>
      <c r="Y274">
        <f t="shared" si="92"/>
        <v>0</v>
      </c>
    </row>
    <row r="275" spans="1:25" x14ac:dyDescent="0.25">
      <c r="A275" s="4" t="s">
        <v>1182</v>
      </c>
      <c r="B275" s="7" t="s">
        <v>241</v>
      </c>
      <c r="C275" s="2" t="s">
        <v>1183</v>
      </c>
      <c r="D275">
        <f>VLOOKUP(B275,'Model allocations'!$A$1:$L$317,6,FALSE)</f>
        <v>49781.310536252233</v>
      </c>
      <c r="E275" s="31">
        <f>VLOOKUP(B275,'Initial adjusted formula count'!$A$1:$P$317,12,FALSE)</f>
        <v>8.7962962962963007E-2</v>
      </c>
      <c r="F275">
        <f>VLOOKUP(B275,'Model allocations'!$A$1:$L$317,11,FALSE)</f>
        <v>43212.654945199916</v>
      </c>
      <c r="G275" s="30">
        <f t="shared" si="93"/>
        <v>0.85</v>
      </c>
      <c r="H275">
        <f t="shared" si="94"/>
        <v>42314.113955814399</v>
      </c>
      <c r="I275">
        <f t="shared" si="76"/>
        <v>0</v>
      </c>
      <c r="J275">
        <f t="shared" si="77"/>
        <v>43212.654945199916</v>
      </c>
      <c r="K275">
        <f t="shared" si="78"/>
        <v>43187.079740067828</v>
      </c>
      <c r="L275">
        <f t="shared" si="79"/>
        <v>43187.079740067828</v>
      </c>
      <c r="M275">
        <f t="shared" si="80"/>
        <v>0</v>
      </c>
      <c r="N275" s="29">
        <f t="shared" si="81"/>
        <v>43187.079740067828</v>
      </c>
      <c r="O275" s="29">
        <f t="shared" si="82"/>
        <v>43183.802912904976</v>
      </c>
      <c r="P275" s="29">
        <f t="shared" si="83"/>
        <v>43183.802912904976</v>
      </c>
      <c r="Q275">
        <f t="shared" si="84"/>
        <v>0</v>
      </c>
      <c r="R275" s="29">
        <f t="shared" si="85"/>
        <v>43183.802912904976</v>
      </c>
      <c r="S275" s="29">
        <f t="shared" si="86"/>
        <v>43183.802912904939</v>
      </c>
      <c r="T275" s="29">
        <f t="shared" si="87"/>
        <v>43183.802912904939</v>
      </c>
      <c r="U275">
        <f t="shared" si="88"/>
        <v>0</v>
      </c>
      <c r="V275" s="29">
        <f t="shared" si="89"/>
        <v>43183.802912904939</v>
      </c>
      <c r="W275" s="29">
        <f t="shared" si="90"/>
        <v>43183.802912904939</v>
      </c>
      <c r="X275" s="29">
        <f t="shared" si="91"/>
        <v>43183.802912904939</v>
      </c>
      <c r="Y275">
        <f t="shared" si="92"/>
        <v>0</v>
      </c>
    </row>
    <row r="276" spans="1:25" x14ac:dyDescent="0.25">
      <c r="A276" s="8" t="s">
        <v>1184</v>
      </c>
      <c r="B276" s="7" t="s">
        <v>604</v>
      </c>
      <c r="C276" s="2" t="s">
        <v>1185</v>
      </c>
      <c r="D276">
        <f>VLOOKUP(B276,'Model allocations'!$A$1:$L$317,6,FALSE)</f>
        <v>258216.09230349341</v>
      </c>
      <c r="E276" s="31">
        <f>VLOOKUP(B276,'Initial adjusted formula count'!$A$1:$P$317,12,FALSE)</f>
        <v>0.24454545454545501</v>
      </c>
      <c r="F276">
        <f>VLOOKUP(B276,'Model allocations'!$A$1:$L$317,11,FALSE)</f>
        <v>232394.48307314407</v>
      </c>
      <c r="G276" s="30">
        <f t="shared" si="93"/>
        <v>0.9</v>
      </c>
      <c r="H276">
        <f t="shared" si="94"/>
        <v>232394.48307314407</v>
      </c>
      <c r="I276">
        <f t="shared" si="76"/>
        <v>0</v>
      </c>
      <c r="J276">
        <f t="shared" si="77"/>
        <v>232394.48307314407</v>
      </c>
      <c r="K276">
        <f t="shared" si="78"/>
        <v>232256.94149918389</v>
      </c>
      <c r="L276">
        <f t="shared" si="79"/>
        <v>232256.94149918389</v>
      </c>
      <c r="M276">
        <f t="shared" si="80"/>
        <v>232394.48307314407</v>
      </c>
      <c r="N276" s="29">
        <f t="shared" si="81"/>
        <v>0</v>
      </c>
      <c r="O276" s="29">
        <f t="shared" si="82"/>
        <v>0</v>
      </c>
      <c r="P276" s="29">
        <f t="shared" si="83"/>
        <v>232394.48307314407</v>
      </c>
      <c r="Q276">
        <f t="shared" si="84"/>
        <v>0</v>
      </c>
      <c r="R276" s="29">
        <f t="shared" si="85"/>
        <v>0</v>
      </c>
      <c r="S276" s="29">
        <f t="shared" si="86"/>
        <v>0</v>
      </c>
      <c r="T276" s="29">
        <f t="shared" si="87"/>
        <v>232394.48307314407</v>
      </c>
      <c r="U276">
        <f t="shared" si="88"/>
        <v>0</v>
      </c>
      <c r="V276" s="29">
        <f t="shared" si="89"/>
        <v>0</v>
      </c>
      <c r="W276" s="29">
        <f t="shared" si="90"/>
        <v>0</v>
      </c>
      <c r="X276" s="29">
        <f t="shared" si="91"/>
        <v>232394.48307314407</v>
      </c>
      <c r="Y276">
        <f t="shared" si="92"/>
        <v>0</v>
      </c>
    </row>
    <row r="277" spans="1:25" x14ac:dyDescent="0.25">
      <c r="A277" s="4" t="s">
        <v>1186</v>
      </c>
      <c r="B277" s="7" t="s">
        <v>606</v>
      </c>
      <c r="C277" s="2" t="s">
        <v>1187</v>
      </c>
      <c r="D277">
        <f>VLOOKUP(B277,'Model allocations'!$A$1:$L$317,6,FALSE)</f>
        <v>485385.03147813358</v>
      </c>
      <c r="E277" s="31">
        <f>VLOOKUP(B277,'Initial adjusted formula count'!$A$1:$P$317,12,FALSE)</f>
        <v>0.19412442396313401</v>
      </c>
      <c r="F277">
        <f>VLOOKUP(B277,'Model allocations'!$A$1:$L$317,11,FALSE)</f>
        <v>439971.23836973502</v>
      </c>
      <c r="G277" s="30">
        <f t="shared" si="93"/>
        <v>0.9</v>
      </c>
      <c r="H277">
        <f t="shared" si="94"/>
        <v>436846.5283303202</v>
      </c>
      <c r="I277">
        <f t="shared" si="76"/>
        <v>0</v>
      </c>
      <c r="J277">
        <f t="shared" si="77"/>
        <v>439971.23836973502</v>
      </c>
      <c r="K277">
        <f t="shared" si="78"/>
        <v>439710.84347643825</v>
      </c>
      <c r="L277">
        <f t="shared" si="79"/>
        <v>439710.84347643825</v>
      </c>
      <c r="M277">
        <f t="shared" si="80"/>
        <v>0</v>
      </c>
      <c r="N277" s="29">
        <f t="shared" si="81"/>
        <v>439710.84347643825</v>
      </c>
      <c r="O277" s="29">
        <f t="shared" si="82"/>
        <v>439677.48033995443</v>
      </c>
      <c r="P277" s="29">
        <f t="shared" si="83"/>
        <v>439677.48033995443</v>
      </c>
      <c r="Q277">
        <f t="shared" si="84"/>
        <v>0</v>
      </c>
      <c r="R277" s="29">
        <f t="shared" si="85"/>
        <v>439677.48033995443</v>
      </c>
      <c r="S277" s="29">
        <f t="shared" si="86"/>
        <v>439677.48033995408</v>
      </c>
      <c r="T277" s="29">
        <f t="shared" si="87"/>
        <v>439677.48033995408</v>
      </c>
      <c r="U277">
        <f t="shared" si="88"/>
        <v>0</v>
      </c>
      <c r="V277" s="29">
        <f t="shared" si="89"/>
        <v>439677.48033995408</v>
      </c>
      <c r="W277" s="29">
        <f t="shared" si="90"/>
        <v>439677.48033995408</v>
      </c>
      <c r="X277" s="29">
        <f t="shared" si="91"/>
        <v>439677.48033995408</v>
      </c>
      <c r="Y277">
        <f t="shared" si="92"/>
        <v>0</v>
      </c>
    </row>
    <row r="278" spans="1:25" x14ac:dyDescent="0.25">
      <c r="A278" s="4" t="s">
        <v>1188</v>
      </c>
      <c r="B278" s="7" t="s">
        <v>243</v>
      </c>
      <c r="C278" s="2" t="s">
        <v>1189</v>
      </c>
      <c r="D278">
        <f>VLOOKUP(B278,'Model allocations'!$A$1:$L$317,6,FALSE)</f>
        <v>15839.507897898438</v>
      </c>
      <c r="E278" s="31">
        <f>VLOOKUP(B278,'Initial adjusted formula count'!$A$1:$P$317,12,FALSE)</f>
        <v>0.10958904109589</v>
      </c>
      <c r="F278">
        <f>VLOOKUP(B278,'Model allocations'!$A$1:$L$317,11,FALSE)</f>
        <v>13646.101561642079</v>
      </c>
      <c r="G278" s="30">
        <f t="shared" si="93"/>
        <v>0.85</v>
      </c>
      <c r="H278">
        <f t="shared" si="94"/>
        <v>13463.581713213673</v>
      </c>
      <c r="I278">
        <f t="shared" si="76"/>
        <v>0</v>
      </c>
      <c r="J278">
        <f t="shared" si="77"/>
        <v>13646.101561642079</v>
      </c>
      <c r="K278">
        <f t="shared" si="78"/>
        <v>13638.025181074052</v>
      </c>
      <c r="L278">
        <f t="shared" si="79"/>
        <v>13638.025181074052</v>
      </c>
      <c r="M278">
        <f t="shared" si="80"/>
        <v>0</v>
      </c>
      <c r="N278" s="29">
        <f t="shared" si="81"/>
        <v>13638.025181074052</v>
      </c>
      <c r="O278" s="29">
        <f t="shared" si="82"/>
        <v>13636.99039354894</v>
      </c>
      <c r="P278" s="29">
        <f t="shared" si="83"/>
        <v>13636.99039354894</v>
      </c>
      <c r="Q278">
        <f t="shared" si="84"/>
        <v>0</v>
      </c>
      <c r="R278" s="29">
        <f t="shared" si="85"/>
        <v>13636.99039354894</v>
      </c>
      <c r="S278" s="29">
        <f t="shared" si="86"/>
        <v>13636.990393548929</v>
      </c>
      <c r="T278" s="29">
        <f t="shared" si="87"/>
        <v>13636.990393548929</v>
      </c>
      <c r="U278">
        <f t="shared" si="88"/>
        <v>0</v>
      </c>
      <c r="V278" s="29">
        <f t="shared" si="89"/>
        <v>13636.990393548929</v>
      </c>
      <c r="W278" s="29">
        <f t="shared" si="90"/>
        <v>13636.990393548929</v>
      </c>
      <c r="X278" s="29">
        <f t="shared" si="91"/>
        <v>13636.990393548929</v>
      </c>
      <c r="Y278">
        <f t="shared" si="92"/>
        <v>0</v>
      </c>
    </row>
    <row r="279" spans="1:25" x14ac:dyDescent="0.25">
      <c r="A279" s="4" t="s">
        <v>1190</v>
      </c>
      <c r="B279" s="7" t="s">
        <v>245</v>
      </c>
      <c r="C279" s="2" t="s">
        <v>1191</v>
      </c>
      <c r="D279">
        <f>VLOOKUP(B279,'Model allocations'!$A$1:$L$317,6,FALSE)</f>
        <v>42427.253297942247</v>
      </c>
      <c r="E279" s="31">
        <f>VLOOKUP(B279,'Initial adjusted formula count'!$A$1:$P$317,12,FALSE)</f>
        <v>9.3589743589743604E-2</v>
      </c>
      <c r="F279">
        <f>VLOOKUP(B279,'Model allocations'!$A$1:$L$317,11,FALSE)</f>
        <v>41506.892249994657</v>
      </c>
      <c r="G279" s="30">
        <f t="shared" si="93"/>
        <v>0.85</v>
      </c>
      <c r="H279">
        <f t="shared" si="94"/>
        <v>36063.165303250906</v>
      </c>
      <c r="I279">
        <f t="shared" si="76"/>
        <v>0</v>
      </c>
      <c r="J279">
        <f t="shared" si="77"/>
        <v>41506.892249994657</v>
      </c>
      <c r="K279">
        <f t="shared" si="78"/>
        <v>41482.326592433572</v>
      </c>
      <c r="L279">
        <f t="shared" si="79"/>
        <v>41482.326592433572</v>
      </c>
      <c r="M279">
        <f t="shared" si="80"/>
        <v>0</v>
      </c>
      <c r="N279" s="29">
        <f t="shared" si="81"/>
        <v>41482.326592433572</v>
      </c>
      <c r="O279" s="29">
        <f t="shared" si="82"/>
        <v>41479.179113711354</v>
      </c>
      <c r="P279" s="29">
        <f t="shared" si="83"/>
        <v>41479.179113711354</v>
      </c>
      <c r="Q279">
        <f t="shared" si="84"/>
        <v>0</v>
      </c>
      <c r="R279" s="29">
        <f t="shared" si="85"/>
        <v>41479.179113711354</v>
      </c>
      <c r="S279" s="29">
        <f t="shared" si="86"/>
        <v>41479.179113711318</v>
      </c>
      <c r="T279" s="29">
        <f t="shared" si="87"/>
        <v>41479.179113711318</v>
      </c>
      <c r="U279">
        <f t="shared" si="88"/>
        <v>0</v>
      </c>
      <c r="V279" s="29">
        <f t="shared" si="89"/>
        <v>41479.179113711318</v>
      </c>
      <c r="W279" s="29">
        <f t="shared" si="90"/>
        <v>41479.179113711318</v>
      </c>
      <c r="X279" s="29">
        <f t="shared" si="91"/>
        <v>41479.179113711318</v>
      </c>
      <c r="Y279">
        <f t="shared" si="92"/>
        <v>0</v>
      </c>
    </row>
    <row r="280" spans="1:25" x14ac:dyDescent="0.25">
      <c r="A280" s="4" t="s">
        <v>1192</v>
      </c>
      <c r="B280" s="7" t="s">
        <v>608</v>
      </c>
      <c r="C280" s="2" t="s">
        <v>1193</v>
      </c>
      <c r="D280">
        <f>VLOOKUP(B280,'Model allocations'!$A$1:$L$317,6,FALSE)</f>
        <v>30656.463411935518</v>
      </c>
      <c r="E280" s="31">
        <f>VLOOKUP(B280,'Initial adjusted formula count'!$A$1:$P$317,12,FALSE)</f>
        <v>0.222772277227723</v>
      </c>
      <c r="F280">
        <f>VLOOKUP(B280,'Model allocations'!$A$1:$L$317,11,FALSE)</f>
        <v>31499.552099142689</v>
      </c>
      <c r="G280" s="30">
        <f t="shared" si="93"/>
        <v>0.9</v>
      </c>
      <c r="H280">
        <f t="shared" si="94"/>
        <v>27590.817070741967</v>
      </c>
      <c r="I280">
        <f t="shared" si="76"/>
        <v>0</v>
      </c>
      <c r="J280">
        <f t="shared" si="77"/>
        <v>31499.552099142689</v>
      </c>
      <c r="K280">
        <f t="shared" si="78"/>
        <v>31480.909238445376</v>
      </c>
      <c r="L280">
        <f t="shared" si="79"/>
        <v>31480.909238445376</v>
      </c>
      <c r="M280">
        <f t="shared" si="80"/>
        <v>0</v>
      </c>
      <c r="N280" s="29">
        <f t="shared" si="81"/>
        <v>31480.909238445376</v>
      </c>
      <c r="O280" s="29">
        <f t="shared" si="82"/>
        <v>31478.520618998893</v>
      </c>
      <c r="P280" s="29">
        <f t="shared" si="83"/>
        <v>31478.520618998893</v>
      </c>
      <c r="Q280">
        <f t="shared" si="84"/>
        <v>0</v>
      </c>
      <c r="R280" s="29">
        <f t="shared" si="85"/>
        <v>31478.520618998893</v>
      </c>
      <c r="S280" s="29">
        <f t="shared" si="86"/>
        <v>31478.520618998864</v>
      </c>
      <c r="T280" s="29">
        <f t="shared" si="87"/>
        <v>31478.520618998864</v>
      </c>
      <c r="U280">
        <f t="shared" si="88"/>
        <v>0</v>
      </c>
      <c r="V280" s="29">
        <f t="shared" si="89"/>
        <v>31478.520618998864</v>
      </c>
      <c r="W280" s="29">
        <f t="shared" si="90"/>
        <v>31478.520618998864</v>
      </c>
      <c r="X280" s="29">
        <f t="shared" si="91"/>
        <v>31478.520618998864</v>
      </c>
      <c r="Y280">
        <f t="shared" si="92"/>
        <v>0</v>
      </c>
    </row>
    <row r="281" spans="1:25" x14ac:dyDescent="0.25">
      <c r="A281" s="4" t="s">
        <v>43</v>
      </c>
      <c r="B281" s="7" t="s">
        <v>60</v>
      </c>
      <c r="C281" s="2" t="s">
        <v>1194</v>
      </c>
      <c r="D281">
        <f>VLOOKUP(B281,'Model allocations'!$A$1:$L$317,6,FALSE)</f>
        <v>335648.88728929288</v>
      </c>
      <c r="E281" s="31">
        <f>VLOOKUP(B281,'Initial adjusted formula count'!$A$1:$P$317,12,FALSE)</f>
        <v>0.223686849909671</v>
      </c>
      <c r="F281">
        <f>VLOOKUP(B281,'Model allocations'!$A$1:$L$317,11,FALSE)</f>
        <v>347668.50562526262</v>
      </c>
      <c r="G281" s="30">
        <f t="shared" si="93"/>
        <v>0.9</v>
      </c>
      <c r="H281">
        <f t="shared" si="94"/>
        <v>302083.9985603636</v>
      </c>
      <c r="I281">
        <f t="shared" si="76"/>
        <v>0</v>
      </c>
      <c r="J281">
        <f t="shared" si="77"/>
        <v>347668.50562526262</v>
      </c>
      <c r="K281">
        <f t="shared" si="78"/>
        <v>347462.73966710508</v>
      </c>
      <c r="L281">
        <f t="shared" si="79"/>
        <v>347462.73966710508</v>
      </c>
      <c r="M281">
        <f t="shared" si="80"/>
        <v>0</v>
      </c>
      <c r="N281" s="29">
        <f t="shared" si="81"/>
        <v>347462.73966710508</v>
      </c>
      <c r="O281" s="29">
        <f t="shared" si="82"/>
        <v>347436.37587149133</v>
      </c>
      <c r="P281" s="29">
        <f t="shared" si="83"/>
        <v>347436.37587149133</v>
      </c>
      <c r="Q281">
        <f t="shared" si="84"/>
        <v>0</v>
      </c>
      <c r="R281" s="29">
        <f t="shared" si="85"/>
        <v>347436.37587149133</v>
      </c>
      <c r="S281" s="29">
        <f t="shared" si="86"/>
        <v>347436.37587149104</v>
      </c>
      <c r="T281" s="29">
        <f t="shared" si="87"/>
        <v>347436.37587149104</v>
      </c>
      <c r="U281">
        <f t="shared" si="88"/>
        <v>0</v>
      </c>
      <c r="V281" s="29">
        <f t="shared" si="89"/>
        <v>347436.37587149104</v>
      </c>
      <c r="W281" s="29">
        <f t="shared" si="90"/>
        <v>347436.37587149104</v>
      </c>
      <c r="X281" s="29">
        <f t="shared" si="91"/>
        <v>347436.37587149104</v>
      </c>
      <c r="Y281">
        <f t="shared" si="92"/>
        <v>0</v>
      </c>
    </row>
    <row r="282" spans="1:25" x14ac:dyDescent="0.25">
      <c r="A282" s="4" t="s">
        <v>1195</v>
      </c>
      <c r="B282" s="7" t="s">
        <v>247</v>
      </c>
      <c r="C282" s="2" t="s">
        <v>1196</v>
      </c>
      <c r="D282">
        <f>VLOOKUP(B282,'Model allocations'!$A$1:$L$317,6,FALSE)</f>
        <v>371662.73888997402</v>
      </c>
      <c r="E282" s="31">
        <f>VLOOKUP(B282,'Initial adjusted formula count'!$A$1:$P$317,12,FALSE)</f>
        <v>9.2996222028480097E-2</v>
      </c>
      <c r="F282">
        <f>VLOOKUP(B282,'Model allocations'!$A$1:$L$317,11,FALSE)</f>
        <v>363896.04164378881</v>
      </c>
      <c r="G282" s="30">
        <f t="shared" si="93"/>
        <v>0.85</v>
      </c>
      <c r="H282">
        <f t="shared" si="94"/>
        <v>315913.32805647788</v>
      </c>
      <c r="I282">
        <f t="shared" si="76"/>
        <v>0</v>
      </c>
      <c r="J282">
        <f t="shared" si="77"/>
        <v>363896.04164378881</v>
      </c>
      <c r="K282">
        <f t="shared" si="78"/>
        <v>363680.67149530811</v>
      </c>
      <c r="L282">
        <f t="shared" si="79"/>
        <v>363680.67149530811</v>
      </c>
      <c r="M282">
        <f t="shared" si="80"/>
        <v>0</v>
      </c>
      <c r="N282" s="29">
        <f t="shared" si="81"/>
        <v>363680.67149530811</v>
      </c>
      <c r="O282" s="29">
        <f t="shared" si="82"/>
        <v>363653.07716130518</v>
      </c>
      <c r="P282" s="29">
        <f t="shared" si="83"/>
        <v>363653.07716130518</v>
      </c>
      <c r="Q282">
        <f t="shared" si="84"/>
        <v>0</v>
      </c>
      <c r="R282" s="29">
        <f t="shared" si="85"/>
        <v>363653.07716130518</v>
      </c>
      <c r="S282" s="29">
        <f t="shared" si="86"/>
        <v>363653.07716130489</v>
      </c>
      <c r="T282" s="29">
        <f t="shared" si="87"/>
        <v>363653.07716130489</v>
      </c>
      <c r="U282">
        <f t="shared" si="88"/>
        <v>0</v>
      </c>
      <c r="V282" s="29">
        <f t="shared" si="89"/>
        <v>363653.07716130489</v>
      </c>
      <c r="W282" s="29">
        <f t="shared" si="90"/>
        <v>363653.07716130489</v>
      </c>
      <c r="X282" s="29">
        <f t="shared" si="91"/>
        <v>363653.07716130489</v>
      </c>
      <c r="Y282">
        <f t="shared" si="92"/>
        <v>0</v>
      </c>
    </row>
    <row r="283" spans="1:25" x14ac:dyDescent="0.25">
      <c r="A283" s="4" t="s">
        <v>1197</v>
      </c>
      <c r="B283" s="7" t="s">
        <v>610</v>
      </c>
      <c r="C283" s="2" t="s">
        <v>1198</v>
      </c>
      <c r="D283">
        <f>VLOOKUP(B283,'Model allocations'!$A$1:$L$317,6,FALSE)</f>
        <v>156151.10155205624</v>
      </c>
      <c r="E283" s="31">
        <f>VLOOKUP(B283,'Initial adjusted formula count'!$A$1:$P$317,12,FALSE)</f>
        <v>0.31358024691358</v>
      </c>
      <c r="F283">
        <f>VLOOKUP(B283,'Model allocations'!$A$1:$L$317,11,FALSE)</f>
        <v>235003.63725288503</v>
      </c>
      <c r="G283" s="30">
        <f t="shared" si="93"/>
        <v>0.95</v>
      </c>
      <c r="H283">
        <f t="shared" si="94"/>
        <v>148343.54647445341</v>
      </c>
      <c r="I283">
        <f t="shared" si="76"/>
        <v>0</v>
      </c>
      <c r="J283">
        <f t="shared" si="77"/>
        <v>235003.63725288503</v>
      </c>
      <c r="K283">
        <f t="shared" si="78"/>
        <v>234864.55146338308</v>
      </c>
      <c r="L283">
        <f t="shared" si="79"/>
        <v>234864.55146338308</v>
      </c>
      <c r="M283">
        <f t="shared" si="80"/>
        <v>0</v>
      </c>
      <c r="N283" s="29">
        <f t="shared" si="81"/>
        <v>234864.55146338308</v>
      </c>
      <c r="O283" s="29">
        <f t="shared" si="82"/>
        <v>234846.73107482106</v>
      </c>
      <c r="P283" s="29">
        <f t="shared" si="83"/>
        <v>234846.73107482106</v>
      </c>
      <c r="Q283">
        <f t="shared" si="84"/>
        <v>0</v>
      </c>
      <c r="R283" s="29">
        <f t="shared" si="85"/>
        <v>234846.73107482106</v>
      </c>
      <c r="S283" s="29">
        <f t="shared" si="86"/>
        <v>234846.73107482085</v>
      </c>
      <c r="T283" s="29">
        <f t="shared" si="87"/>
        <v>234846.73107482085</v>
      </c>
      <c r="U283">
        <f t="shared" si="88"/>
        <v>0</v>
      </c>
      <c r="V283" s="29">
        <f t="shared" si="89"/>
        <v>234846.73107482085</v>
      </c>
      <c r="W283" s="29">
        <f t="shared" si="90"/>
        <v>234846.73107482085</v>
      </c>
      <c r="X283" s="29">
        <f t="shared" si="91"/>
        <v>234846.73107482085</v>
      </c>
      <c r="Y283">
        <f t="shared" si="92"/>
        <v>0</v>
      </c>
    </row>
    <row r="284" spans="1:25" x14ac:dyDescent="0.25">
      <c r="A284" s="4" t="s">
        <v>1199</v>
      </c>
      <c r="B284" s="7" t="s">
        <v>249</v>
      </c>
      <c r="C284" s="2" t="s">
        <v>1200</v>
      </c>
      <c r="D284">
        <f>VLOOKUP(B284,'Model allocations'!$A$1:$L$317,6,FALSE)</f>
        <v>261351.88031532418</v>
      </c>
      <c r="E284" s="31">
        <f>VLOOKUP(B284,'Initial adjusted formula count'!$A$1:$P$317,12,FALSE)</f>
        <v>8.2897033158813305E-2</v>
      </c>
      <c r="F284">
        <f>VLOOKUP(B284,'Model allocations'!$A$1:$L$317,11,FALSE)</f>
        <v>270079.09340749955</v>
      </c>
      <c r="G284" s="30">
        <f t="shared" si="93"/>
        <v>0.85</v>
      </c>
      <c r="H284">
        <f t="shared" si="94"/>
        <v>222149.09826802555</v>
      </c>
      <c r="I284">
        <f t="shared" si="76"/>
        <v>0</v>
      </c>
      <c r="J284">
        <f t="shared" si="77"/>
        <v>270079.09340749955</v>
      </c>
      <c r="K284">
        <f t="shared" si="78"/>
        <v>269919.24837542401</v>
      </c>
      <c r="L284">
        <f t="shared" si="79"/>
        <v>269919.24837542401</v>
      </c>
      <c r="M284">
        <f t="shared" si="80"/>
        <v>0</v>
      </c>
      <c r="N284" s="29">
        <f t="shared" si="81"/>
        <v>269919.24837542401</v>
      </c>
      <c r="O284" s="29">
        <f t="shared" si="82"/>
        <v>269898.7682056562</v>
      </c>
      <c r="P284" s="29">
        <f t="shared" si="83"/>
        <v>269898.7682056562</v>
      </c>
      <c r="Q284">
        <f t="shared" si="84"/>
        <v>0</v>
      </c>
      <c r="R284" s="29">
        <f t="shared" si="85"/>
        <v>269898.7682056562</v>
      </c>
      <c r="S284" s="29">
        <f t="shared" si="86"/>
        <v>269898.76820565597</v>
      </c>
      <c r="T284" s="29">
        <f t="shared" si="87"/>
        <v>269898.76820565597</v>
      </c>
      <c r="U284">
        <f t="shared" si="88"/>
        <v>0</v>
      </c>
      <c r="V284" s="29">
        <f t="shared" si="89"/>
        <v>269898.76820565597</v>
      </c>
      <c r="W284" s="29">
        <f t="shared" si="90"/>
        <v>269898.76820565597</v>
      </c>
      <c r="X284" s="29">
        <f t="shared" si="91"/>
        <v>269898.76820565597</v>
      </c>
      <c r="Y284">
        <f t="shared" si="92"/>
        <v>0</v>
      </c>
    </row>
    <row r="285" spans="1:25" x14ac:dyDescent="0.25">
      <c r="A285" s="4" t="s">
        <v>1201</v>
      </c>
      <c r="B285" s="7" t="s">
        <v>612</v>
      </c>
      <c r="C285" s="2" t="s">
        <v>1202</v>
      </c>
      <c r="D285">
        <f>VLOOKUP(B285,'Model allocations'!$A$1:$L$317,6,FALSE)</f>
        <v>47637.960112853594</v>
      </c>
      <c r="E285" s="31">
        <f>VLOOKUP(B285,'Initial adjusted formula count'!$A$1:$P$317,12,FALSE)</f>
        <v>0.26551724137930999</v>
      </c>
      <c r="F285">
        <f>VLOOKUP(B285,'Model allocations'!$A$1:$L$317,11,FALSE)</f>
        <v>62842.714188513288</v>
      </c>
      <c r="G285" s="30">
        <f t="shared" si="93"/>
        <v>0.9</v>
      </c>
      <c r="H285">
        <f t="shared" si="94"/>
        <v>42874.164101568233</v>
      </c>
      <c r="I285">
        <f t="shared" si="76"/>
        <v>0</v>
      </c>
      <c r="J285">
        <f t="shared" si="77"/>
        <v>62842.714188513288</v>
      </c>
      <c r="K285">
        <f t="shared" si="78"/>
        <v>62805.521025805137</v>
      </c>
      <c r="L285">
        <f t="shared" si="79"/>
        <v>62805.521025805137</v>
      </c>
      <c r="M285">
        <f t="shared" si="80"/>
        <v>0</v>
      </c>
      <c r="N285" s="29">
        <f t="shared" si="81"/>
        <v>62805.521025805137</v>
      </c>
      <c r="O285" s="29">
        <f t="shared" si="82"/>
        <v>62800.755646008372</v>
      </c>
      <c r="P285" s="29">
        <f t="shared" si="83"/>
        <v>62800.755646008372</v>
      </c>
      <c r="Q285">
        <f t="shared" si="84"/>
        <v>0</v>
      </c>
      <c r="R285" s="29">
        <f t="shared" si="85"/>
        <v>62800.755646008372</v>
      </c>
      <c r="S285" s="29">
        <f t="shared" si="86"/>
        <v>62800.755646008321</v>
      </c>
      <c r="T285" s="29">
        <f t="shared" si="87"/>
        <v>62800.755646008321</v>
      </c>
      <c r="U285">
        <f t="shared" si="88"/>
        <v>0</v>
      </c>
      <c r="V285" s="29">
        <f t="shared" si="89"/>
        <v>62800.755646008321</v>
      </c>
      <c r="W285" s="29">
        <f t="shared" si="90"/>
        <v>62800.755646008321</v>
      </c>
      <c r="X285" s="29">
        <f t="shared" si="91"/>
        <v>62800.755646008321</v>
      </c>
      <c r="Y285">
        <f t="shared" si="92"/>
        <v>0</v>
      </c>
    </row>
    <row r="286" spans="1:25" x14ac:dyDescent="0.25">
      <c r="A286" s="4" t="s">
        <v>49</v>
      </c>
      <c r="B286" s="7" t="s">
        <v>63</v>
      </c>
      <c r="C286" s="2" t="s">
        <v>1203</v>
      </c>
      <c r="D286">
        <f>VLOOKUP(B286,'Model allocations'!$A$1:$L$317,6,FALSE)</f>
        <v>2348000.1597352899</v>
      </c>
      <c r="E286" s="31">
        <f>VLOOKUP(B286,'Initial adjusted formula count'!$A$1:$P$317,12,FALSE)</f>
        <v>0.11026313976987</v>
      </c>
      <c r="F286">
        <f>VLOOKUP(B286,'Model allocations'!$A$1:$L$317,11,FALSE)</f>
        <v>2260813.7176360684</v>
      </c>
      <c r="G286" s="30">
        <f t="shared" si="93"/>
        <v>0.85</v>
      </c>
      <c r="H286">
        <f t="shared" si="94"/>
        <v>1995800.1357749964</v>
      </c>
      <c r="I286">
        <f t="shared" si="76"/>
        <v>0</v>
      </c>
      <c r="J286">
        <f t="shared" si="77"/>
        <v>2260813.7176360684</v>
      </c>
      <c r="K286">
        <f t="shared" si="78"/>
        <v>2259475.6657467019</v>
      </c>
      <c r="L286">
        <f t="shared" si="79"/>
        <v>2259475.6657467019</v>
      </c>
      <c r="M286">
        <f t="shared" si="80"/>
        <v>0</v>
      </c>
      <c r="N286" s="29">
        <f t="shared" si="81"/>
        <v>2259475.6657467019</v>
      </c>
      <c r="O286" s="29">
        <f t="shared" si="82"/>
        <v>2259304.2276388258</v>
      </c>
      <c r="P286" s="29">
        <f t="shared" si="83"/>
        <v>2259304.2276388258</v>
      </c>
      <c r="Q286">
        <f t="shared" si="84"/>
        <v>0</v>
      </c>
      <c r="R286" s="29">
        <f t="shared" si="85"/>
        <v>2259304.2276388258</v>
      </c>
      <c r="S286" s="29">
        <f t="shared" si="86"/>
        <v>2259304.2276388239</v>
      </c>
      <c r="T286" s="29">
        <f t="shared" si="87"/>
        <v>2259304.2276388239</v>
      </c>
      <c r="U286">
        <f t="shared" si="88"/>
        <v>0</v>
      </c>
      <c r="V286" s="29">
        <f t="shared" si="89"/>
        <v>2259304.2276388239</v>
      </c>
      <c r="W286" s="29">
        <f t="shared" si="90"/>
        <v>2259304.2276388239</v>
      </c>
      <c r="X286" s="29">
        <f t="shared" si="91"/>
        <v>2259304.2276388239</v>
      </c>
      <c r="Y286">
        <f t="shared" si="92"/>
        <v>0</v>
      </c>
    </row>
    <row r="287" spans="1:25" x14ac:dyDescent="0.25">
      <c r="A287" s="4" t="s">
        <v>1204</v>
      </c>
      <c r="B287" s="7" t="s">
        <v>251</v>
      </c>
      <c r="C287" s="2" t="s">
        <v>1205</v>
      </c>
      <c r="D287">
        <f>VLOOKUP(B287,'Model allocations'!$A$1:$L$317,6,FALSE)</f>
        <v>69506.782786760334</v>
      </c>
      <c r="E287" s="31">
        <f>VLOOKUP(B287,'Initial adjusted formula count'!$A$1:$P$317,12,FALSE)</f>
        <v>8.0508474576271194E-2</v>
      </c>
      <c r="F287">
        <f>VLOOKUP(B287,'Model allocations'!$A$1:$L$317,11,FALSE)</f>
        <v>64818.982417799889</v>
      </c>
      <c r="G287" s="30">
        <f t="shared" si="93"/>
        <v>0.85</v>
      </c>
      <c r="H287">
        <f t="shared" si="94"/>
        <v>59080.765368746281</v>
      </c>
      <c r="I287">
        <f t="shared" si="76"/>
        <v>0</v>
      </c>
      <c r="J287">
        <f t="shared" si="77"/>
        <v>64818.982417799889</v>
      </c>
      <c r="K287">
        <f t="shared" si="78"/>
        <v>64780.619610101756</v>
      </c>
      <c r="L287">
        <f t="shared" si="79"/>
        <v>64780.619610101756</v>
      </c>
      <c r="M287">
        <f t="shared" si="80"/>
        <v>0</v>
      </c>
      <c r="N287" s="29">
        <f t="shared" si="81"/>
        <v>64780.619610101756</v>
      </c>
      <c r="O287" s="29">
        <f t="shared" si="82"/>
        <v>64775.704369357481</v>
      </c>
      <c r="P287" s="29">
        <f t="shared" si="83"/>
        <v>64775.704369357481</v>
      </c>
      <c r="Q287">
        <f t="shared" si="84"/>
        <v>0</v>
      </c>
      <c r="R287" s="29">
        <f t="shared" si="85"/>
        <v>64775.704369357481</v>
      </c>
      <c r="S287" s="29">
        <f t="shared" si="86"/>
        <v>64775.704369357431</v>
      </c>
      <c r="T287" s="29">
        <f t="shared" si="87"/>
        <v>64775.704369357431</v>
      </c>
      <c r="U287">
        <f t="shared" si="88"/>
        <v>0</v>
      </c>
      <c r="V287" s="29">
        <f t="shared" si="89"/>
        <v>64775.704369357431</v>
      </c>
      <c r="W287" s="29">
        <f t="shared" si="90"/>
        <v>64775.704369357431</v>
      </c>
      <c r="X287" s="29">
        <f t="shared" si="91"/>
        <v>64775.704369357431</v>
      </c>
      <c r="Y287">
        <f t="shared" si="92"/>
        <v>0</v>
      </c>
    </row>
    <row r="288" spans="1:25" x14ac:dyDescent="0.25">
      <c r="A288" s="4" t="s">
        <v>1206</v>
      </c>
      <c r="B288" s="7" t="s">
        <v>614</v>
      </c>
      <c r="C288" s="2" t="s">
        <v>1207</v>
      </c>
      <c r="D288">
        <f>VLOOKUP(B288,'Model allocations'!$A$1:$L$317,6,FALSE)</f>
        <v>76411.978174215765</v>
      </c>
      <c r="E288" s="31">
        <f>VLOOKUP(B288,'Initial adjusted formula count'!$A$1:$P$317,12,FALSE)</f>
        <v>0.182539682539683</v>
      </c>
      <c r="F288">
        <f>VLOOKUP(B288,'Model allocations'!$A$1:$L$317,11,FALSE)</f>
        <v>68770.780356794188</v>
      </c>
      <c r="G288" s="30">
        <f t="shared" si="93"/>
        <v>0.9</v>
      </c>
      <c r="H288">
        <f t="shared" si="94"/>
        <v>68770.780356794188</v>
      </c>
      <c r="I288">
        <f t="shared" si="76"/>
        <v>0</v>
      </c>
      <c r="J288">
        <f t="shared" si="77"/>
        <v>68770.780356794188</v>
      </c>
      <c r="K288">
        <f t="shared" si="78"/>
        <v>68730.078696205441</v>
      </c>
      <c r="L288">
        <f t="shared" si="79"/>
        <v>68730.078696205441</v>
      </c>
      <c r="M288">
        <f t="shared" si="80"/>
        <v>68770.780356794188</v>
      </c>
      <c r="N288" s="29">
        <f t="shared" si="81"/>
        <v>0</v>
      </c>
      <c r="O288" s="29">
        <f t="shared" si="82"/>
        <v>0</v>
      </c>
      <c r="P288" s="29">
        <f t="shared" si="83"/>
        <v>68770.780356794188</v>
      </c>
      <c r="Q288">
        <f t="shared" si="84"/>
        <v>0</v>
      </c>
      <c r="R288" s="29">
        <f t="shared" si="85"/>
        <v>0</v>
      </c>
      <c r="S288" s="29">
        <f t="shared" si="86"/>
        <v>0</v>
      </c>
      <c r="T288" s="29">
        <f t="shared" si="87"/>
        <v>68770.780356794188</v>
      </c>
      <c r="U288">
        <f t="shared" si="88"/>
        <v>0</v>
      </c>
      <c r="V288" s="29">
        <f t="shared" si="89"/>
        <v>0</v>
      </c>
      <c r="W288" s="29">
        <f t="shared" si="90"/>
        <v>0</v>
      </c>
      <c r="X288" s="29">
        <f t="shared" si="91"/>
        <v>68770.780356794188</v>
      </c>
      <c r="Y288">
        <f t="shared" si="92"/>
        <v>0</v>
      </c>
    </row>
    <row r="289" spans="1:25" x14ac:dyDescent="0.25">
      <c r="A289" s="4" t="s">
        <v>1208</v>
      </c>
      <c r="B289" s="7" t="s">
        <v>616</v>
      </c>
      <c r="C289" s="2" t="s">
        <v>1209</v>
      </c>
      <c r="D289">
        <f>VLOOKUP(B289,'Model allocations'!$A$1:$L$317,6,FALSE)</f>
        <v>214482.66330610073</v>
      </c>
      <c r="E289" s="31">
        <f>VLOOKUP(B289,'Initial adjusted formula count'!$A$1:$P$317,12,FALSE)</f>
        <v>0.15193644488579899</v>
      </c>
      <c r="F289">
        <f>VLOOKUP(B289,'Model allocations'!$A$1:$L$317,11,FALSE)</f>
        <v>193034.39697549067</v>
      </c>
      <c r="G289" s="30">
        <f t="shared" si="93"/>
        <v>0.9</v>
      </c>
      <c r="H289">
        <f t="shared" si="94"/>
        <v>193034.39697549067</v>
      </c>
      <c r="I289">
        <f t="shared" si="76"/>
        <v>0</v>
      </c>
      <c r="J289">
        <f t="shared" si="77"/>
        <v>193034.39697549067</v>
      </c>
      <c r="K289">
        <f t="shared" si="78"/>
        <v>192920.15048203969</v>
      </c>
      <c r="L289">
        <f t="shared" si="79"/>
        <v>192920.15048203969</v>
      </c>
      <c r="M289">
        <f t="shared" si="80"/>
        <v>193034.39697549067</v>
      </c>
      <c r="N289" s="29">
        <f t="shared" si="81"/>
        <v>0</v>
      </c>
      <c r="O289" s="29">
        <f t="shared" si="82"/>
        <v>0</v>
      </c>
      <c r="P289" s="29">
        <f t="shared" si="83"/>
        <v>193034.39697549067</v>
      </c>
      <c r="Q289">
        <f t="shared" si="84"/>
        <v>0</v>
      </c>
      <c r="R289" s="29">
        <f t="shared" si="85"/>
        <v>0</v>
      </c>
      <c r="S289" s="29">
        <f t="shared" si="86"/>
        <v>0</v>
      </c>
      <c r="T289" s="29">
        <f t="shared" si="87"/>
        <v>193034.39697549067</v>
      </c>
      <c r="U289">
        <f t="shared" si="88"/>
        <v>0</v>
      </c>
      <c r="V289" s="29">
        <f t="shared" si="89"/>
        <v>0</v>
      </c>
      <c r="W289" s="29">
        <f t="shared" si="90"/>
        <v>0</v>
      </c>
      <c r="X289" s="29">
        <f t="shared" si="91"/>
        <v>193034.39697549067</v>
      </c>
      <c r="Y289">
        <f t="shared" si="92"/>
        <v>0</v>
      </c>
    </row>
    <row r="290" spans="1:25" x14ac:dyDescent="0.25">
      <c r="A290" s="4" t="s">
        <v>1210</v>
      </c>
      <c r="B290" s="7" t="s">
        <v>618</v>
      </c>
      <c r="C290" s="2" t="s">
        <v>1211</v>
      </c>
      <c r="D290">
        <f>VLOOKUP(B290,'Model allocations'!$A$1:$L$317,6,FALSE)</f>
        <v>17491.773151635054</v>
      </c>
      <c r="E290" s="31">
        <f>VLOOKUP(B290,'Initial adjusted formula count'!$A$1:$P$317,12,FALSE)</f>
        <v>0.134545454545455</v>
      </c>
      <c r="F290">
        <f>VLOOKUP(B290,'Model allocations'!$A$1:$L$317,11,FALSE)</f>
        <v>21037.739907531541</v>
      </c>
      <c r="G290" s="30">
        <f t="shared" si="93"/>
        <v>0.85</v>
      </c>
      <c r="H290">
        <f t="shared" si="94"/>
        <v>14868.007178889795</v>
      </c>
      <c r="I290">
        <f t="shared" si="76"/>
        <v>0</v>
      </c>
      <c r="J290">
        <f t="shared" si="77"/>
        <v>21037.739907531541</v>
      </c>
      <c r="K290">
        <f t="shared" si="78"/>
        <v>21025.288820822501</v>
      </c>
      <c r="L290">
        <f t="shared" si="79"/>
        <v>21025.288820822501</v>
      </c>
      <c r="M290">
        <f t="shared" si="80"/>
        <v>0</v>
      </c>
      <c r="N290" s="29">
        <f t="shared" si="81"/>
        <v>21025.288820822501</v>
      </c>
      <c r="O290" s="29">
        <f t="shared" si="82"/>
        <v>21023.693523387956</v>
      </c>
      <c r="P290" s="29">
        <f t="shared" si="83"/>
        <v>21023.693523387956</v>
      </c>
      <c r="Q290">
        <f t="shared" si="84"/>
        <v>0</v>
      </c>
      <c r="R290" s="29">
        <f t="shared" si="85"/>
        <v>21023.693523387956</v>
      </c>
      <c r="S290" s="29">
        <f t="shared" si="86"/>
        <v>21023.693523387938</v>
      </c>
      <c r="T290" s="29">
        <f t="shared" si="87"/>
        <v>21023.693523387938</v>
      </c>
      <c r="U290">
        <f t="shared" si="88"/>
        <v>0</v>
      </c>
      <c r="V290" s="29">
        <f t="shared" si="89"/>
        <v>21023.693523387938</v>
      </c>
      <c r="W290" s="29">
        <f t="shared" si="90"/>
        <v>21023.693523387938</v>
      </c>
      <c r="X290" s="29">
        <f t="shared" si="91"/>
        <v>21023.693523387938</v>
      </c>
      <c r="Y290">
        <f t="shared" si="92"/>
        <v>0</v>
      </c>
    </row>
    <row r="291" spans="1:25" x14ac:dyDescent="0.25">
      <c r="A291" s="4" t="s">
        <v>1212</v>
      </c>
      <c r="B291" s="7" t="s">
        <v>620</v>
      </c>
      <c r="C291" s="2" t="s">
        <v>1213</v>
      </c>
      <c r="D291">
        <f>VLOOKUP(B291,'Model allocations'!$A$1:$L$317,6,FALSE)</f>
        <v>502904.37575827533</v>
      </c>
      <c r="E291" s="31">
        <f>VLOOKUP(B291,'Initial adjusted formula count'!$A$1:$P$317,12,FALSE)</f>
        <v>0.17915473985519401</v>
      </c>
      <c r="F291">
        <f>VLOOKUP(B291,'Model allocations'!$A$1:$L$317,11,FALSE)</f>
        <v>711018.75011805922</v>
      </c>
      <c r="G291" s="30">
        <f t="shared" si="93"/>
        <v>0.9</v>
      </c>
      <c r="H291">
        <f t="shared" si="94"/>
        <v>452613.9381824478</v>
      </c>
      <c r="I291">
        <f t="shared" si="76"/>
        <v>0</v>
      </c>
      <c r="J291">
        <f t="shared" si="77"/>
        <v>711018.75011805922</v>
      </c>
      <c r="K291">
        <f t="shared" si="78"/>
        <v>710597.93703887938</v>
      </c>
      <c r="L291">
        <f t="shared" si="79"/>
        <v>710597.93703887938</v>
      </c>
      <c r="M291">
        <f t="shared" si="80"/>
        <v>0</v>
      </c>
      <c r="N291" s="29">
        <f t="shared" si="81"/>
        <v>710597.93703887938</v>
      </c>
      <c r="O291" s="29">
        <f t="shared" si="82"/>
        <v>710544.02029720636</v>
      </c>
      <c r="P291" s="29">
        <f t="shared" si="83"/>
        <v>710544.02029720636</v>
      </c>
      <c r="Q291">
        <f t="shared" si="84"/>
        <v>0</v>
      </c>
      <c r="R291" s="29">
        <f t="shared" si="85"/>
        <v>710544.02029720636</v>
      </c>
      <c r="S291" s="29">
        <f t="shared" si="86"/>
        <v>710544.02029720566</v>
      </c>
      <c r="T291" s="29">
        <f t="shared" si="87"/>
        <v>710544.02029720566</v>
      </c>
      <c r="U291">
        <f t="shared" si="88"/>
        <v>0</v>
      </c>
      <c r="V291" s="29">
        <f t="shared" si="89"/>
        <v>710544.02029720566</v>
      </c>
      <c r="W291" s="29">
        <f t="shared" si="90"/>
        <v>710544.02029720566</v>
      </c>
      <c r="X291" s="29">
        <f t="shared" si="91"/>
        <v>710544.02029720566</v>
      </c>
      <c r="Y291">
        <f t="shared" si="92"/>
        <v>0</v>
      </c>
    </row>
    <row r="292" spans="1:25" x14ac:dyDescent="0.25">
      <c r="A292" s="4" t="s">
        <v>1214</v>
      </c>
      <c r="B292" s="7" t="s">
        <v>621</v>
      </c>
      <c r="C292" s="2" t="s">
        <v>1215</v>
      </c>
      <c r="D292">
        <f>VLOOKUP(B292,'Model allocations'!$A$1:$L$317,6,FALSE)</f>
        <v>649682.44851175009</v>
      </c>
      <c r="E292" s="31">
        <f>VLOOKUP(B292,'Initial adjusted formula count'!$A$1:$P$317,12,FALSE)</f>
        <v>0.21455170438269799</v>
      </c>
      <c r="F292">
        <f>VLOOKUP(B292,'Model allocations'!$A$1:$L$317,11,FALSE)</f>
        <v>584714.20366057509</v>
      </c>
      <c r="G292" s="30">
        <f t="shared" si="93"/>
        <v>0.9</v>
      </c>
      <c r="H292">
        <f t="shared" si="94"/>
        <v>584714.20366057509</v>
      </c>
      <c r="I292">
        <f t="shared" si="76"/>
        <v>0</v>
      </c>
      <c r="J292">
        <f t="shared" si="77"/>
        <v>584714.20366057509</v>
      </c>
      <c r="K292">
        <f t="shared" si="78"/>
        <v>584368.14332891465</v>
      </c>
      <c r="L292">
        <f t="shared" si="79"/>
        <v>584368.14332891465</v>
      </c>
      <c r="M292">
        <f t="shared" si="80"/>
        <v>584714.20366057509</v>
      </c>
      <c r="N292" s="29">
        <f t="shared" si="81"/>
        <v>0</v>
      </c>
      <c r="O292" s="29">
        <f t="shared" si="82"/>
        <v>0</v>
      </c>
      <c r="P292" s="29">
        <f t="shared" si="83"/>
        <v>584714.20366057509</v>
      </c>
      <c r="Q292">
        <f t="shared" si="84"/>
        <v>0</v>
      </c>
      <c r="R292" s="29">
        <f t="shared" si="85"/>
        <v>0</v>
      </c>
      <c r="S292" s="29">
        <f t="shared" si="86"/>
        <v>0</v>
      </c>
      <c r="T292" s="29">
        <f t="shared" si="87"/>
        <v>584714.20366057509</v>
      </c>
      <c r="U292">
        <f t="shared" si="88"/>
        <v>0</v>
      </c>
      <c r="V292" s="29">
        <f t="shared" si="89"/>
        <v>0</v>
      </c>
      <c r="W292" s="29">
        <f t="shared" si="90"/>
        <v>0</v>
      </c>
      <c r="X292" s="29">
        <f t="shared" si="91"/>
        <v>584714.20366057509</v>
      </c>
      <c r="Y292">
        <f t="shared" si="92"/>
        <v>0</v>
      </c>
    </row>
    <row r="293" spans="1:25" x14ac:dyDescent="0.25">
      <c r="A293" s="4" t="s">
        <v>1216</v>
      </c>
      <c r="B293" s="7" t="s">
        <v>623</v>
      </c>
      <c r="C293" s="2" t="s">
        <v>1217</v>
      </c>
      <c r="D293">
        <f>VLOOKUP(B293,'Model allocations'!$A$1:$L$317,6,FALSE)</f>
        <v>116066.68118122635</v>
      </c>
      <c r="E293" s="31">
        <f>VLOOKUP(B293,'Initial adjusted formula count'!$A$1:$P$317,12,FALSE)</f>
        <v>0.23298731257208799</v>
      </c>
      <c r="F293">
        <f>VLOOKUP(B293,'Model allocations'!$A$1:$L$317,11,FALSE)</f>
        <v>147787.72056794664</v>
      </c>
      <c r="G293" s="30">
        <f t="shared" si="93"/>
        <v>0.9</v>
      </c>
      <c r="H293">
        <f t="shared" si="94"/>
        <v>104460.01306310372</v>
      </c>
      <c r="I293">
        <f t="shared" si="76"/>
        <v>0</v>
      </c>
      <c r="J293">
        <f t="shared" si="77"/>
        <v>147787.72056794664</v>
      </c>
      <c r="K293">
        <f t="shared" si="78"/>
        <v>147700.25310559513</v>
      </c>
      <c r="L293">
        <f t="shared" si="79"/>
        <v>147700.25310559513</v>
      </c>
      <c r="M293">
        <f t="shared" si="80"/>
        <v>0</v>
      </c>
      <c r="N293" s="29">
        <f t="shared" si="81"/>
        <v>147700.25310559513</v>
      </c>
      <c r="O293" s="29">
        <f t="shared" si="82"/>
        <v>147689.04632328314</v>
      </c>
      <c r="P293" s="29">
        <f t="shared" si="83"/>
        <v>147689.04632328314</v>
      </c>
      <c r="Q293">
        <f t="shared" si="84"/>
        <v>0</v>
      </c>
      <c r="R293" s="29">
        <f t="shared" si="85"/>
        <v>147689.04632328314</v>
      </c>
      <c r="S293" s="29">
        <f t="shared" si="86"/>
        <v>147689.04632328302</v>
      </c>
      <c r="T293" s="29">
        <f t="shared" si="87"/>
        <v>147689.04632328302</v>
      </c>
      <c r="U293">
        <f t="shared" si="88"/>
        <v>0</v>
      </c>
      <c r="V293" s="29">
        <f t="shared" si="89"/>
        <v>147689.04632328302</v>
      </c>
      <c r="W293" s="29">
        <f t="shared" si="90"/>
        <v>147689.04632328302</v>
      </c>
      <c r="X293" s="29">
        <f t="shared" si="91"/>
        <v>147689.04632328302</v>
      </c>
      <c r="Y293">
        <f t="shared" si="92"/>
        <v>0</v>
      </c>
    </row>
    <row r="294" spans="1:25" x14ac:dyDescent="0.25">
      <c r="A294" s="4" t="s">
        <v>1218</v>
      </c>
      <c r="B294" s="7" t="s">
        <v>253</v>
      </c>
      <c r="C294" s="2" t="s">
        <v>1219</v>
      </c>
      <c r="D294">
        <f>VLOOKUP(B294,'Model allocations'!$A$1:$L$317,6,FALSE)</f>
        <v>157263.68555770593</v>
      </c>
      <c r="E294" s="31">
        <f>VLOOKUP(B294,'Initial adjusted formula count'!$A$1:$P$317,12,FALSE)</f>
        <v>6.7837190742218695E-2</v>
      </c>
      <c r="F294">
        <f>VLOOKUP(B294,'Model allocations'!$A$1:$L$317,11,FALSE)</f>
        <v>144989.82909244706</v>
      </c>
      <c r="G294" s="30">
        <f t="shared" si="93"/>
        <v>0.85</v>
      </c>
      <c r="H294">
        <f t="shared" si="94"/>
        <v>133674.13272405002</v>
      </c>
      <c r="I294">
        <f t="shared" si="76"/>
        <v>0</v>
      </c>
      <c r="J294">
        <f t="shared" si="77"/>
        <v>144989.82909244706</v>
      </c>
      <c r="K294">
        <f t="shared" si="78"/>
        <v>144904.0175489118</v>
      </c>
      <c r="L294">
        <f t="shared" si="79"/>
        <v>144904.0175489118</v>
      </c>
      <c r="M294">
        <f t="shared" si="80"/>
        <v>0</v>
      </c>
      <c r="N294" s="29">
        <f t="shared" si="81"/>
        <v>144904.0175489118</v>
      </c>
      <c r="O294" s="29">
        <f t="shared" si="82"/>
        <v>144893.02293145747</v>
      </c>
      <c r="P294" s="29">
        <f t="shared" si="83"/>
        <v>144893.02293145747</v>
      </c>
      <c r="Q294">
        <f t="shared" si="84"/>
        <v>0</v>
      </c>
      <c r="R294" s="29">
        <f t="shared" si="85"/>
        <v>144893.02293145747</v>
      </c>
      <c r="S294" s="29">
        <f t="shared" si="86"/>
        <v>144893.02293145735</v>
      </c>
      <c r="T294" s="29">
        <f t="shared" si="87"/>
        <v>144893.02293145735</v>
      </c>
      <c r="U294">
        <f t="shared" si="88"/>
        <v>0</v>
      </c>
      <c r="V294" s="29">
        <f t="shared" si="89"/>
        <v>144893.02293145735</v>
      </c>
      <c r="W294" s="29">
        <f t="shared" si="90"/>
        <v>144893.02293145735</v>
      </c>
      <c r="X294" s="29">
        <f t="shared" si="91"/>
        <v>144893.02293145735</v>
      </c>
      <c r="Y294">
        <f t="shared" si="92"/>
        <v>0</v>
      </c>
    </row>
    <row r="295" spans="1:25" x14ac:dyDescent="0.25">
      <c r="A295" s="4" t="s">
        <v>1220</v>
      </c>
      <c r="B295" s="7" t="s">
        <v>625</v>
      </c>
      <c r="C295" s="2" t="s">
        <v>1221</v>
      </c>
      <c r="D295">
        <f>VLOOKUP(B295,'Model allocations'!$A$1:$L$317,6,FALSE)</f>
        <v>0</v>
      </c>
      <c r="E295" s="31">
        <f>VLOOKUP(B295,'Initial adjusted formula count'!$A$1:$P$317,12,FALSE)</f>
        <v>3.03030303030303E-2</v>
      </c>
      <c r="F295">
        <f>VLOOKUP(B295,'Model allocations'!$A$1:$L$317,11,FALSE)</f>
        <v>0</v>
      </c>
      <c r="G295" s="30">
        <f t="shared" si="93"/>
        <v>0.85</v>
      </c>
      <c r="H295">
        <f t="shared" si="94"/>
        <v>0</v>
      </c>
      <c r="I295">
        <f t="shared" si="76"/>
        <v>0</v>
      </c>
      <c r="J295">
        <f t="shared" si="77"/>
        <v>0</v>
      </c>
      <c r="K295">
        <f t="shared" si="78"/>
        <v>0</v>
      </c>
      <c r="L295">
        <f t="shared" si="79"/>
        <v>0</v>
      </c>
      <c r="M295">
        <f t="shared" si="80"/>
        <v>0</v>
      </c>
      <c r="N295" s="29">
        <f t="shared" si="81"/>
        <v>0</v>
      </c>
      <c r="O295" s="29">
        <f t="shared" si="82"/>
        <v>0</v>
      </c>
      <c r="P295" s="29">
        <f t="shared" si="83"/>
        <v>0</v>
      </c>
      <c r="Q295">
        <f t="shared" si="84"/>
        <v>0</v>
      </c>
      <c r="R295" s="29">
        <f t="shared" si="85"/>
        <v>0</v>
      </c>
      <c r="S295" s="29">
        <f t="shared" si="86"/>
        <v>0</v>
      </c>
      <c r="T295" s="29">
        <f t="shared" si="87"/>
        <v>0</v>
      </c>
      <c r="U295">
        <f t="shared" si="88"/>
        <v>0</v>
      </c>
      <c r="V295" s="29">
        <f t="shared" si="89"/>
        <v>0</v>
      </c>
      <c r="W295" s="29">
        <f t="shared" si="90"/>
        <v>0</v>
      </c>
      <c r="X295" s="29">
        <f t="shared" si="91"/>
        <v>0</v>
      </c>
      <c r="Y295">
        <f t="shared" si="92"/>
        <v>0</v>
      </c>
    </row>
    <row r="296" spans="1:25" x14ac:dyDescent="0.25">
      <c r="A296" s="4" t="s">
        <v>1222</v>
      </c>
      <c r="B296" s="7" t="s">
        <v>627</v>
      </c>
      <c r="C296" s="2" t="s">
        <v>1223</v>
      </c>
      <c r="D296">
        <f>VLOOKUP(B296,'Model allocations'!$A$1:$L$317,6,FALSE)</f>
        <v>23936.110628553233</v>
      </c>
      <c r="E296" s="31">
        <f>VLOOKUP(B296,'Initial adjusted formula count'!$A$1:$P$317,12,FALSE)</f>
        <v>0.11782477341389699</v>
      </c>
      <c r="F296">
        <f>VLOOKUP(B296,'Model allocations'!$A$1:$L$317,11,FALSE)</f>
        <v>22174.915037668379</v>
      </c>
      <c r="G296" s="30">
        <f t="shared" si="93"/>
        <v>0.85</v>
      </c>
      <c r="H296">
        <f t="shared" si="94"/>
        <v>20345.694034270247</v>
      </c>
      <c r="I296">
        <f t="shared" si="76"/>
        <v>0</v>
      </c>
      <c r="J296">
        <f t="shared" si="77"/>
        <v>22174.915037668379</v>
      </c>
      <c r="K296">
        <f t="shared" si="78"/>
        <v>22161.790919245337</v>
      </c>
      <c r="L296">
        <f t="shared" si="79"/>
        <v>22161.790919245337</v>
      </c>
      <c r="M296">
        <f t="shared" si="80"/>
        <v>0</v>
      </c>
      <c r="N296" s="29">
        <f t="shared" si="81"/>
        <v>22161.790919245337</v>
      </c>
      <c r="O296" s="29">
        <f t="shared" si="82"/>
        <v>22160.109389517031</v>
      </c>
      <c r="P296" s="29">
        <f t="shared" si="83"/>
        <v>22160.109389517031</v>
      </c>
      <c r="Q296">
        <f t="shared" si="84"/>
        <v>0</v>
      </c>
      <c r="R296" s="29">
        <f t="shared" si="85"/>
        <v>22160.109389517031</v>
      </c>
      <c r="S296" s="29">
        <f t="shared" si="86"/>
        <v>22160.109389517012</v>
      </c>
      <c r="T296" s="29">
        <f t="shared" si="87"/>
        <v>22160.109389517012</v>
      </c>
      <c r="U296">
        <f t="shared" si="88"/>
        <v>0</v>
      </c>
      <c r="V296" s="29">
        <f t="shared" si="89"/>
        <v>22160.109389517012</v>
      </c>
      <c r="W296" s="29">
        <f t="shared" si="90"/>
        <v>22160.109389517012</v>
      </c>
      <c r="X296" s="29">
        <f t="shared" si="91"/>
        <v>22160.109389517012</v>
      </c>
      <c r="Y296">
        <f t="shared" si="92"/>
        <v>0</v>
      </c>
    </row>
    <row r="297" spans="1:25" x14ac:dyDescent="0.25">
      <c r="A297" s="4" t="s">
        <v>1224</v>
      </c>
      <c r="B297" s="7" t="s">
        <v>629</v>
      </c>
      <c r="C297" s="2" t="s">
        <v>1225</v>
      </c>
      <c r="D297">
        <f>VLOOKUP(B297,'Model allocations'!$A$1:$L$317,6,FALSE)</f>
        <v>54884.318404265228</v>
      </c>
      <c r="E297" s="31">
        <f>VLOOKUP(B297,'Initial adjusted formula count'!$A$1:$P$317,12,FALSE)</f>
        <v>0.264984227129338</v>
      </c>
      <c r="F297">
        <f>VLOOKUP(B297,'Model allocations'!$A$1:$L$317,11,FALSE)</f>
        <v>68453.408348406345</v>
      </c>
      <c r="G297" s="30">
        <f t="shared" si="93"/>
        <v>0.9</v>
      </c>
      <c r="H297">
        <f t="shared" si="94"/>
        <v>49395.886563838707</v>
      </c>
      <c r="I297">
        <f t="shared" si="76"/>
        <v>0</v>
      </c>
      <c r="J297">
        <f t="shared" si="77"/>
        <v>68453.408348406345</v>
      </c>
      <c r="K297">
        <f t="shared" si="78"/>
        <v>68412.894522937378</v>
      </c>
      <c r="L297">
        <f t="shared" si="79"/>
        <v>68412.894522937378</v>
      </c>
      <c r="M297">
        <f t="shared" si="80"/>
        <v>0</v>
      </c>
      <c r="N297" s="29">
        <f t="shared" si="81"/>
        <v>68412.894522937378</v>
      </c>
      <c r="O297" s="29">
        <f t="shared" si="82"/>
        <v>68407.703682704334</v>
      </c>
      <c r="P297" s="29">
        <f t="shared" si="83"/>
        <v>68407.703682704334</v>
      </c>
      <c r="Q297">
        <f t="shared" si="84"/>
        <v>0</v>
      </c>
      <c r="R297" s="29">
        <f t="shared" si="85"/>
        <v>68407.703682704334</v>
      </c>
      <c r="S297" s="29">
        <f t="shared" si="86"/>
        <v>68407.703682704276</v>
      </c>
      <c r="T297" s="29">
        <f t="shared" si="87"/>
        <v>68407.703682704276</v>
      </c>
      <c r="U297">
        <f t="shared" si="88"/>
        <v>0</v>
      </c>
      <c r="V297" s="29">
        <f t="shared" si="89"/>
        <v>68407.703682704276</v>
      </c>
      <c r="W297" s="29">
        <f t="shared" si="90"/>
        <v>68407.703682704276</v>
      </c>
      <c r="X297" s="29">
        <f t="shared" si="91"/>
        <v>68407.703682704276</v>
      </c>
      <c r="Y297">
        <f t="shared" si="92"/>
        <v>0</v>
      </c>
    </row>
    <row r="298" spans="1:25" x14ac:dyDescent="0.25">
      <c r="A298" s="4" t="s">
        <v>53</v>
      </c>
      <c r="B298" s="7" t="s">
        <v>64</v>
      </c>
      <c r="C298" s="2" t="s">
        <v>1226</v>
      </c>
      <c r="D298">
        <f>VLOOKUP(B298,'Model allocations'!$A$1:$L$317,6,FALSE)</f>
        <v>614293.56395284913</v>
      </c>
      <c r="E298" s="31">
        <f>VLOOKUP(B298,'Initial adjusted formula count'!$A$1:$P$317,12,FALSE)</f>
        <v>0.13374996360458399</v>
      </c>
      <c r="F298">
        <f>VLOOKUP(B298,'Model allocations'!$A$1:$L$317,11,FALSE)</f>
        <v>719049.51922368375</v>
      </c>
      <c r="G298" s="30">
        <f t="shared" si="93"/>
        <v>0.85</v>
      </c>
      <c r="H298">
        <f t="shared" si="94"/>
        <v>522149.52935992175</v>
      </c>
      <c r="I298">
        <f t="shared" si="76"/>
        <v>0</v>
      </c>
      <c r="J298">
        <f t="shared" si="77"/>
        <v>719049.51922368375</v>
      </c>
      <c r="K298">
        <f t="shared" si="78"/>
        <v>718623.9531718503</v>
      </c>
      <c r="L298">
        <f t="shared" si="79"/>
        <v>718623.9531718503</v>
      </c>
      <c r="M298">
        <f t="shared" si="80"/>
        <v>0</v>
      </c>
      <c r="N298" s="29">
        <f t="shared" si="81"/>
        <v>718623.9531718503</v>
      </c>
      <c r="O298" s="29">
        <f t="shared" si="82"/>
        <v>718569.42745481175</v>
      </c>
      <c r="P298" s="29">
        <f t="shared" si="83"/>
        <v>718569.42745481175</v>
      </c>
      <c r="Q298">
        <f t="shared" si="84"/>
        <v>0</v>
      </c>
      <c r="R298" s="29">
        <f t="shared" si="85"/>
        <v>718569.42745481175</v>
      </c>
      <c r="S298" s="29">
        <f t="shared" si="86"/>
        <v>718569.42745481117</v>
      </c>
      <c r="T298" s="29">
        <f t="shared" si="87"/>
        <v>718569.42745481117</v>
      </c>
      <c r="U298">
        <f t="shared" si="88"/>
        <v>0</v>
      </c>
      <c r="V298" s="29">
        <f t="shared" si="89"/>
        <v>718569.42745481117</v>
      </c>
      <c r="W298" s="29">
        <f t="shared" si="90"/>
        <v>718569.42745481117</v>
      </c>
      <c r="X298" s="29">
        <f t="shared" si="91"/>
        <v>718569.42745481117</v>
      </c>
      <c r="Y298">
        <f t="shared" si="92"/>
        <v>0</v>
      </c>
    </row>
    <row r="299" spans="1:25" x14ac:dyDescent="0.25">
      <c r="A299" s="4" t="s">
        <v>1227</v>
      </c>
      <c r="B299" s="7" t="s">
        <v>306</v>
      </c>
      <c r="C299" s="2" t="s">
        <v>1228</v>
      </c>
      <c r="D299">
        <f>VLOOKUP(B299,'Model allocations'!$A$1:$L$317,6,FALSE)</f>
        <v>246078.06912806502</v>
      </c>
      <c r="E299" s="31">
        <f>VLOOKUP(B299,'Initial adjusted formula count'!$A$1:$P$317,12,FALSE)</f>
        <v>0.108359133126935</v>
      </c>
      <c r="F299">
        <f>VLOOKUP(B299,'Model allocations'!$A$1:$L$317,11,FALSE)</f>
        <v>209166.35875885526</v>
      </c>
      <c r="G299" s="30">
        <f t="shared" si="93"/>
        <v>0.85</v>
      </c>
      <c r="H299">
        <f t="shared" si="94"/>
        <v>209166.35875885526</v>
      </c>
      <c r="I299">
        <f t="shared" si="76"/>
        <v>0</v>
      </c>
      <c r="J299">
        <f t="shared" si="77"/>
        <v>209166.35875885526</v>
      </c>
      <c r="K299">
        <f t="shared" si="78"/>
        <v>209042.56464023949</v>
      </c>
      <c r="L299">
        <f t="shared" si="79"/>
        <v>209042.56464023949</v>
      </c>
      <c r="M299">
        <f t="shared" si="80"/>
        <v>209166.35875885526</v>
      </c>
      <c r="N299" s="29">
        <f t="shared" si="81"/>
        <v>0</v>
      </c>
      <c r="O299" s="29">
        <f t="shared" si="82"/>
        <v>0</v>
      </c>
      <c r="P299" s="29">
        <f t="shared" si="83"/>
        <v>209166.35875885526</v>
      </c>
      <c r="Q299">
        <f t="shared" si="84"/>
        <v>0</v>
      </c>
      <c r="R299" s="29">
        <f t="shared" si="85"/>
        <v>0</v>
      </c>
      <c r="S299" s="29">
        <f t="shared" si="86"/>
        <v>0</v>
      </c>
      <c r="T299" s="29">
        <f t="shared" si="87"/>
        <v>209166.35875885526</v>
      </c>
      <c r="U299">
        <f t="shared" si="88"/>
        <v>0</v>
      </c>
      <c r="V299" s="29">
        <f t="shared" si="89"/>
        <v>0</v>
      </c>
      <c r="W299" s="29">
        <f t="shared" si="90"/>
        <v>0</v>
      </c>
      <c r="X299" s="29">
        <f t="shared" si="91"/>
        <v>209166.35875885526</v>
      </c>
      <c r="Y299">
        <f t="shared" si="92"/>
        <v>0</v>
      </c>
    </row>
    <row r="300" spans="1:25" x14ac:dyDescent="0.25">
      <c r="A300" s="4" t="s">
        <v>1229</v>
      </c>
      <c r="B300" s="7" t="s">
        <v>255</v>
      </c>
      <c r="C300" s="2" t="s">
        <v>1230</v>
      </c>
      <c r="D300">
        <f>VLOOKUP(B300,'Model allocations'!$A$1:$L$317,6,FALSE)</f>
        <v>430778.04515177343</v>
      </c>
      <c r="E300" s="31">
        <f>VLOOKUP(B300,'Initial adjusted formula count'!$A$1:$P$317,12,FALSE)</f>
        <v>0.116534181240064</v>
      </c>
      <c r="F300">
        <f>VLOOKUP(B300,'Model allocations'!$A$1:$L$317,11,FALSE)</f>
        <v>428715.02406158857</v>
      </c>
      <c r="G300" s="30">
        <f t="shared" si="93"/>
        <v>0.85</v>
      </c>
      <c r="H300">
        <f t="shared" si="94"/>
        <v>366161.33837900741</v>
      </c>
      <c r="I300">
        <f t="shared" si="76"/>
        <v>0</v>
      </c>
      <c r="J300">
        <f t="shared" si="77"/>
        <v>428715.02406158857</v>
      </c>
      <c r="K300">
        <f t="shared" si="78"/>
        <v>428461.29110540973</v>
      </c>
      <c r="L300">
        <f t="shared" si="79"/>
        <v>428461.29110540973</v>
      </c>
      <c r="M300">
        <f t="shared" si="80"/>
        <v>0</v>
      </c>
      <c r="N300" s="29">
        <f t="shared" si="81"/>
        <v>428461.29110540973</v>
      </c>
      <c r="O300" s="29">
        <f t="shared" si="82"/>
        <v>428428.7815306625</v>
      </c>
      <c r="P300" s="29">
        <f t="shared" si="83"/>
        <v>428428.7815306625</v>
      </c>
      <c r="Q300">
        <f t="shared" si="84"/>
        <v>0</v>
      </c>
      <c r="R300" s="29">
        <f t="shared" si="85"/>
        <v>428428.7815306625</v>
      </c>
      <c r="S300" s="29">
        <f t="shared" si="86"/>
        <v>428428.78153066209</v>
      </c>
      <c r="T300" s="29">
        <f t="shared" si="87"/>
        <v>428428.78153066209</v>
      </c>
      <c r="U300">
        <f t="shared" si="88"/>
        <v>0</v>
      </c>
      <c r="V300" s="29">
        <f t="shared" si="89"/>
        <v>428428.78153066209</v>
      </c>
      <c r="W300" s="29">
        <f t="shared" si="90"/>
        <v>428428.78153066209</v>
      </c>
      <c r="X300" s="29">
        <f t="shared" si="91"/>
        <v>428428.78153066209</v>
      </c>
      <c r="Y300">
        <f t="shared" si="92"/>
        <v>0</v>
      </c>
    </row>
    <row r="301" spans="1:25" x14ac:dyDescent="0.25">
      <c r="A301" s="4" t="s">
        <v>13</v>
      </c>
      <c r="B301" s="7" t="s">
        <v>68</v>
      </c>
      <c r="C301" s="2" t="s">
        <v>1231</v>
      </c>
      <c r="D301">
        <f>VLOOKUP(B301,'Model allocations'!$A$1:$L$317,6,FALSE)</f>
        <v>0</v>
      </c>
      <c r="E301" s="31">
        <f>VLOOKUP(B301,'Initial adjusted formula count'!$A$1:$P$317,12,FALSE)</f>
        <v>7.0311301925765499E-2</v>
      </c>
      <c r="F301">
        <f>VLOOKUP(B301,'Model allocations'!$A$1:$L$317,11,FALSE)</f>
        <v>0</v>
      </c>
      <c r="G301" s="30">
        <f t="shared" si="93"/>
        <v>0.85</v>
      </c>
      <c r="H301">
        <f t="shared" si="94"/>
        <v>0</v>
      </c>
      <c r="I301">
        <f t="shared" si="76"/>
        <v>0</v>
      </c>
      <c r="J301">
        <f t="shared" si="77"/>
        <v>0</v>
      </c>
      <c r="K301">
        <f t="shared" si="78"/>
        <v>0</v>
      </c>
      <c r="L301">
        <f t="shared" si="79"/>
        <v>0</v>
      </c>
      <c r="M301">
        <f t="shared" si="80"/>
        <v>0</v>
      </c>
      <c r="N301" s="29">
        <f t="shared" si="81"/>
        <v>0</v>
      </c>
      <c r="O301" s="29">
        <f t="shared" si="82"/>
        <v>0</v>
      </c>
      <c r="P301" s="29">
        <f t="shared" si="83"/>
        <v>0</v>
      </c>
      <c r="Q301">
        <f t="shared" si="84"/>
        <v>0</v>
      </c>
      <c r="R301" s="29">
        <f t="shared" si="85"/>
        <v>0</v>
      </c>
      <c r="S301" s="29">
        <f t="shared" si="86"/>
        <v>0</v>
      </c>
      <c r="T301" s="29">
        <f t="shared" si="87"/>
        <v>0</v>
      </c>
      <c r="U301">
        <f t="shared" si="88"/>
        <v>0</v>
      </c>
      <c r="V301" s="29">
        <f t="shared" si="89"/>
        <v>0</v>
      </c>
      <c r="W301" s="29">
        <f t="shared" si="90"/>
        <v>0</v>
      </c>
      <c r="X301" s="29">
        <f t="shared" si="91"/>
        <v>0</v>
      </c>
      <c r="Y301">
        <f t="shared" si="92"/>
        <v>0</v>
      </c>
    </row>
    <row r="302" spans="1:25" x14ac:dyDescent="0.25">
      <c r="A302" s="4" t="s">
        <v>1232</v>
      </c>
      <c r="B302" s="7" t="s">
        <v>631</v>
      </c>
      <c r="C302" s="2" t="s">
        <v>1233</v>
      </c>
      <c r="D302">
        <f>VLOOKUP(B302,'Model allocations'!$A$1:$L$317,6,FALSE)</f>
        <v>67991.488891026995</v>
      </c>
      <c r="E302" s="31">
        <f>VLOOKUP(B302,'Initial adjusted formula count'!$A$1:$P$317,12,FALSE)</f>
        <v>0.20421052631578901</v>
      </c>
      <c r="F302">
        <f>VLOOKUP(B302,'Model allocations'!$A$1:$L$317,11,FALSE)</f>
        <v>64958.99710569797</v>
      </c>
      <c r="G302" s="30">
        <f t="shared" si="93"/>
        <v>0.9</v>
      </c>
      <c r="H302">
        <f t="shared" si="94"/>
        <v>61192.340001924298</v>
      </c>
      <c r="I302">
        <f t="shared" si="76"/>
        <v>0</v>
      </c>
      <c r="J302">
        <f t="shared" si="77"/>
        <v>64958.99710569797</v>
      </c>
      <c r="K302">
        <f t="shared" si="78"/>
        <v>64920.551430970052</v>
      </c>
      <c r="L302">
        <f t="shared" si="79"/>
        <v>64920.551430970052</v>
      </c>
      <c r="M302">
        <f t="shared" si="80"/>
        <v>0</v>
      </c>
      <c r="N302" s="29">
        <f t="shared" si="81"/>
        <v>64920.551430970052</v>
      </c>
      <c r="O302" s="29">
        <f t="shared" si="82"/>
        <v>64915.625572874604</v>
      </c>
      <c r="P302" s="29">
        <f t="shared" si="83"/>
        <v>64915.625572874604</v>
      </c>
      <c r="Q302">
        <f t="shared" si="84"/>
        <v>0</v>
      </c>
      <c r="R302" s="29">
        <f t="shared" si="85"/>
        <v>64915.625572874604</v>
      </c>
      <c r="S302" s="29">
        <f t="shared" si="86"/>
        <v>64915.625572874553</v>
      </c>
      <c r="T302" s="29">
        <f t="shared" si="87"/>
        <v>64915.625572874553</v>
      </c>
      <c r="U302">
        <f t="shared" si="88"/>
        <v>0</v>
      </c>
      <c r="V302" s="29">
        <f t="shared" si="89"/>
        <v>64915.625572874553</v>
      </c>
      <c r="W302" s="29">
        <f t="shared" si="90"/>
        <v>64915.625572874553</v>
      </c>
      <c r="X302" s="29">
        <f t="shared" si="91"/>
        <v>64915.625572874553</v>
      </c>
      <c r="Y302">
        <f t="shared" si="92"/>
        <v>0</v>
      </c>
    </row>
    <row r="303" spans="1:25" x14ac:dyDescent="0.25">
      <c r="A303" s="4" t="s">
        <v>1234</v>
      </c>
      <c r="B303" s="7" t="s">
        <v>256</v>
      </c>
      <c r="C303" s="2" t="s">
        <v>1235</v>
      </c>
      <c r="D303">
        <f>VLOOKUP(B303,'Model allocations'!$A$1:$L$317,6,FALSE)</f>
        <v>0</v>
      </c>
      <c r="E303" s="31">
        <f>VLOOKUP(B303,'Initial adjusted formula count'!$A$1:$P$317,12,FALSE)</f>
        <v>4.2054099746407399E-2</v>
      </c>
      <c r="F303">
        <f>VLOOKUP(B303,'Model allocations'!$A$1:$L$317,11,FALSE)</f>
        <v>0</v>
      </c>
      <c r="G303" s="30">
        <f t="shared" si="93"/>
        <v>0.85</v>
      </c>
      <c r="H303">
        <f t="shared" si="94"/>
        <v>0</v>
      </c>
      <c r="I303">
        <f t="shared" si="76"/>
        <v>0</v>
      </c>
      <c r="J303">
        <f t="shared" si="77"/>
        <v>0</v>
      </c>
      <c r="K303">
        <f t="shared" si="78"/>
        <v>0</v>
      </c>
      <c r="L303">
        <f t="shared" si="79"/>
        <v>0</v>
      </c>
      <c r="M303">
        <f t="shared" si="80"/>
        <v>0</v>
      </c>
      <c r="N303" s="29">
        <f t="shared" si="81"/>
        <v>0</v>
      </c>
      <c r="O303" s="29">
        <f t="shared" si="82"/>
        <v>0</v>
      </c>
      <c r="P303" s="29">
        <f t="shared" si="83"/>
        <v>0</v>
      </c>
      <c r="Q303">
        <f t="shared" si="84"/>
        <v>0</v>
      </c>
      <c r="R303" s="29">
        <f t="shared" si="85"/>
        <v>0</v>
      </c>
      <c r="S303" s="29">
        <f t="shared" si="86"/>
        <v>0</v>
      </c>
      <c r="T303" s="29">
        <f t="shared" si="87"/>
        <v>0</v>
      </c>
      <c r="U303">
        <f t="shared" si="88"/>
        <v>0</v>
      </c>
      <c r="V303" s="29">
        <f t="shared" si="89"/>
        <v>0</v>
      </c>
      <c r="W303" s="29">
        <f t="shared" si="90"/>
        <v>0</v>
      </c>
      <c r="X303" s="29">
        <f t="shared" si="91"/>
        <v>0</v>
      </c>
      <c r="Y303">
        <f t="shared" si="92"/>
        <v>0</v>
      </c>
    </row>
    <row r="304" spans="1:25" x14ac:dyDescent="0.25">
      <c r="A304" s="4" t="s">
        <v>1236</v>
      </c>
      <c r="B304" s="7" t="s">
        <v>307</v>
      </c>
      <c r="C304" s="2" t="s">
        <v>1237</v>
      </c>
      <c r="D304">
        <f>VLOOKUP(B304,'Model allocations'!$A$1:$L$317,6,FALSE)</f>
        <v>83723.113174606042</v>
      </c>
      <c r="E304" s="31">
        <f>VLOOKUP(B304,'Initial adjusted formula count'!$A$1:$P$317,12,FALSE)</f>
        <v>0.12266450040617401</v>
      </c>
      <c r="F304">
        <f>VLOOKUP(B304,'Model allocations'!$A$1:$L$317,11,FALSE)</f>
        <v>85856.7223253314</v>
      </c>
      <c r="G304" s="30">
        <f t="shared" si="93"/>
        <v>0.85</v>
      </c>
      <c r="H304">
        <f t="shared" si="94"/>
        <v>71164.646198415139</v>
      </c>
      <c r="I304">
        <f t="shared" si="76"/>
        <v>0</v>
      </c>
      <c r="J304">
        <f t="shared" si="77"/>
        <v>85856.7223253314</v>
      </c>
      <c r="K304">
        <f t="shared" si="78"/>
        <v>85805.908430924232</v>
      </c>
      <c r="L304">
        <f t="shared" si="79"/>
        <v>85805.908430924232</v>
      </c>
      <c r="M304">
        <f t="shared" si="80"/>
        <v>0</v>
      </c>
      <c r="N304" s="29">
        <f t="shared" si="81"/>
        <v>85805.908430924232</v>
      </c>
      <c r="O304" s="29">
        <f t="shared" si="82"/>
        <v>85799.397892745401</v>
      </c>
      <c r="P304" s="29">
        <f t="shared" si="83"/>
        <v>85799.397892745401</v>
      </c>
      <c r="Q304">
        <f t="shared" si="84"/>
        <v>0</v>
      </c>
      <c r="R304" s="29">
        <f t="shared" si="85"/>
        <v>85799.397892745401</v>
      </c>
      <c r="S304" s="29">
        <f t="shared" si="86"/>
        <v>85799.397892745328</v>
      </c>
      <c r="T304" s="29">
        <f t="shared" si="87"/>
        <v>85799.397892745328</v>
      </c>
      <c r="U304">
        <f t="shared" si="88"/>
        <v>0</v>
      </c>
      <c r="V304" s="29">
        <f t="shared" si="89"/>
        <v>85799.397892745328</v>
      </c>
      <c r="W304" s="29">
        <f t="shared" si="90"/>
        <v>85799.397892745328</v>
      </c>
      <c r="X304" s="29">
        <f t="shared" si="91"/>
        <v>85799.397892745328</v>
      </c>
      <c r="Y304">
        <f t="shared" si="92"/>
        <v>0</v>
      </c>
    </row>
    <row r="305" spans="1:25" x14ac:dyDescent="0.25">
      <c r="A305" s="4" t="s">
        <v>19</v>
      </c>
      <c r="B305" s="7" t="s">
        <v>70</v>
      </c>
      <c r="C305" s="2" t="s">
        <v>1238</v>
      </c>
      <c r="D305">
        <f>VLOOKUP(B305,'Model allocations'!$A$1:$L$317,6,FALSE)</f>
        <v>31235.675075331794</v>
      </c>
      <c r="E305" s="31">
        <f>VLOOKUP(B305,'Initial adjusted formula count'!$A$1:$P$317,12,FALSE)</f>
        <v>0.18500267811471999</v>
      </c>
      <c r="F305">
        <f>VLOOKUP(B305,'Model allocations'!$A$1:$L$317,11,FALSE)</f>
        <v>24120.709214032206</v>
      </c>
      <c r="G305" s="30">
        <f t="shared" si="93"/>
        <v>0.9</v>
      </c>
      <c r="H305">
        <f t="shared" si="94"/>
        <v>28112.107567798615</v>
      </c>
      <c r="I305">
        <f t="shared" si="76"/>
        <v>28112.107567798615</v>
      </c>
      <c r="J305">
        <f t="shared" si="77"/>
        <v>0</v>
      </c>
      <c r="K305">
        <f t="shared" si="78"/>
        <v>0</v>
      </c>
      <c r="L305">
        <f t="shared" si="79"/>
        <v>28112.107567798615</v>
      </c>
      <c r="M305">
        <f t="shared" si="80"/>
        <v>0</v>
      </c>
      <c r="N305" s="29">
        <f t="shared" si="81"/>
        <v>0</v>
      </c>
      <c r="O305" s="29">
        <f t="shared" si="82"/>
        <v>0</v>
      </c>
      <c r="P305" s="29">
        <f t="shared" si="83"/>
        <v>28112.107567798615</v>
      </c>
      <c r="Q305">
        <f t="shared" si="84"/>
        <v>0</v>
      </c>
      <c r="R305" s="29">
        <f t="shared" si="85"/>
        <v>0</v>
      </c>
      <c r="S305" s="29">
        <f t="shared" si="86"/>
        <v>0</v>
      </c>
      <c r="T305" s="29">
        <f t="shared" si="87"/>
        <v>28112.107567798615</v>
      </c>
      <c r="U305">
        <f t="shared" si="88"/>
        <v>0</v>
      </c>
      <c r="V305" s="29">
        <f t="shared" si="89"/>
        <v>0</v>
      </c>
      <c r="W305" s="29">
        <f t="shared" si="90"/>
        <v>0</v>
      </c>
      <c r="X305" s="29">
        <f t="shared" si="91"/>
        <v>28112.107567798615</v>
      </c>
      <c r="Y305">
        <f t="shared" si="92"/>
        <v>0</v>
      </c>
    </row>
    <row r="306" spans="1:25" x14ac:dyDescent="0.25">
      <c r="A306" s="4" t="s">
        <v>1239</v>
      </c>
      <c r="B306" s="7" t="s">
        <v>258</v>
      </c>
      <c r="C306" s="2" t="s">
        <v>1240</v>
      </c>
      <c r="D306">
        <f>VLOOKUP(B306,'Model allocations'!$A$1:$L$317,6,FALSE)</f>
        <v>18667.991451094585</v>
      </c>
      <c r="E306" s="31">
        <f>VLOOKUP(B306,'Initial adjusted formula count'!$A$1:$P$317,12,FALSE)</f>
        <v>0.12831858407079599</v>
      </c>
      <c r="F306">
        <f>VLOOKUP(B306,'Model allocations'!$A$1:$L$317,11,FALSE)</f>
        <v>16489.039386984179</v>
      </c>
      <c r="G306" s="30">
        <f t="shared" si="93"/>
        <v>0.85</v>
      </c>
      <c r="H306">
        <f t="shared" si="94"/>
        <v>15867.792733430397</v>
      </c>
      <c r="I306">
        <f t="shared" si="76"/>
        <v>0</v>
      </c>
      <c r="J306">
        <f t="shared" si="77"/>
        <v>16489.039386984179</v>
      </c>
      <c r="K306">
        <f t="shared" si="78"/>
        <v>16479.280427131147</v>
      </c>
      <c r="L306">
        <f t="shared" si="79"/>
        <v>16479.280427131147</v>
      </c>
      <c r="M306">
        <f t="shared" si="80"/>
        <v>0</v>
      </c>
      <c r="N306" s="29">
        <f t="shared" si="81"/>
        <v>16479.280427131147</v>
      </c>
      <c r="O306" s="29">
        <f t="shared" si="82"/>
        <v>16478.030058871638</v>
      </c>
      <c r="P306" s="29">
        <f t="shared" si="83"/>
        <v>16478.030058871638</v>
      </c>
      <c r="Q306">
        <f t="shared" si="84"/>
        <v>0</v>
      </c>
      <c r="R306" s="29">
        <f t="shared" si="85"/>
        <v>16478.030058871638</v>
      </c>
      <c r="S306" s="29">
        <f t="shared" si="86"/>
        <v>16478.030058871624</v>
      </c>
      <c r="T306" s="29">
        <f t="shared" si="87"/>
        <v>16478.030058871624</v>
      </c>
      <c r="U306">
        <f t="shared" si="88"/>
        <v>0</v>
      </c>
      <c r="V306" s="29">
        <f t="shared" si="89"/>
        <v>16478.030058871624</v>
      </c>
      <c r="W306" s="29">
        <f t="shared" si="90"/>
        <v>16478.030058871624</v>
      </c>
      <c r="X306" s="29">
        <f t="shared" si="91"/>
        <v>16478.030058871624</v>
      </c>
      <c r="Y306">
        <f t="shared" si="92"/>
        <v>0</v>
      </c>
    </row>
    <row r="307" spans="1:25" x14ac:dyDescent="0.25">
      <c r="A307" s="4" t="s">
        <v>1241</v>
      </c>
      <c r="B307" s="7" t="s">
        <v>633</v>
      </c>
      <c r="C307" s="2" t="s">
        <v>1242</v>
      </c>
      <c r="D307">
        <f>VLOOKUP(B307,'Model allocations'!$A$1:$L$317,6,FALSE)</f>
        <v>29333.116174164265</v>
      </c>
      <c r="E307" s="31">
        <f>VLOOKUP(B307,'Initial adjusted formula count'!$A$1:$P$317,12,FALSE)</f>
        <v>8.4639498432601906E-2</v>
      </c>
      <c r="F307">
        <f>VLOOKUP(B307,'Model allocations'!$A$1:$L$317,11,FALSE)</f>
        <v>24933.148748039624</v>
      </c>
      <c r="G307" s="30">
        <f t="shared" si="93"/>
        <v>0.85</v>
      </c>
      <c r="H307">
        <f t="shared" si="94"/>
        <v>24933.148748039624</v>
      </c>
      <c r="I307">
        <f t="shared" si="76"/>
        <v>0</v>
      </c>
      <c r="J307">
        <f t="shared" si="77"/>
        <v>24933.148748039624</v>
      </c>
      <c r="K307">
        <f t="shared" si="78"/>
        <v>24918.392182060783</v>
      </c>
      <c r="L307">
        <f t="shared" si="79"/>
        <v>24918.392182060783</v>
      </c>
      <c r="M307">
        <f t="shared" si="80"/>
        <v>24933.148748039624</v>
      </c>
      <c r="N307" s="29">
        <f t="shared" si="81"/>
        <v>0</v>
      </c>
      <c r="O307" s="29">
        <f t="shared" si="82"/>
        <v>0</v>
      </c>
      <c r="P307" s="29">
        <f t="shared" si="83"/>
        <v>24933.148748039624</v>
      </c>
      <c r="Q307">
        <f t="shared" si="84"/>
        <v>0</v>
      </c>
      <c r="R307" s="29">
        <f t="shared" si="85"/>
        <v>0</v>
      </c>
      <c r="S307" s="29">
        <f t="shared" si="86"/>
        <v>0</v>
      </c>
      <c r="T307" s="29">
        <f t="shared" si="87"/>
        <v>24933.148748039624</v>
      </c>
      <c r="U307">
        <f t="shared" si="88"/>
        <v>0</v>
      </c>
      <c r="V307" s="29">
        <f t="shared" si="89"/>
        <v>0</v>
      </c>
      <c r="W307" s="29">
        <f t="shared" si="90"/>
        <v>0</v>
      </c>
      <c r="X307" s="29">
        <f t="shared" si="91"/>
        <v>24933.148748039624</v>
      </c>
      <c r="Y307">
        <f t="shared" si="92"/>
        <v>0</v>
      </c>
    </row>
    <row r="308" spans="1:25" x14ac:dyDescent="0.25">
      <c r="A308" s="4" t="s">
        <v>1243</v>
      </c>
      <c r="B308" s="7" t="s">
        <v>635</v>
      </c>
      <c r="C308" s="2" t="s">
        <v>1244</v>
      </c>
      <c r="D308">
        <f>VLOOKUP(B308,'Model allocations'!$A$1:$L$317,6,FALSE)</f>
        <v>8485.4506595884504</v>
      </c>
      <c r="E308" s="31">
        <f>VLOOKUP(B308,'Initial adjusted formula count'!$A$1:$P$317,12,FALSE)</f>
        <v>0.14285714285714299</v>
      </c>
      <c r="F308">
        <f>VLOOKUP(B308,'Model allocations'!$A$1:$L$317,11,FALSE)</f>
        <v>9097.4010410947194</v>
      </c>
      <c r="G308" s="30">
        <f t="shared" si="93"/>
        <v>0.85</v>
      </c>
      <c r="H308">
        <f t="shared" si="94"/>
        <v>7212.6330606501824</v>
      </c>
      <c r="I308">
        <f t="shared" si="76"/>
        <v>0</v>
      </c>
      <c r="J308">
        <f t="shared" si="77"/>
        <v>9097.4010410947194</v>
      </c>
      <c r="K308">
        <f t="shared" si="78"/>
        <v>9092.0167873827013</v>
      </c>
      <c r="L308">
        <f t="shared" si="79"/>
        <v>9092.0167873827013</v>
      </c>
      <c r="M308">
        <f t="shared" si="80"/>
        <v>0</v>
      </c>
      <c r="N308" s="29">
        <f t="shared" si="81"/>
        <v>9092.0167873827013</v>
      </c>
      <c r="O308" s="29">
        <f t="shared" si="82"/>
        <v>9091.3269290326261</v>
      </c>
      <c r="P308" s="29">
        <f t="shared" si="83"/>
        <v>9091.3269290326261</v>
      </c>
      <c r="Q308">
        <f t="shared" si="84"/>
        <v>0</v>
      </c>
      <c r="R308" s="29">
        <f t="shared" si="85"/>
        <v>9091.3269290326261</v>
      </c>
      <c r="S308" s="29">
        <f t="shared" si="86"/>
        <v>9091.3269290326189</v>
      </c>
      <c r="T308" s="29">
        <f t="shared" si="87"/>
        <v>9091.3269290326189</v>
      </c>
      <c r="U308">
        <f t="shared" si="88"/>
        <v>0</v>
      </c>
      <c r="V308" s="29">
        <f t="shared" si="89"/>
        <v>9091.3269290326189</v>
      </c>
      <c r="W308" s="29">
        <f t="shared" si="90"/>
        <v>9091.3269290326189</v>
      </c>
      <c r="X308" s="29">
        <f t="shared" si="91"/>
        <v>9091.3269290326189</v>
      </c>
      <c r="Y308">
        <f t="shared" si="92"/>
        <v>0</v>
      </c>
    </row>
    <row r="309" spans="1:25" x14ac:dyDescent="0.25">
      <c r="A309" s="4" t="s">
        <v>1245</v>
      </c>
      <c r="B309" s="7" t="s">
        <v>637</v>
      </c>
      <c r="C309" s="2" t="s">
        <v>1246</v>
      </c>
      <c r="D309">
        <f>VLOOKUP(B309,'Model allocations'!$A$1:$L$317,6,FALSE)</f>
        <v>58266.761195840678</v>
      </c>
      <c r="E309" s="31">
        <f>VLOOKUP(B309,'Initial adjusted formula count'!$A$1:$P$317,12,FALSE)</f>
        <v>0.121654501216545</v>
      </c>
      <c r="F309">
        <f>VLOOKUP(B309,'Model allocations'!$A$1:$L$317,11,FALSE)</f>
        <v>56858.756506841994</v>
      </c>
      <c r="G309" s="30">
        <f t="shared" si="93"/>
        <v>0.85</v>
      </c>
      <c r="H309">
        <f t="shared" si="94"/>
        <v>49526.747016464578</v>
      </c>
      <c r="I309">
        <f t="shared" si="76"/>
        <v>0</v>
      </c>
      <c r="J309">
        <f t="shared" si="77"/>
        <v>56858.756506841994</v>
      </c>
      <c r="K309">
        <f t="shared" si="78"/>
        <v>56825.104921141887</v>
      </c>
      <c r="L309">
        <f t="shared" si="79"/>
        <v>56825.104921141887</v>
      </c>
      <c r="M309">
        <f t="shared" si="80"/>
        <v>0</v>
      </c>
      <c r="N309" s="29">
        <f t="shared" si="81"/>
        <v>56825.104921141887</v>
      </c>
      <c r="O309" s="29">
        <f t="shared" si="82"/>
        <v>56820.793306453925</v>
      </c>
      <c r="P309" s="29">
        <f t="shared" si="83"/>
        <v>56820.793306453925</v>
      </c>
      <c r="Q309">
        <f t="shared" si="84"/>
        <v>0</v>
      </c>
      <c r="R309" s="29">
        <f t="shared" si="85"/>
        <v>56820.793306453925</v>
      </c>
      <c r="S309" s="29">
        <f t="shared" si="86"/>
        <v>56820.793306453874</v>
      </c>
      <c r="T309" s="29">
        <f t="shared" si="87"/>
        <v>56820.793306453874</v>
      </c>
      <c r="U309">
        <f t="shared" si="88"/>
        <v>0</v>
      </c>
      <c r="V309" s="29">
        <f t="shared" si="89"/>
        <v>56820.793306453874</v>
      </c>
      <c r="W309" s="29">
        <f t="shared" si="90"/>
        <v>56820.793306453874</v>
      </c>
      <c r="X309" s="29">
        <f t="shared" si="91"/>
        <v>56820.793306453874</v>
      </c>
      <c r="Y309">
        <f t="shared" si="92"/>
        <v>0</v>
      </c>
    </row>
    <row r="310" spans="1:25" x14ac:dyDescent="0.25">
      <c r="A310" s="4" t="s">
        <v>1247</v>
      </c>
      <c r="B310" s="7" t="s">
        <v>639</v>
      </c>
      <c r="C310" s="2" t="s">
        <v>1248</v>
      </c>
      <c r="D310">
        <f>VLOOKUP(B310,'Model allocations'!$A$1:$L$317,6,FALSE)</f>
        <v>11879.630923423827</v>
      </c>
      <c r="E310" s="31">
        <f>VLOOKUP(B310,'Initial adjusted formula count'!$A$1:$P$317,12,FALSE)</f>
        <v>0.19047619047618999</v>
      </c>
      <c r="F310">
        <f>VLOOKUP(B310,'Model allocations'!$A$1:$L$317,11,FALSE)</f>
        <v>18094.19051255058</v>
      </c>
      <c r="G310" s="30">
        <f t="shared" si="93"/>
        <v>0.9</v>
      </c>
      <c r="H310">
        <f t="shared" si="94"/>
        <v>10691.667831081444</v>
      </c>
      <c r="I310">
        <f t="shared" si="76"/>
        <v>0</v>
      </c>
      <c r="J310">
        <f t="shared" si="77"/>
        <v>18094.19051255058</v>
      </c>
      <c r="K310">
        <f t="shared" si="78"/>
        <v>18083.481551607441</v>
      </c>
      <c r="L310">
        <f t="shared" si="79"/>
        <v>18083.481551607441</v>
      </c>
      <c r="M310">
        <f t="shared" si="80"/>
        <v>0</v>
      </c>
      <c r="N310" s="29">
        <f t="shared" si="81"/>
        <v>18083.481551607441</v>
      </c>
      <c r="O310" s="29">
        <f t="shared" si="82"/>
        <v>18082.109464309484</v>
      </c>
      <c r="P310" s="29">
        <f t="shared" si="83"/>
        <v>18082.109464309484</v>
      </c>
      <c r="Q310">
        <f t="shared" si="84"/>
        <v>0</v>
      </c>
      <c r="R310" s="29">
        <f t="shared" si="85"/>
        <v>18082.109464309484</v>
      </c>
      <c r="S310" s="29">
        <f t="shared" si="86"/>
        <v>18082.109464309469</v>
      </c>
      <c r="T310" s="29">
        <f t="shared" si="87"/>
        <v>18082.109464309469</v>
      </c>
      <c r="U310">
        <f t="shared" si="88"/>
        <v>0</v>
      </c>
      <c r="V310" s="29">
        <f t="shared" si="89"/>
        <v>18082.109464309469</v>
      </c>
      <c r="W310" s="29">
        <f t="shared" si="90"/>
        <v>18082.109464309469</v>
      </c>
      <c r="X310" s="29">
        <f t="shared" si="91"/>
        <v>18082.109464309469</v>
      </c>
      <c r="Y310">
        <f t="shared" si="92"/>
        <v>0</v>
      </c>
    </row>
    <row r="311" spans="1:25" x14ac:dyDescent="0.25">
      <c r="A311" s="4" t="s">
        <v>1249</v>
      </c>
      <c r="B311" s="7" t="s">
        <v>641</v>
      </c>
      <c r="C311" s="2" t="s">
        <v>1250</v>
      </c>
      <c r="D311">
        <f>VLOOKUP(B311,'Model allocations'!$A$1:$L$317,6,FALSE)</f>
        <v>17037.865667298818</v>
      </c>
      <c r="E311" s="31">
        <f>VLOOKUP(B311,'Initial adjusted formula count'!$A$1:$P$317,12,FALSE)</f>
        <v>0.70454545454545403</v>
      </c>
      <c r="F311">
        <f>VLOOKUP(B311,'Model allocations'!$A$1:$L$317,11,FALSE)</f>
        <v>50598.777991708223</v>
      </c>
      <c r="G311" s="30">
        <f t="shared" si="93"/>
        <v>0.95</v>
      </c>
      <c r="H311">
        <f t="shared" si="94"/>
        <v>16185.972383933877</v>
      </c>
      <c r="I311">
        <f t="shared" si="76"/>
        <v>0</v>
      </c>
      <c r="J311">
        <f t="shared" si="77"/>
        <v>50598.777991708223</v>
      </c>
      <c r="K311">
        <f t="shared" si="78"/>
        <v>50568.831344638937</v>
      </c>
      <c r="L311">
        <f t="shared" si="79"/>
        <v>50568.831344638937</v>
      </c>
      <c r="M311">
        <f t="shared" si="80"/>
        <v>0</v>
      </c>
      <c r="N311" s="29">
        <f t="shared" si="81"/>
        <v>50568.831344638937</v>
      </c>
      <c r="O311" s="29">
        <f t="shared" si="82"/>
        <v>50564.994425793273</v>
      </c>
      <c r="P311" s="29">
        <f t="shared" si="83"/>
        <v>50564.994425793273</v>
      </c>
      <c r="Q311">
        <f t="shared" si="84"/>
        <v>0</v>
      </c>
      <c r="R311" s="29">
        <f t="shared" si="85"/>
        <v>50564.994425793273</v>
      </c>
      <c r="S311" s="29">
        <f t="shared" si="86"/>
        <v>50564.994425793237</v>
      </c>
      <c r="T311" s="29">
        <f t="shared" si="87"/>
        <v>50564.994425793237</v>
      </c>
      <c r="U311">
        <f t="shared" si="88"/>
        <v>0</v>
      </c>
      <c r="V311" s="29">
        <f t="shared" si="89"/>
        <v>50564.994425793237</v>
      </c>
      <c r="W311" s="29">
        <f t="shared" si="90"/>
        <v>50564.994425793237</v>
      </c>
      <c r="X311" s="29">
        <f t="shared" si="91"/>
        <v>50564.994425793237</v>
      </c>
      <c r="Y311">
        <f t="shared" si="92"/>
        <v>0</v>
      </c>
    </row>
    <row r="312" spans="1:25" x14ac:dyDescent="0.25">
      <c r="A312" s="4" t="s">
        <v>1251</v>
      </c>
      <c r="B312" s="7" t="s">
        <v>643</v>
      </c>
      <c r="C312" s="2" t="s">
        <v>1252</v>
      </c>
      <c r="D312">
        <f>VLOOKUP(B312,'Model allocations'!$A$1:$L$317,6,FALSE)</f>
        <v>139727.08752788982</v>
      </c>
      <c r="E312" s="31">
        <f>VLOOKUP(B312,'Initial adjusted formula count'!$A$1:$P$317,12,FALSE)</f>
        <v>9.9404318689501101E-2</v>
      </c>
      <c r="F312">
        <f>VLOOKUP(B312,'Model allocations'!$A$1:$L$317,11,FALSE)</f>
        <v>151812.87987326816</v>
      </c>
      <c r="G312" s="30">
        <f t="shared" si="93"/>
        <v>0.85</v>
      </c>
      <c r="H312">
        <f t="shared" si="94"/>
        <v>118768.02439870634</v>
      </c>
      <c r="I312">
        <f t="shared" si="76"/>
        <v>0</v>
      </c>
      <c r="J312">
        <f t="shared" si="77"/>
        <v>151812.87987326816</v>
      </c>
      <c r="K312">
        <f t="shared" si="78"/>
        <v>151723.03013944885</v>
      </c>
      <c r="L312">
        <f t="shared" si="79"/>
        <v>151723.03013944885</v>
      </c>
      <c r="M312">
        <f t="shared" si="80"/>
        <v>0</v>
      </c>
      <c r="N312" s="29">
        <f t="shared" si="81"/>
        <v>151723.03013944885</v>
      </c>
      <c r="O312" s="29">
        <f t="shared" si="82"/>
        <v>151711.51812823198</v>
      </c>
      <c r="P312" s="29">
        <f t="shared" si="83"/>
        <v>151711.51812823198</v>
      </c>
      <c r="Q312">
        <f t="shared" si="84"/>
        <v>0</v>
      </c>
      <c r="R312" s="29">
        <f t="shared" si="85"/>
        <v>151711.51812823198</v>
      </c>
      <c r="S312" s="29">
        <f t="shared" si="86"/>
        <v>151711.51812823187</v>
      </c>
      <c r="T312" s="29">
        <f t="shared" si="87"/>
        <v>151711.51812823187</v>
      </c>
      <c r="U312">
        <f t="shared" si="88"/>
        <v>0</v>
      </c>
      <c r="V312" s="29">
        <f t="shared" si="89"/>
        <v>151711.51812823187</v>
      </c>
      <c r="W312" s="29">
        <f t="shared" si="90"/>
        <v>151711.51812823187</v>
      </c>
      <c r="X312" s="29">
        <f t="shared" si="91"/>
        <v>151711.51812823187</v>
      </c>
      <c r="Y312">
        <f t="shared" si="92"/>
        <v>0</v>
      </c>
    </row>
    <row r="313" spans="1:25" x14ac:dyDescent="0.25">
      <c r="A313" s="4" t="s">
        <v>1253</v>
      </c>
      <c r="B313" s="7" t="s">
        <v>645</v>
      </c>
      <c r="C313" s="2" t="s">
        <v>1254</v>
      </c>
      <c r="D313">
        <f>VLOOKUP(B313,'Model allocations'!$A$1:$L$317,6,FALSE)</f>
        <v>4015032.403761934</v>
      </c>
      <c r="E313" s="31">
        <f>VLOOKUP(B313,'Initial adjusted formula count'!$A$1:$P$317,12,FALSE)</f>
        <v>0.269479929769329</v>
      </c>
      <c r="F313">
        <f>VLOOKUP(B313,'Model allocations'!$A$1:$L$317,11,FALSE)</f>
        <v>4222046.9644155521</v>
      </c>
      <c r="G313" s="30">
        <f t="shared" si="93"/>
        <v>0.9</v>
      </c>
      <c r="H313">
        <f t="shared" si="94"/>
        <v>3613529.1633857405</v>
      </c>
      <c r="I313">
        <f t="shared" si="76"/>
        <v>0</v>
      </c>
      <c r="J313">
        <f t="shared" si="77"/>
        <v>4222046.9644155521</v>
      </c>
      <c r="K313">
        <f t="shared" si="78"/>
        <v>4219548.1659193905</v>
      </c>
      <c r="L313">
        <f t="shared" si="79"/>
        <v>4219548.1659193905</v>
      </c>
      <c r="M313">
        <f t="shared" si="80"/>
        <v>0</v>
      </c>
      <c r="N313" s="29">
        <f t="shared" si="81"/>
        <v>4219548.1659193905</v>
      </c>
      <c r="O313" s="29">
        <f t="shared" si="82"/>
        <v>4219228.0069707362</v>
      </c>
      <c r="P313" s="29">
        <f t="shared" si="83"/>
        <v>4219228.0069707362</v>
      </c>
      <c r="Q313">
        <f t="shared" si="84"/>
        <v>0</v>
      </c>
      <c r="R313" s="29">
        <f t="shared" si="85"/>
        <v>4219228.0069707362</v>
      </c>
      <c r="S313" s="29">
        <f t="shared" si="86"/>
        <v>4219228.0069707325</v>
      </c>
      <c r="T313" s="29">
        <f t="shared" si="87"/>
        <v>4219228.0069707325</v>
      </c>
      <c r="U313">
        <f t="shared" si="88"/>
        <v>0</v>
      </c>
      <c r="V313" s="29">
        <f t="shared" si="89"/>
        <v>4219228.0069707325</v>
      </c>
      <c r="W313" s="29">
        <f t="shared" si="90"/>
        <v>4219228.0069707325</v>
      </c>
      <c r="X313" s="29">
        <f t="shared" si="91"/>
        <v>4219228.0069707325</v>
      </c>
      <c r="Y313">
        <f t="shared" si="92"/>
        <v>0</v>
      </c>
    </row>
    <row r="314" spans="1:25" x14ac:dyDescent="0.25">
      <c r="A314" s="4" t="s">
        <v>1255</v>
      </c>
      <c r="B314" s="7" t="s">
        <v>647</v>
      </c>
      <c r="C314" s="2" t="s">
        <v>1256</v>
      </c>
      <c r="D314">
        <f>VLOOKUP(B314,'Model allocations'!$A$1:$L$317,6,FALSE)</f>
        <v>353978.25141071988</v>
      </c>
      <c r="E314" s="31">
        <f>VLOOKUP(B314,'Initial adjusted formula count'!$A$1:$P$317,12,FALSE)</f>
        <v>8.2403302247362795E-2</v>
      </c>
      <c r="F314">
        <f>VLOOKUP(B314,'Model allocations'!$A$1:$L$317,11,FALSE)</f>
        <v>306468.69757187838</v>
      </c>
      <c r="G314" s="30">
        <f t="shared" si="93"/>
        <v>0.85</v>
      </c>
      <c r="H314">
        <f t="shared" si="94"/>
        <v>300881.51369911188</v>
      </c>
      <c r="I314">
        <f t="shared" si="76"/>
        <v>0</v>
      </c>
      <c r="J314">
        <f t="shared" si="77"/>
        <v>306468.69757187838</v>
      </c>
      <c r="K314">
        <f t="shared" si="78"/>
        <v>306287.31552495476</v>
      </c>
      <c r="L314">
        <f t="shared" si="79"/>
        <v>306287.31552495476</v>
      </c>
      <c r="M314">
        <f t="shared" si="80"/>
        <v>0</v>
      </c>
      <c r="N314" s="29">
        <f t="shared" si="81"/>
        <v>306287.31552495476</v>
      </c>
      <c r="O314" s="29">
        <f t="shared" si="82"/>
        <v>306264.0759217866</v>
      </c>
      <c r="P314" s="29">
        <f t="shared" si="83"/>
        <v>306264.0759217866</v>
      </c>
      <c r="Q314">
        <f t="shared" si="84"/>
        <v>0</v>
      </c>
      <c r="R314" s="29">
        <f t="shared" si="85"/>
        <v>306264.0759217866</v>
      </c>
      <c r="S314" s="29">
        <f t="shared" si="86"/>
        <v>306264.07592178637</v>
      </c>
      <c r="T314" s="29">
        <f t="shared" si="87"/>
        <v>306264.07592178637</v>
      </c>
      <c r="U314">
        <f t="shared" si="88"/>
        <v>0</v>
      </c>
      <c r="V314" s="29">
        <f t="shared" si="89"/>
        <v>306264.07592178637</v>
      </c>
      <c r="W314" s="29">
        <f t="shared" si="90"/>
        <v>306264.07592178637</v>
      </c>
      <c r="X314" s="29">
        <f t="shared" si="91"/>
        <v>306264.07592178637</v>
      </c>
      <c r="Y314">
        <f t="shared" si="92"/>
        <v>0</v>
      </c>
    </row>
    <row r="315" spans="1:25" x14ac:dyDescent="0.25">
      <c r="A315" s="4" t="s">
        <v>1257</v>
      </c>
      <c r="B315" s="7" t="s">
        <v>649</v>
      </c>
      <c r="C315" s="2" t="s">
        <v>1258</v>
      </c>
      <c r="D315">
        <f>VLOOKUP(B315,'Model allocations'!$A$1:$L$317,6,FALSE)</f>
        <v>79173.289002137608</v>
      </c>
      <c r="E315" s="31">
        <f>VLOOKUP(B315,'Initial adjusted formula count'!$A$1:$P$317,12,FALSE)</f>
        <v>0.13300083125519499</v>
      </c>
      <c r="F315">
        <f>VLOOKUP(B315,'Model allocations'!$A$1:$L$317,11,FALSE)</f>
        <v>90974.010410947201</v>
      </c>
      <c r="G315" s="30">
        <f t="shared" si="93"/>
        <v>0.85</v>
      </c>
      <c r="H315">
        <f t="shared" si="94"/>
        <v>67297.295651816967</v>
      </c>
      <c r="I315">
        <f t="shared" si="76"/>
        <v>0</v>
      </c>
      <c r="J315">
        <f t="shared" si="77"/>
        <v>90974.010410947201</v>
      </c>
      <c r="K315">
        <f t="shared" si="78"/>
        <v>90920.167873827028</v>
      </c>
      <c r="L315">
        <f t="shared" si="79"/>
        <v>90920.167873827028</v>
      </c>
      <c r="M315">
        <f t="shared" si="80"/>
        <v>0</v>
      </c>
      <c r="N315" s="29">
        <f t="shared" si="81"/>
        <v>90920.167873827028</v>
      </c>
      <c r="O315" s="29">
        <f t="shared" si="82"/>
        <v>90913.269290326294</v>
      </c>
      <c r="P315" s="29">
        <f t="shared" si="83"/>
        <v>90913.269290326294</v>
      </c>
      <c r="Q315">
        <f t="shared" si="84"/>
        <v>0</v>
      </c>
      <c r="R315" s="29">
        <f t="shared" si="85"/>
        <v>90913.269290326294</v>
      </c>
      <c r="S315" s="29">
        <f t="shared" si="86"/>
        <v>90913.269290326221</v>
      </c>
      <c r="T315" s="29">
        <f t="shared" si="87"/>
        <v>90913.269290326221</v>
      </c>
      <c r="U315">
        <f t="shared" si="88"/>
        <v>0</v>
      </c>
      <c r="V315" s="29">
        <f t="shared" si="89"/>
        <v>90913.269290326221</v>
      </c>
      <c r="W315" s="29">
        <f t="shared" si="90"/>
        <v>90913.269290326221</v>
      </c>
      <c r="X315" s="29">
        <f t="shared" si="91"/>
        <v>90913.269290326221</v>
      </c>
      <c r="Y315">
        <f t="shared" si="92"/>
        <v>0</v>
      </c>
    </row>
    <row r="316" spans="1:25" x14ac:dyDescent="0.25">
      <c r="A316" s="1"/>
      <c r="B316" s="7" t="s">
        <v>651</v>
      </c>
      <c r="C316" s="2" t="s">
        <v>652</v>
      </c>
      <c r="D316">
        <f>VLOOKUP(B316,'Model allocations'!$A$1:$L$317,6,FALSE)</f>
        <v>548377.30802943988</v>
      </c>
      <c r="E316" s="31">
        <f>VLOOKUP(B316,'Initial adjusted formula count'!$A$1:$P$317,12,FALSE)</f>
        <v>1</v>
      </c>
      <c r="F316">
        <f>VLOOKUP(B316,'Model allocations'!$A$1:$L$317,11,FALSE)</f>
        <v>520958.44262796786</v>
      </c>
      <c r="G316" s="30">
        <f t="shared" si="93"/>
        <v>0.95</v>
      </c>
      <c r="H316">
        <f t="shared" si="94"/>
        <v>520958.44262796786</v>
      </c>
      <c r="I316">
        <f t="shared" si="76"/>
        <v>0</v>
      </c>
      <c r="J316">
        <f t="shared" si="77"/>
        <v>520958.44262796786</v>
      </c>
      <c r="K316">
        <f t="shared" si="78"/>
        <v>520650.11584146519</v>
      </c>
      <c r="L316">
        <f t="shared" si="79"/>
        <v>520650.11584146519</v>
      </c>
      <c r="M316">
        <f t="shared" si="80"/>
        <v>520958.44262796786</v>
      </c>
      <c r="N316" s="29">
        <f t="shared" si="81"/>
        <v>0</v>
      </c>
      <c r="O316" s="29">
        <f t="shared" si="82"/>
        <v>0</v>
      </c>
      <c r="P316" s="29">
        <f t="shared" si="83"/>
        <v>520958.44262796786</v>
      </c>
      <c r="Q316">
        <f t="shared" si="84"/>
        <v>0</v>
      </c>
      <c r="R316" s="29">
        <f t="shared" si="85"/>
        <v>0</v>
      </c>
      <c r="S316" s="29">
        <f t="shared" si="86"/>
        <v>0</v>
      </c>
      <c r="T316" s="29">
        <f t="shared" si="87"/>
        <v>520958.44262796786</v>
      </c>
      <c r="U316">
        <f t="shared" si="88"/>
        <v>0</v>
      </c>
      <c r="V316" s="29">
        <f t="shared" si="89"/>
        <v>0</v>
      </c>
      <c r="W316" s="29">
        <f t="shared" si="90"/>
        <v>0</v>
      </c>
      <c r="X316" s="29">
        <f t="shared" si="91"/>
        <v>520958.44262796786</v>
      </c>
      <c r="Y316">
        <f t="shared" si="92"/>
        <v>0</v>
      </c>
    </row>
    <row r="317" spans="1:25" x14ac:dyDescent="0.25">
      <c r="A317" t="s">
        <v>1428</v>
      </c>
      <c r="B317" t="s">
        <v>1420</v>
      </c>
      <c r="C317" t="s">
        <v>1421</v>
      </c>
      <c r="D317">
        <f>VLOOKUP(B317,'Model allocations'!$A$1:$L$317,6,FALSE)</f>
        <v>47817.022432642545</v>
      </c>
      <c r="E317" s="31">
        <f>VLOOKUP(B317,'Initial adjusted formula count'!$A$1:$P$317,12,FALSE)</f>
        <v>0.176337460229611</v>
      </c>
      <c r="F317">
        <f>VLOOKUP(B317,'Model allocations'!$A$1:$L$317,11,FALSE)</f>
        <v>48660.520494962759</v>
      </c>
      <c r="G317" s="30">
        <f t="shared" ref="G317:G318" si="95">IF(E317&lt;0.15,0.85,IF(AND(E317&gt;=0.15,E317&lt;0.3),0.9,0.95))</f>
        <v>0.9</v>
      </c>
      <c r="H317">
        <f t="shared" ref="H317:H318" si="96">IF(F317 = 0, 0, D317*G317)</f>
        <v>43035.32018937829</v>
      </c>
      <c r="I317">
        <f t="shared" ref="I317:I318" si="97">IF(F317&lt;H317,H317,0)</f>
        <v>0</v>
      </c>
      <c r="J317">
        <f t="shared" ref="J317:J318" si="98">IF(I317=0,F317,0)</f>
        <v>48660.520494962759</v>
      </c>
      <c r="K317">
        <f t="shared" ref="K317:K318" si="99">(J317/$J$3)*($F$3-$I$3)</f>
        <v>48631.720996411445</v>
      </c>
      <c r="L317">
        <f t="shared" ref="L317:L318" si="100">I317+K317</f>
        <v>48631.720996411445</v>
      </c>
      <c r="M317">
        <f t="shared" ref="M317:M318" si="101">IF(L317&lt;H317,H317,0)</f>
        <v>0</v>
      </c>
      <c r="N317" s="29">
        <f t="shared" ref="N317:N318" si="102">IF($I317+$M317=0,L317,0)</f>
        <v>48631.720996411445</v>
      </c>
      <c r="O317" s="29">
        <f t="shared" ref="O317:O318" si="103">((N317/$N$3)*($F$3-$I$3-$M$3))</f>
        <v>48628.031056149302</v>
      </c>
      <c r="P317" s="29">
        <f t="shared" ref="P317:P318" si="104">$I317+$M317+O317</f>
        <v>48628.031056149302</v>
      </c>
      <c r="Q317">
        <f t="shared" ref="Q317:Q318" si="105">IF(P317&lt;H317,H317,0)</f>
        <v>0</v>
      </c>
      <c r="R317" s="29">
        <f t="shared" ref="R317:R318" si="106">IF($I317+$M317+$Q317=0,P317,0)</f>
        <v>48628.031056149302</v>
      </c>
      <c r="S317" s="29">
        <f t="shared" ref="S317:S318" si="107">((R317/$R$3)*($F$3-$I$3-$M$3-$Q$3))</f>
        <v>48628.031056149266</v>
      </c>
      <c r="T317" s="29">
        <f t="shared" ref="T317:T318" si="108">$I317+$M317+$Q317+S317</f>
        <v>48628.031056149266</v>
      </c>
      <c r="U317">
        <f t="shared" ref="U317:U318" si="109">IF(T317&lt;H317,H317,0)</f>
        <v>0</v>
      </c>
      <c r="V317" s="29">
        <f t="shared" ref="V317:V318" si="110">IF($I317+$M317+$Q317+U317=0,T317,0)</f>
        <v>48628.031056149266</v>
      </c>
      <c r="W317" s="29">
        <f t="shared" ref="W317:W318" si="111">((V317/$V$3)*($F$3-$I$3-$M$3-$Q$3-$U$3))</f>
        <v>48628.031056149266</v>
      </c>
      <c r="X317" s="29">
        <f t="shared" ref="X317:X318" si="112">$I317+$M317+$Q317+$U317+W317</f>
        <v>48628.031056149266</v>
      </c>
      <c r="Y317">
        <f t="shared" ref="Y317:Y318" si="113">IF(X317&lt;H317,H317,0)</f>
        <v>0</v>
      </c>
    </row>
    <row r="318" spans="1:25" x14ac:dyDescent="0.25">
      <c r="A318" t="s">
        <v>1429</v>
      </c>
      <c r="B318" t="s">
        <v>1422</v>
      </c>
      <c r="C318" t="s">
        <v>1423</v>
      </c>
      <c r="D318">
        <f>VLOOKUP(B318,'Model allocations'!$A$1:$L$317,6,FALSE)</f>
        <v>14413.944843656911</v>
      </c>
      <c r="E318" s="31">
        <f>VLOOKUP(B318,'Initial adjusted formula count'!$A$1:$P$317,12,FALSE)</f>
        <v>0.14073738079446399</v>
      </c>
      <c r="F318">
        <f>VLOOKUP(B318,'Model allocations'!$A$1:$L$317,11,FALSE)</f>
        <v>13849.861206132873</v>
      </c>
      <c r="G318" s="30">
        <f t="shared" si="95"/>
        <v>0.85</v>
      </c>
      <c r="H318">
        <f t="shared" si="96"/>
        <v>12251.853117108374</v>
      </c>
      <c r="I318">
        <f t="shared" si="97"/>
        <v>0</v>
      </c>
      <c r="J318">
        <f t="shared" si="98"/>
        <v>13849.861206132873</v>
      </c>
      <c r="K318">
        <f t="shared" si="99"/>
        <v>13841.664231384457</v>
      </c>
      <c r="L318">
        <f t="shared" si="100"/>
        <v>13841.664231384457</v>
      </c>
      <c r="M318">
        <f t="shared" si="101"/>
        <v>0</v>
      </c>
      <c r="N318" s="29">
        <f t="shared" si="102"/>
        <v>13841.664231384457</v>
      </c>
      <c r="O318" s="29">
        <f t="shared" si="103"/>
        <v>13840.613992711096</v>
      </c>
      <c r="P318" s="29">
        <f t="shared" si="104"/>
        <v>13840.613992711096</v>
      </c>
      <c r="Q318">
        <f t="shared" si="105"/>
        <v>0</v>
      </c>
      <c r="R318" s="29">
        <f t="shared" si="106"/>
        <v>13840.613992711096</v>
      </c>
      <c r="S318" s="29">
        <f t="shared" si="107"/>
        <v>13840.613992711083</v>
      </c>
      <c r="T318" s="29">
        <f t="shared" si="108"/>
        <v>13840.613992711083</v>
      </c>
      <c r="U318">
        <f t="shared" si="109"/>
        <v>0</v>
      </c>
      <c r="V318" s="29">
        <f t="shared" si="110"/>
        <v>13840.613992711083</v>
      </c>
      <c r="W318" s="29">
        <f t="shared" si="111"/>
        <v>13840.613992711083</v>
      </c>
      <c r="X318" s="29">
        <f t="shared" si="112"/>
        <v>13840.613992711083</v>
      </c>
      <c r="Y318">
        <f t="shared" si="113"/>
        <v>0</v>
      </c>
    </row>
  </sheetData>
  <sheetProtection algorithmName="SHA-512" hashValue="jGIFjbIqq/PVOGpghCKCsGQ4ztyXsc8mpermlwXHjcdywHBm4OUCe6lk8XO+D40kT99PUSEUVRwXpwwgvPtVhg==" saltValue="wWV0oSxq4Wuuotdrz7yqHA==" spinCount="100000" sheet="1" objects="1" scenarios="1"/>
  <autoFilter ref="A3:Y318" xr:uid="{B34A506B-0783-4864-A67B-A0D4F556461E}"/>
  <conditionalFormatting sqref="B1:B316">
    <cfRule type="duplicateValues" dxfId="0" priority="14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AAFD0-3ECD-4CC2-8DF5-17977764E11A}">
  <sheetPr>
    <tabColor rgb="FFFF0000"/>
  </sheetPr>
  <dimension ref="A1:L316"/>
  <sheetViews>
    <sheetView workbookViewId="0">
      <selection activeCell="J4" sqref="J4"/>
    </sheetView>
  </sheetViews>
  <sheetFormatPr defaultRowHeight="15" x14ac:dyDescent="0.25"/>
  <cols>
    <col min="1" max="1" width="8.28515625" bestFit="1" customWidth="1"/>
    <col min="2" max="2" width="47.5703125" bestFit="1" customWidth="1"/>
    <col min="3" max="3" width="26.5703125" bestFit="1" customWidth="1"/>
    <col min="4" max="4" width="25.7109375" bestFit="1" customWidth="1"/>
    <col min="5" max="5" width="29.42578125" bestFit="1" customWidth="1"/>
    <col min="6" max="6" width="25.42578125" bestFit="1" customWidth="1"/>
    <col min="7" max="7" width="25.85546875" bestFit="1" customWidth="1"/>
    <col min="8" max="8" width="17.28515625" bestFit="1" customWidth="1"/>
    <col min="9" max="9" width="17.7109375" bestFit="1" customWidth="1"/>
    <col min="10" max="10" width="20.85546875" bestFit="1" customWidth="1"/>
    <col min="11" max="11" width="16.85546875" bestFit="1" customWidth="1"/>
    <col min="12" max="12" width="22.85546875" bestFit="1" customWidth="1"/>
    <col min="13" max="13" width="16.85546875" bestFit="1" customWidth="1"/>
    <col min="14" max="16" width="22.85546875" customWidth="1"/>
    <col min="17" max="17" width="47.5703125" bestFit="1" customWidth="1"/>
  </cols>
  <sheetData>
    <row r="1" spans="1:12" x14ac:dyDescent="0.25">
      <c r="A1" t="s">
        <v>4</v>
      </c>
      <c r="B1" t="s">
        <v>1278</v>
      </c>
      <c r="C1" t="s">
        <v>1335</v>
      </c>
      <c r="D1" t="s">
        <v>1336</v>
      </c>
      <c r="E1" t="s">
        <v>1337</v>
      </c>
      <c r="F1" t="s">
        <v>1338</v>
      </c>
      <c r="G1" t="s">
        <v>1356</v>
      </c>
      <c r="H1" t="s">
        <v>84</v>
      </c>
      <c r="I1" t="s">
        <v>85</v>
      </c>
      <c r="J1" t="s">
        <v>86</v>
      </c>
      <c r="K1" t="s">
        <v>87</v>
      </c>
      <c r="L1" t="s">
        <v>1339</v>
      </c>
    </row>
    <row r="2" spans="1:12" x14ac:dyDescent="0.25">
      <c r="A2" t="s">
        <v>309</v>
      </c>
      <c r="B2" t="s">
        <v>1382</v>
      </c>
      <c r="C2">
        <v>705487.43750839541</v>
      </c>
      <c r="D2">
        <v>185884.31275661089</v>
      </c>
      <c r="E2">
        <v>436283.3428980321</v>
      </c>
      <c r="F2">
        <v>599679.32829525613</v>
      </c>
      <c r="G2">
        <v>1927334.4214582946</v>
      </c>
      <c r="H2">
        <v>634755.13241215039</v>
      </c>
      <c r="I2">
        <v>167247.51609168094</v>
      </c>
      <c r="J2">
        <v>392541.4916933378</v>
      </c>
      <c r="K2">
        <v>539555.3644176051</v>
      </c>
      <c r="L2">
        <v>1734099.5046147741</v>
      </c>
    </row>
    <row r="3" spans="1:12" x14ac:dyDescent="0.25">
      <c r="A3" t="s">
        <v>260</v>
      </c>
      <c r="B3" t="s">
        <v>261</v>
      </c>
      <c r="C3">
        <v>32693.320274779297</v>
      </c>
      <c r="D3">
        <v>0</v>
      </c>
      <c r="E3">
        <v>15639.281750893295</v>
      </c>
      <c r="F3">
        <v>21496.475004290744</v>
      </c>
      <c r="G3">
        <v>69829.07702996333</v>
      </c>
      <c r="H3">
        <v>59972.287124754082</v>
      </c>
      <c r="I3">
        <v>0</v>
      </c>
      <c r="J3">
        <v>28934.392221265662</v>
      </c>
      <c r="K3">
        <v>39232.541989720979</v>
      </c>
      <c r="L3">
        <v>128139.22133574073</v>
      </c>
    </row>
    <row r="4" spans="1:12" x14ac:dyDescent="0.25">
      <c r="A4" t="s">
        <v>262</v>
      </c>
      <c r="B4" t="s">
        <v>263</v>
      </c>
      <c r="C4">
        <v>0</v>
      </c>
      <c r="D4">
        <v>0</v>
      </c>
      <c r="E4">
        <v>0</v>
      </c>
      <c r="F4">
        <v>0</v>
      </c>
      <c r="G4">
        <v>0</v>
      </c>
      <c r="H4">
        <v>15644.944467327152</v>
      </c>
      <c r="I4">
        <v>4211.8836289513656</v>
      </c>
      <c r="J4">
        <v>8358.2023999338198</v>
      </c>
      <c r="K4">
        <v>11333.002058808988</v>
      </c>
      <c r="L4">
        <v>39548.032555021324</v>
      </c>
    </row>
    <row r="5" spans="1:12" x14ac:dyDescent="0.25">
      <c r="A5" t="s">
        <v>89</v>
      </c>
      <c r="B5" t="s">
        <v>90</v>
      </c>
      <c r="C5">
        <v>229713.59245700185</v>
      </c>
      <c r="D5">
        <v>0</v>
      </c>
      <c r="E5">
        <v>109886.53230232923</v>
      </c>
      <c r="F5">
        <v>151041.02174067439</v>
      </c>
      <c r="G5">
        <v>490641.1465000055</v>
      </c>
      <c r="H5">
        <v>202515.11449373481</v>
      </c>
      <c r="I5">
        <v>0</v>
      </c>
      <c r="J5">
        <v>97705.991123984073</v>
      </c>
      <c r="K5">
        <v>132480.90266094188</v>
      </c>
      <c r="L5">
        <v>432702.00827866077</v>
      </c>
    </row>
    <row r="6" spans="1:12" x14ac:dyDescent="0.25">
      <c r="A6" t="s">
        <v>91</v>
      </c>
      <c r="B6" t="s">
        <v>92</v>
      </c>
      <c r="C6">
        <v>484377.35038686154</v>
      </c>
      <c r="D6">
        <v>0</v>
      </c>
      <c r="E6">
        <v>231708.3059408665</v>
      </c>
      <c r="F6">
        <v>318487.24808988639</v>
      </c>
      <c r="G6">
        <v>1034572.9044176145</v>
      </c>
      <c r="H6">
        <v>471955.82476436911</v>
      </c>
      <c r="I6">
        <v>0</v>
      </c>
      <c r="J6">
        <v>227701.08661082972</v>
      </c>
      <c r="K6">
        <v>308743.04783215199</v>
      </c>
      <c r="L6">
        <v>1008399.9592073509</v>
      </c>
    </row>
    <row r="7" spans="1:12" x14ac:dyDescent="0.25">
      <c r="A7" t="s">
        <v>310</v>
      </c>
      <c r="B7" t="s">
        <v>311</v>
      </c>
      <c r="C7">
        <v>43950.743131969139</v>
      </c>
      <c r="D7">
        <v>0</v>
      </c>
      <c r="E7">
        <v>21364.210085989966</v>
      </c>
      <c r="F7">
        <v>29459.828465911669</v>
      </c>
      <c r="G7">
        <v>94774.781683870766</v>
      </c>
      <c r="H7">
        <v>37227.280062656522</v>
      </c>
      <c r="I7">
        <v>0</v>
      </c>
      <c r="J7">
        <v>18095.972343413392</v>
      </c>
      <c r="K7">
        <v>24953.145424760383</v>
      </c>
      <c r="L7">
        <v>80276.397830830305</v>
      </c>
    </row>
    <row r="8" spans="1:12" x14ac:dyDescent="0.25">
      <c r="A8" t="s">
        <v>312</v>
      </c>
      <c r="B8" t="s">
        <v>313</v>
      </c>
      <c r="C8">
        <v>2598258.6113114059</v>
      </c>
      <c r="D8">
        <v>684598.32259142061</v>
      </c>
      <c r="E8">
        <v>1878154.2702684619</v>
      </c>
      <c r="F8">
        <v>2581556.9390021251</v>
      </c>
      <c r="G8">
        <v>7742568.1431734134</v>
      </c>
      <c r="H8">
        <v>2442349.6640660716</v>
      </c>
      <c r="I8">
        <v>657521.83318629628</v>
      </c>
      <c r="J8">
        <v>1737531.2198378881</v>
      </c>
      <c r="K8">
        <v>2355942.5758609972</v>
      </c>
      <c r="L8">
        <v>7193345.2929512542</v>
      </c>
    </row>
    <row r="9" spans="1:12" x14ac:dyDescent="0.25">
      <c r="A9" t="s">
        <v>93</v>
      </c>
      <c r="B9" t="s">
        <v>94</v>
      </c>
      <c r="C9">
        <v>122169.77576364891</v>
      </c>
      <c r="D9">
        <v>0</v>
      </c>
      <c r="E9">
        <v>0</v>
      </c>
      <c r="F9">
        <v>0</v>
      </c>
      <c r="G9">
        <v>122169.77576364891</v>
      </c>
      <c r="H9">
        <v>130374.53722772626</v>
      </c>
      <c r="I9">
        <v>0</v>
      </c>
      <c r="J9">
        <v>0</v>
      </c>
      <c r="K9">
        <v>0</v>
      </c>
      <c r="L9">
        <v>130374.53722772626</v>
      </c>
    </row>
    <row r="10" spans="1:12" x14ac:dyDescent="0.25">
      <c r="A10" t="s">
        <v>95</v>
      </c>
      <c r="B10" t="s">
        <v>96</v>
      </c>
      <c r="C10">
        <v>774631.84770095581</v>
      </c>
      <c r="D10">
        <v>0</v>
      </c>
      <c r="E10">
        <v>449482.95126227324</v>
      </c>
      <c r="F10">
        <v>619807.17233359464</v>
      </c>
      <c r="G10">
        <v>1843921.9712968238</v>
      </c>
      <c r="H10">
        <v>782247.22336635739</v>
      </c>
      <c r="I10">
        <v>0</v>
      </c>
      <c r="J10">
        <v>421226.04327915015</v>
      </c>
      <c r="K10">
        <v>571146.20911122789</v>
      </c>
      <c r="L10">
        <v>1774619.4757567353</v>
      </c>
    </row>
    <row r="11" spans="1:12" x14ac:dyDescent="0.25">
      <c r="A11" t="s">
        <v>97</v>
      </c>
      <c r="B11" t="s">
        <v>98</v>
      </c>
      <c r="C11">
        <v>1159752.519221118</v>
      </c>
      <c r="D11">
        <v>0</v>
      </c>
      <c r="E11">
        <v>690331.03840355063</v>
      </c>
      <c r="F11">
        <v>951920.70730477036</v>
      </c>
      <c r="G11">
        <v>2802004.2649294389</v>
      </c>
      <c r="H11">
        <v>1272455.4833426082</v>
      </c>
      <c r="I11">
        <v>0</v>
      </c>
      <c r="J11">
        <v>775986.85225292901</v>
      </c>
      <c r="K11">
        <v>1052171.2891591112</v>
      </c>
      <c r="L11">
        <v>3100613.6247546487</v>
      </c>
    </row>
    <row r="12" spans="1:12" x14ac:dyDescent="0.25">
      <c r="A12" t="s">
        <v>56</v>
      </c>
      <c r="B12" t="s">
        <v>1384</v>
      </c>
      <c r="C12">
        <v>1235715.3716398529</v>
      </c>
      <c r="D12">
        <v>0</v>
      </c>
      <c r="E12">
        <v>786352.3782197634</v>
      </c>
      <c r="F12">
        <v>1084327.7651209484</v>
      </c>
      <c r="G12">
        <v>3106395.5149805648</v>
      </c>
      <c r="H12">
        <v>1163579.7736674501</v>
      </c>
      <c r="I12">
        <v>0</v>
      </c>
      <c r="J12">
        <v>698083.11202344857</v>
      </c>
      <c r="K12">
        <v>946540.53195028671</v>
      </c>
      <c r="L12">
        <v>2808203.4176411852</v>
      </c>
    </row>
    <row r="13" spans="1:12" x14ac:dyDescent="0.25">
      <c r="A13" t="s">
        <v>99</v>
      </c>
      <c r="B13" t="s">
        <v>100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</row>
    <row r="14" spans="1:12" x14ac:dyDescent="0.25">
      <c r="A14" t="s">
        <v>264</v>
      </c>
      <c r="B14" t="s">
        <v>265</v>
      </c>
      <c r="C14">
        <v>1977085.5260905998</v>
      </c>
      <c r="D14">
        <v>0</v>
      </c>
      <c r="E14">
        <v>1283861.563734517</v>
      </c>
      <c r="F14">
        <v>1764690.8888390777</v>
      </c>
      <c r="G14">
        <v>5025637.9786641952</v>
      </c>
      <c r="H14">
        <v>2180731.4260291015</v>
      </c>
      <c r="I14">
        <v>0</v>
      </c>
      <c r="J14">
        <v>1485089.1311827875</v>
      </c>
      <c r="K14">
        <v>2013652.8616898095</v>
      </c>
      <c r="L14">
        <v>5679473.4189016987</v>
      </c>
    </row>
    <row r="15" spans="1:12" x14ac:dyDescent="0.25">
      <c r="A15" t="s">
        <v>314</v>
      </c>
      <c r="B15" t="s">
        <v>315</v>
      </c>
      <c r="C15">
        <v>10906.893975764393</v>
      </c>
      <c r="D15">
        <v>2856.5758939464172</v>
      </c>
      <c r="E15">
        <v>6015.3466569807933</v>
      </c>
      <c r="F15">
        <v>8294.7639984994967</v>
      </c>
      <c r="G15">
        <v>28073.580525191101</v>
      </c>
      <c r="H15">
        <v>0</v>
      </c>
      <c r="I15">
        <v>2428.0895098544547</v>
      </c>
      <c r="J15">
        <v>0</v>
      </c>
      <c r="K15">
        <v>0</v>
      </c>
      <c r="L15">
        <v>2428.0895098544547</v>
      </c>
    </row>
    <row r="16" spans="1:12" x14ac:dyDescent="0.25">
      <c r="A16" t="s">
        <v>316</v>
      </c>
      <c r="B16" t="s">
        <v>317</v>
      </c>
      <c r="C16">
        <v>267138.11059899989</v>
      </c>
      <c r="D16">
        <v>69964.94958025057</v>
      </c>
      <c r="E16">
        <v>129854.33942890776</v>
      </c>
      <c r="F16">
        <v>179060.51989436932</v>
      </c>
      <c r="G16">
        <v>646017.91950252745</v>
      </c>
      <c r="H16">
        <v>266833.21952607972</v>
      </c>
      <c r="I16">
        <v>59470.207143212981</v>
      </c>
      <c r="J16">
        <v>128737.07843374724</v>
      </c>
      <c r="K16">
        <v>174556.38247600492</v>
      </c>
      <c r="L16">
        <v>629596.88757904479</v>
      </c>
    </row>
    <row r="17" spans="1:12" x14ac:dyDescent="0.25">
      <c r="A17" t="s">
        <v>318</v>
      </c>
      <c r="B17" t="s">
        <v>319</v>
      </c>
      <c r="C17">
        <v>24089.814939311054</v>
      </c>
      <c r="D17">
        <v>3831.1206422324799</v>
      </c>
      <c r="E17">
        <v>11523.681290131903</v>
      </c>
      <c r="F17">
        <v>15839.507897898438</v>
      </c>
      <c r="G17">
        <v>55284.124769573871</v>
      </c>
      <c r="H17">
        <v>20859.925956436204</v>
      </c>
      <c r="I17">
        <v>3256.4525458976077</v>
      </c>
      <c r="J17">
        <v>10064.136424788057</v>
      </c>
      <c r="K17">
        <v>13646.101561642079</v>
      </c>
      <c r="L17">
        <v>47826.616488763946</v>
      </c>
    </row>
    <row r="18" spans="1:12" x14ac:dyDescent="0.25">
      <c r="A18" t="s">
        <v>55</v>
      </c>
      <c r="B18" t="s">
        <v>9</v>
      </c>
      <c r="C18">
        <v>819124.2124931392</v>
      </c>
      <c r="D18">
        <v>215825.73013537956</v>
      </c>
      <c r="E18">
        <v>458083.68394561857</v>
      </c>
      <c r="F18">
        <v>629644.29048974381</v>
      </c>
      <c r="G18">
        <v>2122677.9170638812</v>
      </c>
      <c r="H18">
        <v>732185.23724915972</v>
      </c>
      <c r="I18">
        <v>192891.27822255064</v>
      </c>
      <c r="J18">
        <v>409461.0537102886</v>
      </c>
      <c r="K18">
        <v>562811.60775244737</v>
      </c>
      <c r="L18">
        <v>1897349.1769344462</v>
      </c>
    </row>
    <row r="19" spans="1:12" x14ac:dyDescent="0.25">
      <c r="A19" t="s">
        <v>320</v>
      </c>
      <c r="B19" t="s">
        <v>321</v>
      </c>
      <c r="C19">
        <v>208567.25116782496</v>
      </c>
      <c r="D19">
        <v>54229.157445164499</v>
      </c>
      <c r="E19">
        <v>136576.44027378573</v>
      </c>
      <c r="F19">
        <v>184971.87213735111</v>
      </c>
      <c r="G19">
        <v>584344.72102412628</v>
      </c>
      <c r="H19">
        <v>210337.58672739839</v>
      </c>
      <c r="I19">
        <v>56626.435455901687</v>
      </c>
      <c r="J19">
        <v>141208.81837823064</v>
      </c>
      <c r="K19">
        <v>191466.98689841991</v>
      </c>
      <c r="L19">
        <v>599639.82745995058</v>
      </c>
    </row>
    <row r="20" spans="1:12" x14ac:dyDescent="0.25">
      <c r="A20" t="s">
        <v>322</v>
      </c>
      <c r="B20" t="s">
        <v>323</v>
      </c>
      <c r="C20">
        <v>152217.50260669328</v>
      </c>
      <c r="D20">
        <v>39577.771047698981</v>
      </c>
      <c r="E20">
        <v>110322.09072156889</v>
      </c>
      <c r="F20">
        <v>152126.84464236131</v>
      </c>
      <c r="G20">
        <v>454244.20901832241</v>
      </c>
      <c r="H20">
        <v>136995.75234602395</v>
      </c>
      <c r="I20">
        <v>36268.997915970096</v>
      </c>
      <c r="J20">
        <v>99289.881649412011</v>
      </c>
      <c r="K20">
        <v>136914.16017812517</v>
      </c>
      <c r="L20">
        <v>409468.7920895312</v>
      </c>
    </row>
    <row r="21" spans="1:12" x14ac:dyDescent="0.25">
      <c r="A21" t="s">
        <v>324</v>
      </c>
      <c r="B21" t="s">
        <v>325</v>
      </c>
      <c r="C21">
        <v>23268.04048163072</v>
      </c>
      <c r="D21">
        <v>6120.5810297908465</v>
      </c>
      <c r="E21">
        <v>16486.539034044137</v>
      </c>
      <c r="F21">
        <v>22733.843656499121</v>
      </c>
      <c r="G21">
        <v>68609.004201964824</v>
      </c>
      <c r="H21">
        <v>22598.253119472552</v>
      </c>
      <c r="I21">
        <v>6083.8319084853065</v>
      </c>
      <c r="J21">
        <v>14837.885130639725</v>
      </c>
      <c r="K21">
        <v>20460.459290849209</v>
      </c>
      <c r="L21">
        <v>63980.42944944679</v>
      </c>
    </row>
    <row r="22" spans="1:12" x14ac:dyDescent="0.25">
      <c r="A22" t="s">
        <v>326</v>
      </c>
      <c r="B22" t="s">
        <v>327</v>
      </c>
      <c r="C22">
        <v>383870.28646256687</v>
      </c>
      <c r="D22">
        <v>97495.414964399009</v>
      </c>
      <c r="E22">
        <v>172892.90837407191</v>
      </c>
      <c r="F22">
        <v>232916.76880861406</v>
      </c>
      <c r="G22">
        <v>887175.37860965193</v>
      </c>
      <c r="H22">
        <v>348534.5961887883</v>
      </c>
      <c r="I22">
        <v>82871.102719739152</v>
      </c>
      <c r="J22">
        <v>168154.94609750045</v>
      </c>
      <c r="K22">
        <v>228003.61359243642</v>
      </c>
      <c r="L22">
        <v>827564.25859846431</v>
      </c>
    </row>
    <row r="23" spans="1:12" x14ac:dyDescent="0.25">
      <c r="A23" t="s">
        <v>101</v>
      </c>
      <c r="B23" t="s">
        <v>102</v>
      </c>
      <c r="C23">
        <v>226621.01927421574</v>
      </c>
      <c r="D23">
        <v>0</v>
      </c>
      <c r="E23">
        <v>0</v>
      </c>
      <c r="F23">
        <v>0</v>
      </c>
      <c r="G23">
        <v>226621.01927421574</v>
      </c>
      <c r="H23">
        <v>235543.33059142547</v>
      </c>
      <c r="I23">
        <v>0</v>
      </c>
      <c r="J23">
        <v>0</v>
      </c>
      <c r="K23">
        <v>0</v>
      </c>
      <c r="L23">
        <v>235543.33059142547</v>
      </c>
    </row>
    <row r="24" spans="1:12" x14ac:dyDescent="0.25">
      <c r="A24" t="s">
        <v>328</v>
      </c>
      <c r="B24" t="s">
        <v>329</v>
      </c>
      <c r="C24">
        <v>96359.259757244217</v>
      </c>
      <c r="D24">
        <v>25389.076864317609</v>
      </c>
      <c r="E24">
        <v>59789.207769652916</v>
      </c>
      <c r="F24">
        <v>82445.351263503588</v>
      </c>
      <c r="G24">
        <v>263982.89565471833</v>
      </c>
      <c r="H24">
        <v>86723.333781519803</v>
      </c>
      <c r="I24">
        <v>22850.169177885848</v>
      </c>
      <c r="J24">
        <v>53810.286992687623</v>
      </c>
      <c r="K24">
        <v>74200.816137153233</v>
      </c>
      <c r="L24">
        <v>237584.60608924652</v>
      </c>
    </row>
    <row r="25" spans="1:12" x14ac:dyDescent="0.25">
      <c r="A25" t="s">
        <v>103</v>
      </c>
      <c r="B25" t="s">
        <v>104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</row>
    <row r="26" spans="1:12" x14ac:dyDescent="0.25">
      <c r="A26" t="s">
        <v>330</v>
      </c>
      <c r="B26" t="s">
        <v>331</v>
      </c>
      <c r="C26">
        <v>151421.69390424096</v>
      </c>
      <c r="D26">
        <v>0</v>
      </c>
      <c r="E26">
        <v>72434.568109400556</v>
      </c>
      <c r="F26">
        <v>99562.621072504466</v>
      </c>
      <c r="G26">
        <v>323418.88308614597</v>
      </c>
      <c r="H26">
        <v>133851.19155379897</v>
      </c>
      <c r="I26">
        <v>0</v>
      </c>
      <c r="J26">
        <v>64578.208725723358</v>
      </c>
      <c r="K26">
        <v>87562.485020536667</v>
      </c>
      <c r="L26">
        <v>285991.88530005899</v>
      </c>
    </row>
    <row r="27" spans="1:12" x14ac:dyDescent="0.25">
      <c r="A27" t="s">
        <v>332</v>
      </c>
      <c r="B27" t="s">
        <v>333</v>
      </c>
      <c r="C27">
        <v>142818.18856877266</v>
      </c>
      <c r="D27">
        <v>31177.395571271216</v>
      </c>
      <c r="E27">
        <v>68318.967648639169</v>
      </c>
      <c r="F27">
        <v>93905.653966112164</v>
      </c>
      <c r="G27">
        <v>336220.20575479523</v>
      </c>
      <c r="H27">
        <v>144281.15453201695</v>
      </c>
      <c r="I27">
        <v>26500.786235580534</v>
      </c>
      <c r="J27">
        <v>69610.2769381174</v>
      </c>
      <c r="K27">
        <v>94385.535801357706</v>
      </c>
      <c r="L27">
        <v>334777.75350707257</v>
      </c>
    </row>
    <row r="28" spans="1:12" x14ac:dyDescent="0.25">
      <c r="A28" t="s">
        <v>105</v>
      </c>
      <c r="B28" t="s">
        <v>106</v>
      </c>
      <c r="C28">
        <v>160025.19923970915</v>
      </c>
      <c r="D28">
        <v>0</v>
      </c>
      <c r="E28">
        <v>76550.168570161957</v>
      </c>
      <c r="F28">
        <v>105219.58817889677</v>
      </c>
      <c r="G28">
        <v>341794.95598876785</v>
      </c>
      <c r="H28">
        <v>168617.73481452596</v>
      </c>
      <c r="I28">
        <v>0</v>
      </c>
      <c r="J28">
        <v>81351.769433703463</v>
      </c>
      <c r="K28">
        <v>110305.98762327347</v>
      </c>
      <c r="L28">
        <v>360275.49187150289</v>
      </c>
    </row>
    <row r="29" spans="1:12" x14ac:dyDescent="0.25">
      <c r="A29" t="s">
        <v>66</v>
      </c>
      <c r="B29" t="s">
        <v>1395</v>
      </c>
      <c r="C29">
        <v>63398.866922579939</v>
      </c>
      <c r="D29">
        <v>0</v>
      </c>
      <c r="E29">
        <v>35454.923777041549</v>
      </c>
      <c r="F29">
        <v>48733.432576510335</v>
      </c>
      <c r="G29">
        <v>147587.22327613182</v>
      </c>
      <c r="H29">
        <v>61063.481067522691</v>
      </c>
      <c r="I29">
        <v>0</v>
      </c>
      <c r="J29">
        <v>34148.622546752653</v>
      </c>
      <c r="K29">
        <v>46937.897961029965</v>
      </c>
      <c r="L29">
        <v>142150.0015753053</v>
      </c>
    </row>
    <row r="30" spans="1:12" x14ac:dyDescent="0.25">
      <c r="A30" t="s">
        <v>334</v>
      </c>
      <c r="B30" t="s">
        <v>335</v>
      </c>
      <c r="C30">
        <v>23229.464405764236</v>
      </c>
      <c r="D30">
        <v>6120.5810297908465</v>
      </c>
      <c r="E30">
        <v>16960.893659854155</v>
      </c>
      <c r="F30">
        <v>23313.054423913203</v>
      </c>
      <c r="G30">
        <v>69623.993519322437</v>
      </c>
      <c r="H30">
        <v>20906.517965187813</v>
      </c>
      <c r="I30">
        <v>5615.8448386018226</v>
      </c>
      <c r="J30">
        <v>15264.804293868739</v>
      </c>
      <c r="K30">
        <v>20981.748981521883</v>
      </c>
      <c r="L30">
        <v>62768.916079180257</v>
      </c>
    </row>
    <row r="31" spans="1:12" x14ac:dyDescent="0.25">
      <c r="A31" t="s">
        <v>107</v>
      </c>
      <c r="B31" t="s">
        <v>108</v>
      </c>
      <c r="C31">
        <v>751086.0157863769</v>
      </c>
      <c r="D31">
        <v>0</v>
      </c>
      <c r="E31">
        <v>396743.88441739831</v>
      </c>
      <c r="F31">
        <v>545331.6290562175</v>
      </c>
      <c r="G31">
        <v>1693161.5292599928</v>
      </c>
      <c r="H31">
        <v>684031.73865480372</v>
      </c>
      <c r="I31">
        <v>0</v>
      </c>
      <c r="J31">
        <v>350148.07977908425</v>
      </c>
      <c r="K31">
        <v>474770.61683213071</v>
      </c>
      <c r="L31">
        <v>1508950.4352660188</v>
      </c>
    </row>
    <row r="32" spans="1:12" x14ac:dyDescent="0.25">
      <c r="A32" t="s">
        <v>266</v>
      </c>
      <c r="B32" t="s">
        <v>267</v>
      </c>
      <c r="C32">
        <v>1594229.5386622641</v>
      </c>
      <c r="D32">
        <v>0</v>
      </c>
      <c r="E32">
        <v>1001737.1521493235</v>
      </c>
      <c r="F32">
        <v>1376905.7936958857</v>
      </c>
      <c r="G32">
        <v>3972872.4845074732</v>
      </c>
      <c r="H32">
        <v>1355095.1078629245</v>
      </c>
      <c r="I32">
        <v>0</v>
      </c>
      <c r="J32">
        <v>851476.57932692498</v>
      </c>
      <c r="K32">
        <v>1170369.9246415028</v>
      </c>
      <c r="L32">
        <v>3376941.6118313521</v>
      </c>
    </row>
    <row r="33" spans="1:12" x14ac:dyDescent="0.25">
      <c r="A33" t="s">
        <v>336</v>
      </c>
      <c r="B33" t="s">
        <v>337</v>
      </c>
      <c r="C33">
        <v>662469.91083105397</v>
      </c>
      <c r="D33">
        <v>174549.90344218345</v>
      </c>
      <c r="E33">
        <v>349037.1197123953</v>
      </c>
      <c r="F33">
        <v>479757.8200187211</v>
      </c>
      <c r="G33">
        <v>1665814.7540043539</v>
      </c>
      <c r="H33">
        <v>746611.5165241122</v>
      </c>
      <c r="I33">
        <v>201000.44651495683</v>
      </c>
      <c r="J33">
        <v>418006.40023515519</v>
      </c>
      <c r="K33">
        <v>566780.65064538911</v>
      </c>
      <c r="L33">
        <v>1932399.0139196133</v>
      </c>
    </row>
    <row r="34" spans="1:12" x14ac:dyDescent="0.25">
      <c r="A34" t="s">
        <v>338</v>
      </c>
      <c r="B34" t="s">
        <v>339</v>
      </c>
      <c r="C34">
        <v>247222.93011732632</v>
      </c>
      <c r="D34">
        <v>0</v>
      </c>
      <c r="E34">
        <v>120173.68173369349</v>
      </c>
      <c r="F34">
        <v>165711.53512075311</v>
      </c>
      <c r="G34">
        <v>533108.14697177289</v>
      </c>
      <c r="H34">
        <v>348534.5961887883</v>
      </c>
      <c r="I34">
        <v>0</v>
      </c>
      <c r="J34">
        <v>168154.94609750045</v>
      </c>
      <c r="K34">
        <v>228003.61359243642</v>
      </c>
      <c r="L34">
        <v>744693.15587872523</v>
      </c>
    </row>
    <row r="35" spans="1:12" x14ac:dyDescent="0.25">
      <c r="A35" t="s">
        <v>268</v>
      </c>
      <c r="B35" t="s">
        <v>269</v>
      </c>
      <c r="C35">
        <v>753667.06738701742</v>
      </c>
      <c r="D35">
        <v>0</v>
      </c>
      <c r="E35">
        <v>398595.904624741</v>
      </c>
      <c r="F35">
        <v>547877.26425409422</v>
      </c>
      <c r="G35">
        <v>1700140.2362658526</v>
      </c>
      <c r="H35">
        <v>640617.00727896474</v>
      </c>
      <c r="I35">
        <v>0</v>
      </c>
      <c r="J35">
        <v>338806.51893102983</v>
      </c>
      <c r="K35">
        <v>465695.67461598007</v>
      </c>
      <c r="L35">
        <v>1445119.2008259746</v>
      </c>
    </row>
    <row r="36" spans="1:12" x14ac:dyDescent="0.25">
      <c r="A36" t="s">
        <v>340</v>
      </c>
      <c r="B36" t="s">
        <v>341</v>
      </c>
      <c r="C36">
        <v>155596.35784154371</v>
      </c>
      <c r="D36">
        <v>39518.379019392305</v>
      </c>
      <c r="E36">
        <v>87445.243673026634</v>
      </c>
      <c r="F36">
        <v>115225.9137046486</v>
      </c>
      <c r="G36">
        <v>397785.89423861128</v>
      </c>
      <c r="H36">
        <v>140036.72205738933</v>
      </c>
      <c r="I36">
        <v>35801.010846086596</v>
      </c>
      <c r="J36">
        <v>78700.719305723978</v>
      </c>
      <c r="K36">
        <v>103703.32233418374</v>
      </c>
      <c r="L36">
        <v>358241.77454338362</v>
      </c>
    </row>
    <row r="37" spans="1:12" x14ac:dyDescent="0.25">
      <c r="A37" t="s">
        <v>109</v>
      </c>
      <c r="B37" t="s">
        <v>110</v>
      </c>
      <c r="C37">
        <v>151969.38939565056</v>
      </c>
      <c r="D37">
        <v>39801.624122320078</v>
      </c>
      <c r="E37">
        <v>80540.048045916323</v>
      </c>
      <c r="F37">
        <v>111059.38345106077</v>
      </c>
      <c r="G37">
        <v>383370.44501494768</v>
      </c>
      <c r="H37">
        <v>132112.86439076255</v>
      </c>
      <c r="I37">
        <v>33831.380503972068</v>
      </c>
      <c r="J37">
        <v>68459.040839028879</v>
      </c>
      <c r="K37">
        <v>94400.475933401656</v>
      </c>
      <c r="L37">
        <v>328803.76166716515</v>
      </c>
    </row>
    <row r="38" spans="1:12" x14ac:dyDescent="0.25">
      <c r="A38" t="s">
        <v>342</v>
      </c>
      <c r="B38" t="s">
        <v>343</v>
      </c>
      <c r="C38">
        <v>521372.42332937499</v>
      </c>
      <c r="D38">
        <v>137373.04089086127</v>
      </c>
      <c r="E38">
        <v>302045.66694547463</v>
      </c>
      <c r="F38">
        <v>415167.22014915117</v>
      </c>
      <c r="G38">
        <v>1375958.3513148623</v>
      </c>
      <c r="H38">
        <v>469373.72974886751</v>
      </c>
      <c r="I38">
        <v>123635.73680177514</v>
      </c>
      <c r="J38">
        <v>271908.44802352751</v>
      </c>
      <c r="K38">
        <v>373743.36624498677</v>
      </c>
      <c r="L38">
        <v>1238661.2808191569</v>
      </c>
    </row>
    <row r="39" spans="1:12" x14ac:dyDescent="0.25">
      <c r="A39" t="s">
        <v>344</v>
      </c>
      <c r="B39" t="s">
        <v>345</v>
      </c>
      <c r="C39">
        <v>128192.22949847669</v>
      </c>
      <c r="D39">
        <v>23118.831461747723</v>
      </c>
      <c r="E39">
        <v>61322.446865344777</v>
      </c>
      <c r="F39">
        <v>84288.809885245253</v>
      </c>
      <c r="G39">
        <v>296922.31771081442</v>
      </c>
      <c r="H39">
        <v>137327.84587987163</v>
      </c>
      <c r="I39">
        <v>19651.006742485562</v>
      </c>
      <c r="J39">
        <v>66255.564796521372</v>
      </c>
      <c r="K39">
        <v>89836.835280810366</v>
      </c>
      <c r="L39">
        <v>313071.25269968895</v>
      </c>
    </row>
    <row r="40" spans="1:12" x14ac:dyDescent="0.25">
      <c r="A40" t="s">
        <v>346</v>
      </c>
      <c r="B40" t="s">
        <v>347</v>
      </c>
      <c r="C40">
        <v>1713818.262825272</v>
      </c>
      <c r="D40">
        <v>319964.62743058853</v>
      </c>
      <c r="E40">
        <v>1087547.4217561984</v>
      </c>
      <c r="F40">
        <v>1494853.5578641649</v>
      </c>
      <c r="G40">
        <v>4616183.8698762236</v>
      </c>
      <c r="H40">
        <v>1820028.5396990592</v>
      </c>
      <c r="I40">
        <v>489982.46216800873</v>
      </c>
      <c r="J40">
        <v>1172262.2239789579</v>
      </c>
      <c r="K40">
        <v>1589486.538148768</v>
      </c>
      <c r="L40">
        <v>5071759.7639947943</v>
      </c>
    </row>
    <row r="41" spans="1:12" x14ac:dyDescent="0.25">
      <c r="A41" t="s">
        <v>270</v>
      </c>
      <c r="B41" t="s">
        <v>271</v>
      </c>
      <c r="C41">
        <v>38715.774009607056</v>
      </c>
      <c r="D41">
        <v>0</v>
      </c>
      <c r="E41">
        <v>18520.202073426277</v>
      </c>
      <c r="F41">
        <v>25456.351978765349</v>
      </c>
      <c r="G41">
        <v>82692.328061798675</v>
      </c>
      <c r="H41">
        <v>53018.978472608695</v>
      </c>
      <c r="I41">
        <v>0</v>
      </c>
      <c r="J41">
        <v>25579.680079669637</v>
      </c>
      <c r="K41">
        <v>34683.841469173611</v>
      </c>
      <c r="L41">
        <v>113282.50002145194</v>
      </c>
    </row>
    <row r="42" spans="1:12" x14ac:dyDescent="0.25">
      <c r="A42" t="s">
        <v>348</v>
      </c>
      <c r="B42" t="s">
        <v>349</v>
      </c>
      <c r="C42">
        <v>186696.06577966068</v>
      </c>
      <c r="D42">
        <v>0</v>
      </c>
      <c r="E42">
        <v>89308.529998522266</v>
      </c>
      <c r="F42">
        <v>122756.18620871288</v>
      </c>
      <c r="G42">
        <v>398760.78198689583</v>
      </c>
      <c r="H42">
        <v>253795.76580330715</v>
      </c>
      <c r="I42">
        <v>0</v>
      </c>
      <c r="J42">
        <v>122446.99316825469</v>
      </c>
      <c r="K42">
        <v>166027.56899997863</v>
      </c>
      <c r="L42">
        <v>542270.32797154051</v>
      </c>
    </row>
    <row r="43" spans="1:12" x14ac:dyDescent="0.25">
      <c r="A43" t="s">
        <v>350</v>
      </c>
      <c r="B43" t="s">
        <v>351</v>
      </c>
      <c r="C43">
        <v>14625.959070295998</v>
      </c>
      <c r="D43">
        <v>0</v>
      </c>
      <c r="E43">
        <v>6996.5207832943697</v>
      </c>
      <c r="F43">
        <v>9616.8440808669056</v>
      </c>
      <c r="G43">
        <v>31239.323934457272</v>
      </c>
      <c r="H43">
        <v>0</v>
      </c>
      <c r="I43">
        <v>0</v>
      </c>
      <c r="J43">
        <v>0</v>
      </c>
      <c r="K43">
        <v>0</v>
      </c>
      <c r="L43">
        <v>0</v>
      </c>
    </row>
    <row r="44" spans="1:12" x14ac:dyDescent="0.25">
      <c r="A44" t="s">
        <v>352</v>
      </c>
      <c r="B44" t="s">
        <v>1387</v>
      </c>
      <c r="C44">
        <v>36995.072942513398</v>
      </c>
      <c r="D44">
        <v>9747.5920104076504</v>
      </c>
      <c r="E44">
        <v>21111.281233510137</v>
      </c>
      <c r="F44">
        <v>29017.837044772285</v>
      </c>
      <c r="G44">
        <v>96871.783231203473</v>
      </c>
      <c r="H44">
        <v>33295.565648262062</v>
      </c>
      <c r="I44">
        <v>8891.7543277862169</v>
      </c>
      <c r="J44">
        <v>19000.153110159124</v>
      </c>
      <c r="K44">
        <v>26116.053340295057</v>
      </c>
      <c r="L44">
        <v>87303.52642650246</v>
      </c>
    </row>
    <row r="45" spans="1:12" x14ac:dyDescent="0.25">
      <c r="A45" t="s">
        <v>353</v>
      </c>
      <c r="B45" t="s">
        <v>1388</v>
      </c>
      <c r="C45">
        <v>88119.434482081328</v>
      </c>
      <c r="D45">
        <v>22573.165743120931</v>
      </c>
      <c r="E45">
        <v>42048.386874260774</v>
      </c>
      <c r="F45">
        <v>56948.100454925217</v>
      </c>
      <c r="G45">
        <v>209689.08755438824</v>
      </c>
      <c r="H45">
        <v>91262.176059408361</v>
      </c>
      <c r="I45">
        <v>19187.19088165279</v>
      </c>
      <c r="J45">
        <v>44030.596858447738</v>
      </c>
      <c r="K45">
        <v>59701.694332184081</v>
      </c>
      <c r="L45">
        <v>214181.65813169297</v>
      </c>
    </row>
    <row r="46" spans="1:12" x14ac:dyDescent="0.25">
      <c r="A46" t="s">
        <v>354</v>
      </c>
      <c r="B46" t="s">
        <v>355</v>
      </c>
      <c r="C46">
        <v>275312.17073498358</v>
      </c>
      <c r="D46">
        <v>72540.21961233599</v>
      </c>
      <c r="E46">
        <v>139412.21575203945</v>
      </c>
      <c r="F46">
        <v>192240.19730086092</v>
      </c>
      <c r="G46">
        <v>679504.80340021988</v>
      </c>
      <c r="H46">
        <v>305076.41711287951</v>
      </c>
      <c r="I46">
        <v>82131.730764551612</v>
      </c>
      <c r="J46">
        <v>158991.4660149274</v>
      </c>
      <c r="K46">
        <v>215578.72440304828</v>
      </c>
      <c r="L46">
        <v>761778.33829540678</v>
      </c>
    </row>
    <row r="47" spans="1:12" x14ac:dyDescent="0.25">
      <c r="A47" t="s">
        <v>356</v>
      </c>
      <c r="B47" t="s">
        <v>357</v>
      </c>
      <c r="C47">
        <v>121309.42523010213</v>
      </c>
      <c r="D47">
        <v>31963.034266685547</v>
      </c>
      <c r="E47">
        <v>67119.434738345633</v>
      </c>
      <c r="F47">
        <v>92256.874333283035</v>
      </c>
      <c r="G47">
        <v>312648.76856841636</v>
      </c>
      <c r="H47">
        <v>103113.01144558682</v>
      </c>
      <c r="I47">
        <v>27168.579126682715</v>
      </c>
      <c r="J47">
        <v>57051.519527593788</v>
      </c>
      <c r="K47">
        <v>78418.343183290577</v>
      </c>
      <c r="L47">
        <v>265751.45328315388</v>
      </c>
    </row>
    <row r="48" spans="1:12" x14ac:dyDescent="0.25">
      <c r="A48" t="s">
        <v>111</v>
      </c>
      <c r="B48" t="s">
        <v>112</v>
      </c>
      <c r="C48">
        <v>50760.681479262581</v>
      </c>
      <c r="D48">
        <v>0</v>
      </c>
      <c r="E48">
        <v>24282.04271849223</v>
      </c>
      <c r="F48">
        <v>33376.105927714569</v>
      </c>
      <c r="G48">
        <v>108418.83012546938</v>
      </c>
      <c r="H48">
        <v>43146.579257373196</v>
      </c>
      <c r="I48">
        <v>0</v>
      </c>
      <c r="J48">
        <v>20639.736310718396</v>
      </c>
      <c r="K48">
        <v>28369.690038557383</v>
      </c>
      <c r="L48">
        <v>92156.005606648978</v>
      </c>
    </row>
    <row r="49" spans="1:12" x14ac:dyDescent="0.25">
      <c r="A49" t="s">
        <v>113</v>
      </c>
      <c r="B49" t="s">
        <v>114</v>
      </c>
      <c r="C49">
        <v>41296.825610247528</v>
      </c>
      <c r="D49">
        <v>10881.032941850397</v>
      </c>
      <c r="E49">
        <v>19754.882211654698</v>
      </c>
      <c r="F49">
        <v>27153.442110683045</v>
      </c>
      <c r="G49">
        <v>99086.182874435661</v>
      </c>
      <c r="H49">
        <v>35275.665261593349</v>
      </c>
      <c r="I49">
        <v>9294.5564237711951</v>
      </c>
      <c r="J49">
        <v>16898.860299525844</v>
      </c>
      <c r="K49">
        <v>23227.788450643457</v>
      </c>
      <c r="L49">
        <v>84696.870435533841</v>
      </c>
    </row>
    <row r="50" spans="1:12" x14ac:dyDescent="0.25">
      <c r="A50" t="s">
        <v>358</v>
      </c>
      <c r="B50" t="s">
        <v>359</v>
      </c>
      <c r="C50">
        <v>34414.021341872947</v>
      </c>
      <c r="D50">
        <v>9067.5274515419987</v>
      </c>
      <c r="E50">
        <v>16930.777753482525</v>
      </c>
      <c r="F50">
        <v>23271.659567112169</v>
      </c>
      <c r="G50">
        <v>83683.986114009633</v>
      </c>
      <c r="H50">
        <v>42589.015494390573</v>
      </c>
      <c r="I50">
        <v>11465.683212145384</v>
      </c>
      <c r="J50">
        <v>23806.379241621991</v>
      </c>
      <c r="K50">
        <v>32279.398374012282</v>
      </c>
      <c r="L50">
        <v>110140.47632217023</v>
      </c>
    </row>
    <row r="51" spans="1:12" x14ac:dyDescent="0.25">
      <c r="A51" t="s">
        <v>360</v>
      </c>
      <c r="B51" t="s">
        <v>361</v>
      </c>
      <c r="C51">
        <v>84467.834456753146</v>
      </c>
      <c r="D51">
        <v>0</v>
      </c>
      <c r="E51">
        <v>41059.341259011955</v>
      </c>
      <c r="F51">
        <v>56618.107832923997</v>
      </c>
      <c r="G51">
        <v>182145.2835486891</v>
      </c>
      <c r="H51">
        <v>95607.993966999245</v>
      </c>
      <c r="I51">
        <v>0</v>
      </c>
      <c r="J51">
        <v>46127.291946945261</v>
      </c>
      <c r="K51">
        <v>62544.632157526197</v>
      </c>
      <c r="L51">
        <v>204279.91807147069</v>
      </c>
    </row>
    <row r="52" spans="1:12" x14ac:dyDescent="0.25">
      <c r="A52" t="s">
        <v>362</v>
      </c>
      <c r="B52" t="s">
        <v>363</v>
      </c>
      <c r="C52">
        <v>57643.485747637176</v>
      </c>
      <c r="D52">
        <v>15188.108481332847</v>
      </c>
      <c r="E52">
        <v>31664.092374948425</v>
      </c>
      <c r="F52">
        <v>43522.866402272775</v>
      </c>
      <c r="G52">
        <v>148018.55300619121</v>
      </c>
      <c r="H52">
        <v>53888.14205412686</v>
      </c>
      <c r="I52">
        <v>14507.59916638803</v>
      </c>
      <c r="J52">
        <v>28740.364057776107</v>
      </c>
      <c r="K52">
        <v>39170.579762045498</v>
      </c>
      <c r="L52">
        <v>136306.68504033651</v>
      </c>
    </row>
    <row r="53" spans="1:12" x14ac:dyDescent="0.25">
      <c r="A53" t="s">
        <v>364</v>
      </c>
      <c r="B53" t="s">
        <v>365</v>
      </c>
      <c r="C53">
        <v>13047.876867303326</v>
      </c>
      <c r="D53">
        <v>3417.311162017379</v>
      </c>
      <c r="E53">
        <v>6808.6736096702216</v>
      </c>
      <c r="F53">
        <v>9388.7092391401129</v>
      </c>
      <c r="G53">
        <v>32662.570878131042</v>
      </c>
      <c r="H53">
        <v>14775.780885808976</v>
      </c>
      <c r="I53">
        <v>2904.7144877147721</v>
      </c>
      <c r="J53">
        <v>7128.7633008915391</v>
      </c>
      <c r="K53">
        <v>9665.9886061631387</v>
      </c>
      <c r="L53">
        <v>34475.247280578427</v>
      </c>
    </row>
    <row r="54" spans="1:12" x14ac:dyDescent="0.25">
      <c r="A54" t="s">
        <v>366</v>
      </c>
      <c r="B54" t="s">
        <v>367</v>
      </c>
      <c r="C54">
        <v>41986.318782638773</v>
      </c>
      <c r="D54">
        <v>10663.68957666142</v>
      </c>
      <c r="E54">
        <v>31701.278752995968</v>
      </c>
      <c r="F54">
        <v>41772.52708652999</v>
      </c>
      <c r="G54">
        <v>126123.81419882615</v>
      </c>
      <c r="H54">
        <v>47803.996983499623</v>
      </c>
      <c r="I54">
        <v>12869.644421795836</v>
      </c>
      <c r="J54">
        <v>39747.310879533376</v>
      </c>
      <c r="K54">
        <v>53893.927722238317</v>
      </c>
      <c r="L54">
        <v>154314.88000706714</v>
      </c>
    </row>
    <row r="55" spans="1:12" x14ac:dyDescent="0.25">
      <c r="A55" t="s">
        <v>368</v>
      </c>
      <c r="B55" t="s">
        <v>369</v>
      </c>
      <c r="C55">
        <v>73476.057869617842</v>
      </c>
      <c r="D55">
        <v>18661.456759157481</v>
      </c>
      <c r="E55">
        <v>56546.755740877394</v>
      </c>
      <c r="F55">
        <v>74511.21780435952</v>
      </c>
      <c r="G55">
        <v>223195.48817401222</v>
      </c>
      <c r="H55">
        <v>66128.452082656062</v>
      </c>
      <c r="I55">
        <v>17549.515120630695</v>
      </c>
      <c r="J55">
        <v>50892.080166789652</v>
      </c>
      <c r="K55">
        <v>67060.096023923572</v>
      </c>
      <c r="L55">
        <v>201630.14339399998</v>
      </c>
    </row>
    <row r="56" spans="1:12" x14ac:dyDescent="0.25">
      <c r="A56" t="s">
        <v>115</v>
      </c>
      <c r="B56" t="s">
        <v>116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</row>
    <row r="57" spans="1:12" x14ac:dyDescent="0.25">
      <c r="A57" t="s">
        <v>272</v>
      </c>
      <c r="B57" t="s">
        <v>273</v>
      </c>
      <c r="C57">
        <v>56998.619999272443</v>
      </c>
      <c r="D57">
        <v>14928.254023549607</v>
      </c>
      <c r="E57">
        <v>28593.491581728107</v>
      </c>
      <c r="F57">
        <v>39428.528077974399</v>
      </c>
      <c r="G57">
        <v>139948.89368252456</v>
      </c>
      <c r="H57">
        <v>48448.826999381577</v>
      </c>
      <c r="I57">
        <v>12689.015920017166</v>
      </c>
      <c r="J57">
        <v>24304.467844468891</v>
      </c>
      <c r="K57">
        <v>33514.248866278242</v>
      </c>
      <c r="L57">
        <v>118956.55963014587</v>
      </c>
    </row>
    <row r="58" spans="1:12" x14ac:dyDescent="0.25">
      <c r="A58" t="s">
        <v>370</v>
      </c>
      <c r="B58" t="s">
        <v>371</v>
      </c>
      <c r="C58">
        <v>69688.393217292716</v>
      </c>
      <c r="D58">
        <v>16123.689816514952</v>
      </c>
      <c r="E58">
        <v>33336.363732167294</v>
      </c>
      <c r="F58">
        <v>45821.433561777616</v>
      </c>
      <c r="G58">
        <v>164969.88032775256</v>
      </c>
      <c r="H58">
        <v>71271.413684490341</v>
      </c>
      <c r="I58">
        <v>13705.13634403771</v>
      </c>
      <c r="J58">
        <v>34385.799451359191</v>
      </c>
      <c r="K58">
        <v>46624.180335610443</v>
      </c>
      <c r="L58">
        <v>165986.52981549769</v>
      </c>
    </row>
    <row r="59" spans="1:12" x14ac:dyDescent="0.25">
      <c r="A59" t="s">
        <v>372</v>
      </c>
      <c r="B59" t="s">
        <v>373</v>
      </c>
      <c r="C59">
        <v>69359.766505138759</v>
      </c>
      <c r="D59">
        <v>18165.70670335554</v>
      </c>
      <c r="E59">
        <v>38523.59312048537</v>
      </c>
      <c r="F59">
        <v>53121.479364421146</v>
      </c>
      <c r="G59">
        <v>179170.54569340081</v>
      </c>
      <c r="H59">
        <v>80832.21308119029</v>
      </c>
      <c r="I59">
        <v>21761.398749582055</v>
      </c>
      <c r="J59">
        <v>42914.547029791407</v>
      </c>
      <c r="K59">
        <v>58188.426957132746</v>
      </c>
      <c r="L59">
        <v>203696.58581769647</v>
      </c>
    </row>
    <row r="60" spans="1:12" x14ac:dyDescent="0.25">
      <c r="A60" t="s">
        <v>374</v>
      </c>
      <c r="B60" t="s">
        <v>375</v>
      </c>
      <c r="C60">
        <v>290798.48033882648</v>
      </c>
      <c r="D60">
        <v>0</v>
      </c>
      <c r="E60">
        <v>139107.29557373511</v>
      </c>
      <c r="F60">
        <v>191205.48819605962</v>
      </c>
      <c r="G60">
        <v>621111.26410862117</v>
      </c>
      <c r="H60">
        <v>247178.7082880025</v>
      </c>
      <c r="I60">
        <v>0</v>
      </c>
      <c r="J60">
        <v>118241.20123767485</v>
      </c>
      <c r="K60">
        <v>162524.66496665069</v>
      </c>
      <c r="L60">
        <v>527944.57449232799</v>
      </c>
    </row>
    <row r="61" spans="1:12" x14ac:dyDescent="0.25">
      <c r="A61" t="s">
        <v>274</v>
      </c>
      <c r="B61" t="s">
        <v>275</v>
      </c>
      <c r="C61">
        <v>76571.19748566729</v>
      </c>
      <c r="D61">
        <v>0</v>
      </c>
      <c r="E61">
        <v>0</v>
      </c>
      <c r="F61">
        <v>0</v>
      </c>
      <c r="G61">
        <v>76571.19748566729</v>
      </c>
      <c r="H61">
        <v>88654.685314853836</v>
      </c>
      <c r="I61">
        <v>0</v>
      </c>
      <c r="J61">
        <v>0</v>
      </c>
      <c r="K61">
        <v>0</v>
      </c>
      <c r="L61">
        <v>88654.685314853836</v>
      </c>
    </row>
    <row r="62" spans="1:12" x14ac:dyDescent="0.25">
      <c r="A62" t="s">
        <v>376</v>
      </c>
      <c r="B62" t="s">
        <v>377</v>
      </c>
      <c r="C62">
        <v>0</v>
      </c>
      <c r="D62">
        <v>1453.183691881286</v>
      </c>
      <c r="E62">
        <v>0</v>
      </c>
      <c r="F62">
        <v>0</v>
      </c>
      <c r="G62">
        <v>1453.183691881286</v>
      </c>
      <c r="H62">
        <v>0</v>
      </c>
      <c r="I62">
        <v>1235.2061380990931</v>
      </c>
      <c r="J62">
        <v>0</v>
      </c>
      <c r="K62">
        <v>0</v>
      </c>
      <c r="L62">
        <v>1235.2061380990931</v>
      </c>
    </row>
    <row r="63" spans="1:12" x14ac:dyDescent="0.25">
      <c r="A63" t="s">
        <v>378</v>
      </c>
      <c r="B63" t="s">
        <v>379</v>
      </c>
      <c r="C63">
        <v>696883.93217292696</v>
      </c>
      <c r="D63">
        <v>183617.43089372537</v>
      </c>
      <c r="E63">
        <v>358369.55242720636</v>
      </c>
      <c r="F63">
        <v>492585.41720499872</v>
      </c>
      <c r="G63">
        <v>1731456.3326988574</v>
      </c>
      <c r="H63">
        <v>592351.34234698792</v>
      </c>
      <c r="I63">
        <v>156074.81625966655</v>
      </c>
      <c r="J63">
        <v>304614.11956312542</v>
      </c>
      <c r="K63">
        <v>418697.60462424892</v>
      </c>
      <c r="L63">
        <v>1471737.8827940291</v>
      </c>
    </row>
    <row r="64" spans="1:12" x14ac:dyDescent="0.25">
      <c r="A64" t="s">
        <v>380</v>
      </c>
      <c r="B64" t="s">
        <v>381</v>
      </c>
      <c r="C64">
        <v>361347.22408966586</v>
      </c>
      <c r="D64">
        <v>0</v>
      </c>
      <c r="E64">
        <v>172855.21935197857</v>
      </c>
      <c r="F64">
        <v>237592.61846847655</v>
      </c>
      <c r="G64">
        <v>771795.061910121</v>
      </c>
      <c r="H64">
        <v>425890.15494390571</v>
      </c>
      <c r="I64">
        <v>0</v>
      </c>
      <c r="J64">
        <v>205476.11867275616</v>
      </c>
      <c r="K64">
        <v>278607.90688352578</v>
      </c>
      <c r="L64">
        <v>909974.18050018768</v>
      </c>
    </row>
    <row r="65" spans="1:12" x14ac:dyDescent="0.25">
      <c r="A65" t="s">
        <v>382</v>
      </c>
      <c r="B65" t="s">
        <v>383</v>
      </c>
      <c r="C65">
        <v>548043.28986932652</v>
      </c>
      <c r="D65">
        <v>0</v>
      </c>
      <c r="E65">
        <v>262163.74935050082</v>
      </c>
      <c r="F65">
        <v>360348.80467718944</v>
      </c>
      <c r="G65">
        <v>1170555.8438970167</v>
      </c>
      <c r="H65">
        <v>770078.93322510284</v>
      </c>
      <c r="I65">
        <v>0</v>
      </c>
      <c r="J65">
        <v>412419.92390746059</v>
      </c>
      <c r="K65">
        <v>559205.87024479103</v>
      </c>
      <c r="L65">
        <v>1741704.7273773544</v>
      </c>
    </row>
    <row r="66" spans="1:12" x14ac:dyDescent="0.25">
      <c r="A66" t="s">
        <v>117</v>
      </c>
      <c r="B66" t="s">
        <v>118</v>
      </c>
      <c r="C66">
        <v>0</v>
      </c>
      <c r="D66">
        <v>0</v>
      </c>
      <c r="E66">
        <v>0</v>
      </c>
      <c r="F66">
        <v>0</v>
      </c>
      <c r="G66">
        <v>0</v>
      </c>
      <c r="H66">
        <v>18252.435211881668</v>
      </c>
      <c r="I66">
        <v>0</v>
      </c>
      <c r="J66">
        <v>8806.1193716895486</v>
      </c>
      <c r="K66">
        <v>11940.338866436818</v>
      </c>
      <c r="L66">
        <v>38998.893450008036</v>
      </c>
    </row>
    <row r="67" spans="1:12" x14ac:dyDescent="0.25">
      <c r="A67" t="s">
        <v>119</v>
      </c>
      <c r="B67" t="s">
        <v>120</v>
      </c>
      <c r="C67">
        <v>164326.95190744323</v>
      </c>
      <c r="D67">
        <v>0</v>
      </c>
      <c r="E67">
        <v>78607.968800542629</v>
      </c>
      <c r="F67">
        <v>108048.0717320929</v>
      </c>
      <c r="G67">
        <v>350982.99244007876</v>
      </c>
      <c r="H67">
        <v>139677.90912132675</v>
      </c>
      <c r="I67">
        <v>0</v>
      </c>
      <c r="J67">
        <v>66816.773480461226</v>
      </c>
      <c r="K67">
        <v>91840.860972278955</v>
      </c>
      <c r="L67">
        <v>298335.54357406695</v>
      </c>
    </row>
    <row r="68" spans="1:12" x14ac:dyDescent="0.25">
      <c r="A68" t="s">
        <v>121</v>
      </c>
      <c r="B68" t="s">
        <v>122</v>
      </c>
      <c r="C68">
        <v>1816199.9763173445</v>
      </c>
      <c r="D68">
        <v>0</v>
      </c>
      <c r="E68">
        <v>1161010.8899807895</v>
      </c>
      <c r="F68">
        <v>1595830.4207132678</v>
      </c>
      <c r="G68">
        <v>4573041.2870114017</v>
      </c>
      <c r="H68">
        <v>2048618.5616383385</v>
      </c>
      <c r="I68">
        <v>0</v>
      </c>
      <c r="J68">
        <v>1357610.069802139</v>
      </c>
      <c r="K68">
        <v>1840802.2419090094</v>
      </c>
      <c r="L68">
        <v>5247030.8733494869</v>
      </c>
    </row>
    <row r="69" spans="1:12" x14ac:dyDescent="0.25">
      <c r="A69" t="s">
        <v>384</v>
      </c>
      <c r="B69" t="s">
        <v>385</v>
      </c>
      <c r="C69">
        <v>340698.81128454203</v>
      </c>
      <c r="D69">
        <v>0</v>
      </c>
      <c r="E69">
        <v>162977.7782461512</v>
      </c>
      <c r="F69">
        <v>224015.89741313504</v>
      </c>
      <c r="G69">
        <v>727692.48694382829</v>
      </c>
      <c r="H69">
        <v>386777.79377558781</v>
      </c>
      <c r="I69">
        <v>0</v>
      </c>
      <c r="J69">
        <v>186605.86287627855</v>
      </c>
      <c r="K69">
        <v>253021.46645544688</v>
      </c>
      <c r="L69">
        <v>826405.12310731329</v>
      </c>
    </row>
    <row r="70" spans="1:12" x14ac:dyDescent="0.25">
      <c r="A70" t="s">
        <v>386</v>
      </c>
      <c r="B70" t="s">
        <v>387</v>
      </c>
      <c r="C70">
        <v>282194.97500335809</v>
      </c>
      <c r="D70">
        <v>74353.725102644399</v>
      </c>
      <c r="E70">
        <v>159867.2897299169</v>
      </c>
      <c r="F70">
        <v>219740.47481346581</v>
      </c>
      <c r="G70">
        <v>736156.46464938519</v>
      </c>
      <c r="H70">
        <v>253975.4775030223</v>
      </c>
      <c r="I70">
        <v>66918.352592379961</v>
      </c>
      <c r="J70">
        <v>143880.5607569252</v>
      </c>
      <c r="K70">
        <v>197766.42733211923</v>
      </c>
      <c r="L70">
        <v>662540.81818444666</v>
      </c>
    </row>
    <row r="71" spans="1:12" x14ac:dyDescent="0.25">
      <c r="A71" t="s">
        <v>388</v>
      </c>
      <c r="B71" t="s">
        <v>389</v>
      </c>
      <c r="C71">
        <v>16099.928160323327</v>
      </c>
      <c r="D71">
        <v>4186.1103992758553</v>
      </c>
      <c r="E71">
        <v>10866.384934651529</v>
      </c>
      <c r="F71">
        <v>14716.854244394846</v>
      </c>
      <c r="G71">
        <v>45869.277738645556</v>
      </c>
      <c r="H71">
        <v>19121.598793399851</v>
      </c>
      <c r="I71">
        <v>5147.8577687183342</v>
      </c>
      <c r="J71">
        <v>12395.346858934015</v>
      </c>
      <c r="K71">
        <v>16807.021982748694</v>
      </c>
      <c r="L71">
        <v>53471.825403800896</v>
      </c>
    </row>
    <row r="72" spans="1:12" x14ac:dyDescent="0.25">
      <c r="A72" t="s">
        <v>390</v>
      </c>
      <c r="B72" t="s">
        <v>391</v>
      </c>
      <c r="C72">
        <v>60224.537348277634</v>
      </c>
      <c r="D72">
        <v>15868.173040198501</v>
      </c>
      <c r="E72">
        <v>30891.244342424343</v>
      </c>
      <c r="F72">
        <v>42460.572834198923</v>
      </c>
      <c r="G72">
        <v>149444.52756509939</v>
      </c>
      <c r="H72">
        <v>60841.45070627224</v>
      </c>
      <c r="I72">
        <v>16379.54744592198</v>
      </c>
      <c r="J72">
        <v>31328.126102950628</v>
      </c>
      <c r="K72">
        <v>42478.238816779289</v>
      </c>
      <c r="L72">
        <v>151027.36307192413</v>
      </c>
    </row>
    <row r="73" spans="1:12" x14ac:dyDescent="0.25">
      <c r="A73" t="s">
        <v>123</v>
      </c>
      <c r="B73" t="s">
        <v>124</v>
      </c>
      <c r="C73">
        <v>258965.51059759385</v>
      </c>
      <c r="D73">
        <v>0</v>
      </c>
      <c r="E73">
        <v>123879.573868918</v>
      </c>
      <c r="F73">
        <v>170274.70990240821</v>
      </c>
      <c r="G73">
        <v>553119.79436892003</v>
      </c>
      <c r="H73">
        <v>252926.60222178895</v>
      </c>
      <c r="I73">
        <v>0</v>
      </c>
      <c r="J73">
        <v>122027.65415055519</v>
      </c>
      <c r="K73">
        <v>165458.98143491024</v>
      </c>
      <c r="L73">
        <v>540413.23780725442</v>
      </c>
    </row>
    <row r="74" spans="1:12" x14ac:dyDescent="0.25">
      <c r="A74" t="s">
        <v>392</v>
      </c>
      <c r="B74" t="s">
        <v>393</v>
      </c>
      <c r="C74">
        <v>400062.99809927295</v>
      </c>
      <c r="D74">
        <v>105410.00662417576</v>
      </c>
      <c r="E74">
        <v>195203.23852394748</v>
      </c>
      <c r="F74">
        <v>268310.37412871973</v>
      </c>
      <c r="G74">
        <v>968986.61737611587</v>
      </c>
      <c r="H74">
        <v>373740.34005281515</v>
      </c>
      <c r="I74">
        <v>89598.505630549393</v>
      </c>
      <c r="J74">
        <v>180315.777610786</v>
      </c>
      <c r="K74">
        <v>244492.65297942064</v>
      </c>
      <c r="L74">
        <v>888147.27627357119</v>
      </c>
    </row>
    <row r="75" spans="1:12" x14ac:dyDescent="0.25">
      <c r="A75" t="s">
        <v>394</v>
      </c>
      <c r="B75" t="s">
        <v>395</v>
      </c>
      <c r="C75">
        <v>27407.73587200031</v>
      </c>
      <c r="D75">
        <v>6961.0195847650912</v>
      </c>
      <c r="E75">
        <v>18432.836413721761</v>
      </c>
      <c r="F75">
        <v>24288.804384618092</v>
      </c>
      <c r="G75">
        <v>77090.396255105254</v>
      </c>
      <c r="H75">
        <v>23296.575491200263</v>
      </c>
      <c r="I75">
        <v>5916.8666470503276</v>
      </c>
      <c r="J75">
        <v>15667.910951663496</v>
      </c>
      <c r="K75">
        <v>20645.483726925377</v>
      </c>
      <c r="L75">
        <v>65526.836816839466</v>
      </c>
    </row>
    <row r="76" spans="1:12" x14ac:dyDescent="0.25">
      <c r="A76" t="s">
        <v>125</v>
      </c>
      <c r="B76" t="s">
        <v>126</v>
      </c>
      <c r="C76">
        <v>2020103.0527679417</v>
      </c>
      <c r="D76">
        <v>0</v>
      </c>
      <c r="E76">
        <v>1325017.5683421309</v>
      </c>
      <c r="F76">
        <v>1821260.5599030007</v>
      </c>
      <c r="G76">
        <v>5166381.1810130728</v>
      </c>
      <c r="H76">
        <v>2125104.956811938</v>
      </c>
      <c r="I76">
        <v>0</v>
      </c>
      <c r="J76">
        <v>1431413.7369172513</v>
      </c>
      <c r="K76">
        <v>1940873.6533610513</v>
      </c>
      <c r="L76">
        <v>5497392.3470902406</v>
      </c>
    </row>
    <row r="77" spans="1:12" x14ac:dyDescent="0.25">
      <c r="A77" t="s">
        <v>276</v>
      </c>
      <c r="B77" t="s">
        <v>277</v>
      </c>
      <c r="C77">
        <v>2277347.8622984411</v>
      </c>
      <c r="D77">
        <v>0</v>
      </c>
      <c r="E77">
        <v>1571130.4758956628</v>
      </c>
      <c r="F77">
        <v>2159547.1928652599</v>
      </c>
      <c r="G77">
        <v>6008025.5310593639</v>
      </c>
      <c r="H77">
        <v>2298937.673115572</v>
      </c>
      <c r="I77">
        <v>0</v>
      </c>
      <c r="J77">
        <v>1599149.3439970519</v>
      </c>
      <c r="K77">
        <v>2168308.6793884193</v>
      </c>
      <c r="L77">
        <v>6066395.6965010427</v>
      </c>
    </row>
    <row r="78" spans="1:12" x14ac:dyDescent="0.25">
      <c r="A78" t="s">
        <v>396</v>
      </c>
      <c r="B78" t="s">
        <v>397</v>
      </c>
      <c r="C78">
        <v>13904.48341118833</v>
      </c>
      <c r="D78">
        <v>3615.2771630109637</v>
      </c>
      <c r="E78">
        <v>10424.757619893451</v>
      </c>
      <c r="F78">
        <v>14375.049208215831</v>
      </c>
      <c r="G78">
        <v>42319.567402308574</v>
      </c>
      <c r="H78">
        <v>15644.944467327152</v>
      </c>
      <c r="I78">
        <v>4211.8836289513656</v>
      </c>
      <c r="J78">
        <v>12368.037405406334</v>
      </c>
      <c r="K78">
        <v>16769.992717573616</v>
      </c>
      <c r="L78">
        <v>48994.858219258465</v>
      </c>
    </row>
    <row r="79" spans="1:12" x14ac:dyDescent="0.25">
      <c r="A79" t="s">
        <v>398</v>
      </c>
      <c r="B79" t="s">
        <v>399</v>
      </c>
      <c r="C79">
        <v>3659070.8191746403</v>
      </c>
      <c r="D79">
        <v>964104.85628520336</v>
      </c>
      <c r="E79">
        <v>2893061.3438922218</v>
      </c>
      <c r="F79">
        <v>3976565.027438466</v>
      </c>
      <c r="G79">
        <v>11492802.046790531</v>
      </c>
      <c r="H79">
        <v>3686991.9128000988</v>
      </c>
      <c r="I79">
        <v>992600.57522287173</v>
      </c>
      <c r="J79">
        <v>2938518.1665292634</v>
      </c>
      <c r="K79">
        <v>3984377.3622169518</v>
      </c>
      <c r="L79">
        <v>11602488.016769186</v>
      </c>
    </row>
    <row r="80" spans="1:12" x14ac:dyDescent="0.25">
      <c r="A80" t="s">
        <v>127</v>
      </c>
      <c r="B80" t="s">
        <v>128</v>
      </c>
      <c r="C80">
        <v>708019.00264156493</v>
      </c>
      <c r="D80">
        <v>185434.09515999569</v>
      </c>
      <c r="E80">
        <v>400912.75489490537</v>
      </c>
      <c r="F80">
        <v>552832.09355562367</v>
      </c>
      <c r="G80">
        <v>1847197.9462520897</v>
      </c>
      <c r="H80">
        <v>682293.41149176715</v>
      </c>
      <c r="I80">
        <v>157618.98088599634</v>
      </c>
      <c r="J80">
        <v>348890.06272598583</v>
      </c>
      <c r="K80">
        <v>473064.85413692531</v>
      </c>
      <c r="L80">
        <v>1661867.3092406746</v>
      </c>
    </row>
    <row r="81" spans="1:12" x14ac:dyDescent="0.25">
      <c r="A81" t="s">
        <v>129</v>
      </c>
      <c r="B81" t="s">
        <v>130</v>
      </c>
      <c r="C81">
        <v>314027.94474459044</v>
      </c>
      <c r="D81">
        <v>0</v>
      </c>
      <c r="E81">
        <v>150219.41681779089</v>
      </c>
      <c r="F81">
        <v>206479.2993833189</v>
      </c>
      <c r="G81">
        <v>670726.66094570025</v>
      </c>
      <c r="H81">
        <v>345927.10544423369</v>
      </c>
      <c r="I81">
        <v>0</v>
      </c>
      <c r="J81">
        <v>166896.92904440194</v>
      </c>
      <c r="K81">
        <v>226297.85089723111</v>
      </c>
      <c r="L81">
        <v>739121.88538586674</v>
      </c>
    </row>
    <row r="82" spans="1:12" x14ac:dyDescent="0.25">
      <c r="A82" t="s">
        <v>400</v>
      </c>
      <c r="B82" t="s">
        <v>401</v>
      </c>
      <c r="C82">
        <v>123367.20827491388</v>
      </c>
      <c r="D82">
        <v>31332.816286980466</v>
      </c>
      <c r="E82">
        <v>55362.458950249391</v>
      </c>
      <c r="F82">
        <v>72950.679185382731</v>
      </c>
      <c r="G82">
        <v>283013.16269752651</v>
      </c>
      <c r="H82">
        <v>106907.12052673553</v>
      </c>
      <c r="I82">
        <v>26632.893843933394</v>
      </c>
      <c r="J82">
        <v>51578.69917703879</v>
      </c>
      <c r="K82">
        <v>69936.270503415653</v>
      </c>
      <c r="L82">
        <v>255054.98405112338</v>
      </c>
    </row>
    <row r="83" spans="1:12" x14ac:dyDescent="0.25">
      <c r="A83" t="s">
        <v>402</v>
      </c>
      <c r="B83" t="s">
        <v>403</v>
      </c>
      <c r="C83">
        <v>1082320.9712019039</v>
      </c>
      <c r="D83">
        <v>208730.02119749374</v>
      </c>
      <c r="E83">
        <v>634419.81102636911</v>
      </c>
      <c r="F83">
        <v>872021.47945037286</v>
      </c>
      <c r="G83">
        <v>2797492.2828761395</v>
      </c>
      <c r="H83">
        <v>1227258.9771036634</v>
      </c>
      <c r="I83">
        <v>330398.87133774039</v>
      </c>
      <c r="J83">
        <v>743278.40887236793</v>
      </c>
      <c r="K83">
        <v>1007821.4590837745</v>
      </c>
      <c r="L83">
        <v>3308757.7163975462</v>
      </c>
    </row>
    <row r="84" spans="1:12" x14ac:dyDescent="0.25">
      <c r="A84" t="s">
        <v>131</v>
      </c>
      <c r="B84" t="s">
        <v>132</v>
      </c>
      <c r="C84">
        <v>43017.526677341186</v>
      </c>
      <c r="D84">
        <v>0</v>
      </c>
      <c r="E84">
        <v>20578.002303806978</v>
      </c>
      <c r="F84">
        <v>28284.835531961493</v>
      </c>
      <c r="G84">
        <v>91880.364513109656</v>
      </c>
      <c r="H84">
        <v>36564.897675740009</v>
      </c>
      <c r="I84">
        <v>0</v>
      </c>
      <c r="J84">
        <v>0</v>
      </c>
      <c r="K84">
        <v>0</v>
      </c>
      <c r="L84">
        <v>36564.897675740009</v>
      </c>
    </row>
    <row r="85" spans="1:12" x14ac:dyDescent="0.25">
      <c r="A85" t="s">
        <v>404</v>
      </c>
      <c r="B85" t="s">
        <v>405</v>
      </c>
      <c r="C85">
        <v>30112.268674138817</v>
      </c>
      <c r="D85">
        <v>7934.0865200992503</v>
      </c>
      <c r="E85">
        <v>21236.61155654148</v>
      </c>
      <c r="F85">
        <v>29190.105835579689</v>
      </c>
      <c r="G85">
        <v>88473.072586359238</v>
      </c>
      <c r="H85">
        <v>28682.398190099782</v>
      </c>
      <c r="I85">
        <v>7721.7866530775009</v>
      </c>
      <c r="J85">
        <v>19112.950400887334</v>
      </c>
      <c r="K85">
        <v>26271.095252021722</v>
      </c>
      <c r="L85">
        <v>81788.23049608634</v>
      </c>
    </row>
    <row r="86" spans="1:12" x14ac:dyDescent="0.25">
      <c r="A86" t="s">
        <v>133</v>
      </c>
      <c r="B86" t="s">
        <v>134</v>
      </c>
      <c r="C86">
        <v>11634.02024081536</v>
      </c>
      <c r="D86">
        <v>3047.0142868761773</v>
      </c>
      <c r="E86">
        <v>7943.5333803979074</v>
      </c>
      <c r="F86">
        <v>10953.605579511985</v>
      </c>
      <c r="G86">
        <v>33578.173487601431</v>
      </c>
      <c r="H86">
        <v>10470.618216733825</v>
      </c>
      <c r="I86">
        <v>2742.3128581885594</v>
      </c>
      <c r="J86">
        <v>7149.1800423581171</v>
      </c>
      <c r="K86">
        <v>9858.245021560786</v>
      </c>
      <c r="L86">
        <v>30220.356138841289</v>
      </c>
    </row>
    <row r="87" spans="1:12" x14ac:dyDescent="0.25">
      <c r="A87" t="s">
        <v>406</v>
      </c>
      <c r="B87" t="s">
        <v>407</v>
      </c>
      <c r="C87">
        <v>189277.11738030115</v>
      </c>
      <c r="D87">
        <v>49871.400983481006</v>
      </c>
      <c r="E87">
        <v>113302.23013886208</v>
      </c>
      <c r="F87">
        <v>156236.25920459378</v>
      </c>
      <c r="G87">
        <v>508687.00770723802</v>
      </c>
      <c r="H87">
        <v>170349.40564227104</v>
      </c>
      <c r="I87">
        <v>44884.260885132906</v>
      </c>
      <c r="J87">
        <v>101972.00712497588</v>
      </c>
      <c r="K87">
        <v>140612.63328413441</v>
      </c>
      <c r="L87">
        <v>457818.30693651421</v>
      </c>
    </row>
    <row r="88" spans="1:12" x14ac:dyDescent="0.25">
      <c r="A88" t="s">
        <v>408</v>
      </c>
      <c r="B88" t="s">
        <v>409</v>
      </c>
      <c r="C88">
        <v>97219.610290791054</v>
      </c>
      <c r="D88">
        <v>25615.765050606151</v>
      </c>
      <c r="E88">
        <v>48732.351761822662</v>
      </c>
      <c r="F88">
        <v>66983.496955573952</v>
      </c>
      <c r="G88">
        <v>238551.2240587938</v>
      </c>
      <c r="H88">
        <v>99084.648293071965</v>
      </c>
      <c r="I88">
        <v>26675.262983358647</v>
      </c>
      <c r="J88">
        <v>50730.292476429167</v>
      </c>
      <c r="K88">
        <v>68785.904141769221</v>
      </c>
      <c r="L88">
        <v>245276.10789462901</v>
      </c>
    </row>
    <row r="89" spans="1:12" x14ac:dyDescent="0.25">
      <c r="A89" t="s">
        <v>410</v>
      </c>
      <c r="B89" t="s">
        <v>411</v>
      </c>
      <c r="C89">
        <v>574714.15640927781</v>
      </c>
      <c r="D89">
        <v>151427.7084407513</v>
      </c>
      <c r="E89">
        <v>301638.86041793058</v>
      </c>
      <c r="F89">
        <v>414608.05723551963</v>
      </c>
      <c r="G89">
        <v>1442388.7825034794</v>
      </c>
      <c r="H89">
        <v>713583.30042642192</v>
      </c>
      <c r="I89">
        <v>192108.69218717064</v>
      </c>
      <c r="J89">
        <v>419520.21408905042</v>
      </c>
      <c r="K89">
        <v>568833.25175528601</v>
      </c>
      <c r="L89">
        <v>1894045.4584579291</v>
      </c>
    </row>
    <row r="90" spans="1:12" x14ac:dyDescent="0.25">
      <c r="A90" t="s">
        <v>412</v>
      </c>
      <c r="B90" t="s">
        <v>413</v>
      </c>
      <c r="C90">
        <v>319190.04794587148</v>
      </c>
      <c r="D90">
        <v>84101.31711305202</v>
      </c>
      <c r="E90">
        <v>197093.95566462239</v>
      </c>
      <c r="F90">
        <v>270909.19895981409</v>
      </c>
      <c r="G90">
        <v>871294.51968335989</v>
      </c>
      <c r="H90">
        <v>287271.04315128434</v>
      </c>
      <c r="I90">
        <v>75691.185401746814</v>
      </c>
      <c r="J90">
        <v>177384.56009816015</v>
      </c>
      <c r="K90">
        <v>243818.27906383268</v>
      </c>
      <c r="L90">
        <v>784165.06771502399</v>
      </c>
    </row>
    <row r="91" spans="1:12" x14ac:dyDescent="0.25">
      <c r="A91" t="s">
        <v>135</v>
      </c>
      <c r="B91" t="s">
        <v>136</v>
      </c>
      <c r="C91">
        <v>186696.06577966068</v>
      </c>
      <c r="D91">
        <v>0</v>
      </c>
      <c r="E91">
        <v>89308.529998522266</v>
      </c>
      <c r="F91">
        <v>122756.18620871288</v>
      </c>
      <c r="G91">
        <v>398760.78198689583</v>
      </c>
      <c r="H91">
        <v>158767.5620964035</v>
      </c>
      <c r="I91">
        <v>0</v>
      </c>
      <c r="J91">
        <v>76319.701221309413</v>
      </c>
      <c r="K91">
        <v>104392.66802553463</v>
      </c>
      <c r="L91">
        <v>339479.93134324753</v>
      </c>
    </row>
    <row r="92" spans="1:12" x14ac:dyDescent="0.25">
      <c r="A92" t="s">
        <v>414</v>
      </c>
      <c r="B92" t="s">
        <v>415</v>
      </c>
      <c r="C92">
        <v>32963.057348976843</v>
      </c>
      <c r="D92">
        <v>6737.4880259950523</v>
      </c>
      <c r="E92">
        <v>16023.15756449248</v>
      </c>
      <c r="F92">
        <v>22094.871349433746</v>
      </c>
      <c r="G92">
        <v>77818.574288898119</v>
      </c>
      <c r="H92">
        <v>30420.72535313612</v>
      </c>
      <c r="I92">
        <v>5726.8648220957939</v>
      </c>
      <c r="J92">
        <v>14676.865619482582</v>
      </c>
      <c r="K92">
        <v>19900.564777394698</v>
      </c>
      <c r="L92">
        <v>70725.020572109192</v>
      </c>
    </row>
    <row r="93" spans="1:12" x14ac:dyDescent="0.25">
      <c r="A93" t="s">
        <v>416</v>
      </c>
      <c r="B93" t="s">
        <v>417</v>
      </c>
      <c r="C93">
        <v>36995.072942513398</v>
      </c>
      <c r="D93">
        <v>9747.5920104076504</v>
      </c>
      <c r="E93">
        <v>22487.548316589902</v>
      </c>
      <c r="F93">
        <v>30909.540987567634</v>
      </c>
      <c r="G93">
        <v>100139.75425707857</v>
      </c>
      <c r="H93">
        <v>33295.565648262062</v>
      </c>
      <c r="I93">
        <v>8772.8328093668861</v>
      </c>
      <c r="J93">
        <v>20238.793484930913</v>
      </c>
      <c r="K93">
        <v>27818.586888810871</v>
      </c>
      <c r="L93">
        <v>90125.778831370728</v>
      </c>
    </row>
    <row r="94" spans="1:12" x14ac:dyDescent="0.25">
      <c r="A94" t="s">
        <v>137</v>
      </c>
      <c r="B94" t="s">
        <v>138</v>
      </c>
      <c r="C94">
        <v>13765.608536749176</v>
      </c>
      <c r="D94">
        <v>0</v>
      </c>
      <c r="E94">
        <v>6584.9607372182309</v>
      </c>
      <c r="F94">
        <v>9051.1473702276762</v>
      </c>
      <c r="G94">
        <v>29401.716644195083</v>
      </c>
      <c r="H94">
        <v>11700.767256236799</v>
      </c>
      <c r="I94">
        <v>0</v>
      </c>
      <c r="J94">
        <v>5597.2166266354961</v>
      </c>
      <c r="K94">
        <v>7693.4752646935249</v>
      </c>
      <c r="L94">
        <v>24991.459147565816</v>
      </c>
    </row>
    <row r="95" spans="1:12" x14ac:dyDescent="0.25">
      <c r="A95" t="s">
        <v>139</v>
      </c>
      <c r="B95" t="s">
        <v>140</v>
      </c>
      <c r="C95">
        <v>48757.855662028225</v>
      </c>
      <c r="D95">
        <v>0</v>
      </c>
      <c r="E95">
        <v>23700.920564145108</v>
      </c>
      <c r="F95">
        <v>32681.99720437076</v>
      </c>
      <c r="G95">
        <v>105140.7734305441</v>
      </c>
      <c r="H95">
        <v>41444.177312723994</v>
      </c>
      <c r="I95">
        <v>0</v>
      </c>
      <c r="J95">
        <v>20145.782479523343</v>
      </c>
      <c r="K95">
        <v>27779.697623715147</v>
      </c>
      <c r="L95">
        <v>89369.657415962487</v>
      </c>
    </row>
    <row r="96" spans="1:12" x14ac:dyDescent="0.25">
      <c r="A96" t="s">
        <v>418</v>
      </c>
      <c r="B96" t="s">
        <v>419</v>
      </c>
      <c r="C96">
        <v>20888.346748971675</v>
      </c>
      <c r="D96">
        <v>5431.1376224050373</v>
      </c>
      <c r="E96">
        <v>13000.348189112901</v>
      </c>
      <c r="F96">
        <v>17606.980663407961</v>
      </c>
      <c r="G96">
        <v>56926.813223897567</v>
      </c>
      <c r="H96">
        <v>21729.089537954373</v>
      </c>
      <c r="I96">
        <v>5849.8383735435636</v>
      </c>
      <c r="J96">
        <v>11700.313370201611</v>
      </c>
      <c r="K96">
        <v>15846.282597067166</v>
      </c>
      <c r="L96">
        <v>55125.523878766719</v>
      </c>
    </row>
    <row r="97" spans="1:12" x14ac:dyDescent="0.25">
      <c r="A97" t="s">
        <v>420</v>
      </c>
      <c r="B97" t="s">
        <v>421</v>
      </c>
      <c r="C97">
        <v>202182.37538350347</v>
      </c>
      <c r="D97">
        <v>53271.723777809246</v>
      </c>
      <c r="E97">
        <v>108082.58230836826</v>
      </c>
      <c r="F97">
        <v>148561.45991860051</v>
      </c>
      <c r="G97">
        <v>512098.14138828148</v>
      </c>
      <c r="H97">
        <v>171855.01907597794</v>
      </c>
      <c r="I97">
        <v>45280.96521113786</v>
      </c>
      <c r="J97">
        <v>91870.194962113019</v>
      </c>
      <c r="K97">
        <v>126277.24093081043</v>
      </c>
      <c r="L97">
        <v>435283.42018003925</v>
      </c>
    </row>
    <row r="98" spans="1:12" x14ac:dyDescent="0.25">
      <c r="A98" t="s">
        <v>57</v>
      </c>
      <c r="B98" t="s">
        <v>17</v>
      </c>
      <c r="C98">
        <v>2596937.9161652727</v>
      </c>
      <c r="D98">
        <v>684250.34118658223</v>
      </c>
      <c r="E98">
        <v>1895154.9630996815</v>
      </c>
      <c r="F98">
        <v>2613058.4321100381</v>
      </c>
      <c r="G98">
        <v>7789401.6525615752</v>
      </c>
      <c r="H98">
        <v>2880587.6453223322</v>
      </c>
      <c r="I98">
        <v>775502.90897040756</v>
      </c>
      <c r="J98">
        <v>2177791.4133343347</v>
      </c>
      <c r="K98">
        <v>2952897.4521088358</v>
      </c>
      <c r="L98">
        <v>8786779.4197359104</v>
      </c>
    </row>
    <row r="99" spans="1:12" x14ac:dyDescent="0.25">
      <c r="A99" t="s">
        <v>141</v>
      </c>
      <c r="B99" t="s">
        <v>142</v>
      </c>
      <c r="C99">
        <v>101636.0934926786</v>
      </c>
      <c r="D99">
        <v>0</v>
      </c>
      <c r="E99">
        <v>0</v>
      </c>
      <c r="F99">
        <v>0</v>
      </c>
      <c r="G99">
        <v>101636.0934926786</v>
      </c>
      <c r="H99">
        <v>92131.339640926584</v>
      </c>
      <c r="I99">
        <v>0</v>
      </c>
      <c r="J99">
        <v>0</v>
      </c>
      <c r="K99">
        <v>0</v>
      </c>
      <c r="L99">
        <v>92131.339640926584</v>
      </c>
    </row>
    <row r="100" spans="1:12" x14ac:dyDescent="0.25">
      <c r="A100" t="s">
        <v>422</v>
      </c>
      <c r="B100" t="s">
        <v>423</v>
      </c>
      <c r="C100">
        <v>101797.67710713435</v>
      </c>
      <c r="D100">
        <v>26749.205982048908</v>
      </c>
      <c r="E100">
        <v>57685.134492198405</v>
      </c>
      <c r="F100">
        <v>79543.973792301535</v>
      </c>
      <c r="G100">
        <v>265775.99137368321</v>
      </c>
      <c r="H100">
        <v>122552.06499406269</v>
      </c>
      <c r="I100">
        <v>32993.088426785696</v>
      </c>
      <c r="J100">
        <v>68976.068607748675</v>
      </c>
      <c r="K100">
        <v>93525.603967948206</v>
      </c>
      <c r="L100">
        <v>318046.82599654526</v>
      </c>
    </row>
    <row r="101" spans="1:12" x14ac:dyDescent="0.25">
      <c r="A101" t="s">
        <v>424</v>
      </c>
      <c r="B101" t="s">
        <v>425</v>
      </c>
      <c r="C101">
        <v>430175.2667734116</v>
      </c>
      <c r="D101">
        <v>113344.093144275</v>
      </c>
      <c r="E101">
        <v>303180.72897455021</v>
      </c>
      <c r="F101">
        <v>416727.38339225843</v>
      </c>
      <c r="G101">
        <v>1263427.4722844954</v>
      </c>
      <c r="H101">
        <v>387157.74009607045</v>
      </c>
      <c r="I101">
        <v>102009.6838298475</v>
      </c>
      <c r="J101">
        <v>272862.65607709519</v>
      </c>
      <c r="K101">
        <v>375054.64505303261</v>
      </c>
      <c r="L101">
        <v>1137084.7250560457</v>
      </c>
    </row>
    <row r="102" spans="1:12" x14ac:dyDescent="0.25">
      <c r="A102" t="s">
        <v>74</v>
      </c>
      <c r="B102" t="s">
        <v>41</v>
      </c>
      <c r="C102">
        <v>64396.362361819156</v>
      </c>
      <c r="D102">
        <v>16865.763689402575</v>
      </c>
      <c r="E102">
        <v>39718.924816680737</v>
      </c>
      <c r="F102">
        <v>54769.762478472476</v>
      </c>
      <c r="G102">
        <v>175750.81334637495</v>
      </c>
      <c r="H102">
        <v>71155.350346935753</v>
      </c>
      <c r="I102">
        <v>19156.223651956443</v>
      </c>
      <c r="J102">
        <v>41576.182652716219</v>
      </c>
      <c r="K102">
        <v>56373.72021577054</v>
      </c>
      <c r="L102">
        <v>188261.47686737895</v>
      </c>
    </row>
    <row r="103" spans="1:12" x14ac:dyDescent="0.25">
      <c r="A103" t="s">
        <v>1420</v>
      </c>
      <c r="B103" t="s">
        <v>1424</v>
      </c>
      <c r="C103">
        <v>53289.999478849808</v>
      </c>
      <c r="D103">
        <v>0</v>
      </c>
      <c r="E103">
        <v>34788.209981572094</v>
      </c>
      <c r="F103">
        <v>47817.022432642545</v>
      </c>
      <c r="G103">
        <v>135895.23189306445</v>
      </c>
      <c r="H103">
        <v>53845.390156402173</v>
      </c>
      <c r="I103">
        <v>0</v>
      </c>
      <c r="J103">
        <v>35887.620691544231</v>
      </c>
      <c r="K103">
        <v>48660.520494962759</v>
      </c>
      <c r="L103">
        <v>138393.53134290915</v>
      </c>
    </row>
    <row r="104" spans="1:12" x14ac:dyDescent="0.25">
      <c r="A104" t="s">
        <v>75</v>
      </c>
      <c r="B104" t="s">
        <v>45</v>
      </c>
      <c r="C104">
        <v>48493.602144418648</v>
      </c>
      <c r="D104">
        <v>12700.742778300097</v>
      </c>
      <c r="E104">
        <v>29910.287895488211</v>
      </c>
      <c r="F104">
        <v>41244.302842020392</v>
      </c>
      <c r="G104">
        <v>132348.93566022735</v>
      </c>
      <c r="H104">
        <v>52363.58126421379</v>
      </c>
      <c r="I104">
        <v>14097.161619243896</v>
      </c>
      <c r="J104">
        <v>30596.122545619022</v>
      </c>
      <c r="K104">
        <v>41485.70508460261</v>
      </c>
      <c r="L104">
        <v>138542.57051367933</v>
      </c>
    </row>
    <row r="105" spans="1:12" x14ac:dyDescent="0.25">
      <c r="A105" t="s">
        <v>79</v>
      </c>
      <c r="B105" t="s">
        <v>1397</v>
      </c>
      <c r="C105">
        <v>40042.388156361791</v>
      </c>
      <c r="D105">
        <v>0</v>
      </c>
      <c r="E105">
        <v>31905.156636666343</v>
      </c>
      <c r="F105">
        <v>43854.213580422482</v>
      </c>
      <c r="G105">
        <v>115801.75837345062</v>
      </c>
      <c r="H105">
        <v>38989.15230063488</v>
      </c>
      <c r="I105">
        <v>0</v>
      </c>
      <c r="J105">
        <v>31381.641280378411</v>
      </c>
      <c r="K105">
        <v>42550.800784885192</v>
      </c>
      <c r="L105">
        <v>112921.59436589849</v>
      </c>
    </row>
    <row r="106" spans="1:12" x14ac:dyDescent="0.25">
      <c r="A106" t="s">
        <v>426</v>
      </c>
      <c r="B106" t="s">
        <v>427</v>
      </c>
      <c r="C106">
        <v>38715.774009607056</v>
      </c>
      <c r="D106">
        <v>10200.968382984745</v>
      </c>
      <c r="E106">
        <v>24312.673074921437</v>
      </c>
      <c r="F106">
        <v>33418.207905403884</v>
      </c>
      <c r="G106">
        <v>106647.62337291712</v>
      </c>
      <c r="H106">
        <v>51280.651309572335</v>
      </c>
      <c r="I106">
        <v>13805.618561562811</v>
      </c>
      <c r="J106">
        <v>38382.247058691646</v>
      </c>
      <c r="K106">
        <v>52043.01883636025</v>
      </c>
      <c r="L106">
        <v>155511.53576618704</v>
      </c>
    </row>
    <row r="107" spans="1:12" x14ac:dyDescent="0.25">
      <c r="A107" t="s">
        <v>428</v>
      </c>
      <c r="B107" t="s">
        <v>429</v>
      </c>
      <c r="C107">
        <v>0</v>
      </c>
      <c r="D107">
        <v>2283.3329450595575</v>
      </c>
      <c r="E107">
        <v>0</v>
      </c>
      <c r="F107">
        <v>0</v>
      </c>
      <c r="G107">
        <v>2283.3329450595575</v>
      </c>
      <c r="H107">
        <v>0</v>
      </c>
      <c r="I107">
        <v>1940.8330033006239</v>
      </c>
      <c r="J107">
        <v>0</v>
      </c>
      <c r="K107">
        <v>0</v>
      </c>
      <c r="L107">
        <v>1940.8330033006239</v>
      </c>
    </row>
    <row r="108" spans="1:12" x14ac:dyDescent="0.25">
      <c r="A108" t="s">
        <v>143</v>
      </c>
      <c r="B108" t="s">
        <v>144</v>
      </c>
      <c r="C108">
        <v>736460.05671608075</v>
      </c>
      <c r="D108">
        <v>0</v>
      </c>
      <c r="E108">
        <v>0</v>
      </c>
      <c r="F108">
        <v>0</v>
      </c>
      <c r="G108">
        <v>736460.05671608075</v>
      </c>
      <c r="H108">
        <v>809191.29439342103</v>
      </c>
      <c r="I108">
        <v>0</v>
      </c>
      <c r="J108">
        <v>0</v>
      </c>
      <c r="K108">
        <v>0</v>
      </c>
      <c r="L108">
        <v>809191.29439342103</v>
      </c>
    </row>
    <row r="109" spans="1:12" x14ac:dyDescent="0.25">
      <c r="A109" t="s">
        <v>145</v>
      </c>
      <c r="B109" t="s">
        <v>146</v>
      </c>
      <c r="C109">
        <v>18927.711738030121</v>
      </c>
      <c r="D109">
        <v>4987.140098348098</v>
      </c>
      <c r="E109">
        <v>16860.586187624245</v>
      </c>
      <c r="F109">
        <v>23175.179993112652</v>
      </c>
      <c r="G109">
        <v>63950.618017115114</v>
      </c>
      <c r="H109">
        <v>0</v>
      </c>
      <c r="I109">
        <v>4239.0690835958831</v>
      </c>
      <c r="J109">
        <v>0</v>
      </c>
      <c r="K109">
        <v>0</v>
      </c>
      <c r="L109">
        <v>4239.0690835958831</v>
      </c>
    </row>
    <row r="110" spans="1:12" x14ac:dyDescent="0.25">
      <c r="A110" t="s">
        <v>147</v>
      </c>
      <c r="B110" t="s">
        <v>148</v>
      </c>
      <c r="C110">
        <v>98079.960824337875</v>
      </c>
      <c r="D110">
        <v>0</v>
      </c>
      <c r="E110">
        <v>46917.845252679894</v>
      </c>
      <c r="F110">
        <v>64489.425012872205</v>
      </c>
      <c r="G110">
        <v>209487.23108988997</v>
      </c>
      <c r="H110">
        <v>92131.339640926584</v>
      </c>
      <c r="I110">
        <v>0</v>
      </c>
      <c r="J110">
        <v>44449.935876147254</v>
      </c>
      <c r="K110">
        <v>60270.28189725252</v>
      </c>
      <c r="L110">
        <v>196851.55741432635</v>
      </c>
    </row>
    <row r="111" spans="1:12" x14ac:dyDescent="0.25">
      <c r="A111" t="s">
        <v>430</v>
      </c>
      <c r="B111" t="s">
        <v>431</v>
      </c>
      <c r="C111">
        <v>26670.866539951527</v>
      </c>
      <c r="D111">
        <v>7027.3337749450511</v>
      </c>
      <c r="E111">
        <v>19913.116760369812</v>
      </c>
      <c r="F111">
        <v>27370.938353506051</v>
      </c>
      <c r="G111">
        <v>80982.255428772434</v>
      </c>
      <c r="H111">
        <v>24003.779885956374</v>
      </c>
      <c r="I111">
        <v>6324.6003974505466</v>
      </c>
      <c r="J111">
        <v>17921.805084332831</v>
      </c>
      <c r="K111">
        <v>24633.844518155445</v>
      </c>
      <c r="L111">
        <v>72884.029885895201</v>
      </c>
    </row>
    <row r="112" spans="1:12" x14ac:dyDescent="0.25">
      <c r="A112" t="s">
        <v>432</v>
      </c>
      <c r="B112" t="s">
        <v>433</v>
      </c>
      <c r="C112">
        <v>798405.29513145238</v>
      </c>
      <c r="D112">
        <v>210366.63687577451</v>
      </c>
      <c r="E112">
        <v>430697.58821867983</v>
      </c>
      <c r="F112">
        <v>592001.60768395406</v>
      </c>
      <c r="G112">
        <v>2031471.1279098608</v>
      </c>
      <c r="H112">
        <v>790069.69560002128</v>
      </c>
      <c r="I112">
        <v>212700.12326204393</v>
      </c>
      <c r="J112">
        <v>426887.12001809344</v>
      </c>
      <c r="K112">
        <v>578822.14123965148</v>
      </c>
      <c r="L112">
        <v>2008479.0801198101</v>
      </c>
    </row>
    <row r="113" spans="1:12" x14ac:dyDescent="0.25">
      <c r="A113" t="s">
        <v>434</v>
      </c>
      <c r="B113" t="s">
        <v>435</v>
      </c>
      <c r="C113">
        <v>2441674.8142058849</v>
      </c>
      <c r="D113">
        <v>464490.35096860031</v>
      </c>
      <c r="E113">
        <v>1728346.4134967471</v>
      </c>
      <c r="F113">
        <v>2375643.3363294457</v>
      </c>
      <c r="G113">
        <v>7010154.9150006771</v>
      </c>
      <c r="H113">
        <v>2625743.1797664068</v>
      </c>
      <c r="I113">
        <v>394816.79832331027</v>
      </c>
      <c r="J113">
        <v>1914492.2853070782</v>
      </c>
      <c r="K113">
        <v>2595886.5283198711</v>
      </c>
      <c r="L113">
        <v>7530938.7917166669</v>
      </c>
    </row>
    <row r="114" spans="1:12" x14ac:dyDescent="0.25">
      <c r="A114" t="s">
        <v>436</v>
      </c>
      <c r="B114" t="s">
        <v>437</v>
      </c>
      <c r="C114">
        <v>3695205.541583606</v>
      </c>
      <c r="D114">
        <v>0</v>
      </c>
      <c r="E114">
        <v>2927632.3877626183</v>
      </c>
      <c r="F114">
        <v>4024083.5511321621</v>
      </c>
      <c r="G114">
        <v>10646921.480478387</v>
      </c>
      <c r="H114">
        <v>3869516.2649189155</v>
      </c>
      <c r="I114">
        <v>0</v>
      </c>
      <c r="J114">
        <v>3114640.5539630535</v>
      </c>
      <c r="K114">
        <v>4223184.1395456903</v>
      </c>
      <c r="L114">
        <v>11207340.95842766</v>
      </c>
    </row>
    <row r="115" spans="1:12" x14ac:dyDescent="0.25">
      <c r="A115" t="s">
        <v>438</v>
      </c>
      <c r="B115" t="s">
        <v>439</v>
      </c>
      <c r="C115">
        <v>128192.22949847669</v>
      </c>
      <c r="D115">
        <v>33776.539756993938</v>
      </c>
      <c r="E115">
        <v>65710.615719978538</v>
      </c>
      <c r="F115">
        <v>90610.580017159838</v>
      </c>
      <c r="G115">
        <v>318289.96499260899</v>
      </c>
      <c r="H115">
        <v>128636.21006468989</v>
      </c>
      <c r="I115">
        <v>34631.043171377889</v>
      </c>
      <c r="J115">
        <v>62206.028869548194</v>
      </c>
      <c r="K115">
        <v>84346.013594322896</v>
      </c>
      <c r="L115">
        <v>309819.2956999389</v>
      </c>
    </row>
    <row r="116" spans="1:12" x14ac:dyDescent="0.25">
      <c r="A116" t="s">
        <v>440</v>
      </c>
      <c r="B116" t="s">
        <v>1389</v>
      </c>
      <c r="C116">
        <v>215087.6333867058</v>
      </c>
      <c r="D116">
        <v>49281.224125934845</v>
      </c>
      <c r="E116">
        <v>102890.01151903483</v>
      </c>
      <c r="F116">
        <v>141424.17765980749</v>
      </c>
      <c r="G116">
        <v>508683.046691483</v>
      </c>
      <c r="H116">
        <v>182824.48837869993</v>
      </c>
      <c r="I116">
        <v>41889.040507044614</v>
      </c>
      <c r="J116">
        <v>87456.509791179604</v>
      </c>
      <c r="K116">
        <v>120210.55101083637</v>
      </c>
      <c r="L116">
        <v>432380.58968776051</v>
      </c>
    </row>
    <row r="117" spans="1:12" x14ac:dyDescent="0.25">
      <c r="A117" t="s">
        <v>278</v>
      </c>
      <c r="B117" t="s">
        <v>279</v>
      </c>
      <c r="C117">
        <v>49900.330945715774</v>
      </c>
      <c r="D117">
        <v>0</v>
      </c>
      <c r="E117">
        <v>23870.482672416088</v>
      </c>
      <c r="F117">
        <v>32810.409217075343</v>
      </c>
      <c r="G117">
        <v>106581.2228352072</v>
      </c>
      <c r="H117">
        <v>61710.614287790435</v>
      </c>
      <c r="I117">
        <v>0</v>
      </c>
      <c r="J117">
        <v>29773.070256664665</v>
      </c>
      <c r="K117">
        <v>40369.717119857829</v>
      </c>
      <c r="L117">
        <v>131853.40166431293</v>
      </c>
    </row>
    <row r="118" spans="1:12" x14ac:dyDescent="0.25">
      <c r="A118" t="s">
        <v>441</v>
      </c>
      <c r="B118" t="s">
        <v>442</v>
      </c>
      <c r="C118">
        <v>12044.907469655527</v>
      </c>
      <c r="D118">
        <v>3173.6346080397011</v>
      </c>
      <c r="E118">
        <v>6509.9850655167284</v>
      </c>
      <c r="F118">
        <v>8976.8375509252</v>
      </c>
      <c r="G118">
        <v>30705.364694137155</v>
      </c>
      <c r="H118">
        <v>0</v>
      </c>
      <c r="I118">
        <v>2697.5894168337459</v>
      </c>
      <c r="J118">
        <v>0</v>
      </c>
      <c r="K118">
        <v>0</v>
      </c>
      <c r="L118">
        <v>2697.5894168337459</v>
      </c>
    </row>
    <row r="119" spans="1:12" x14ac:dyDescent="0.25">
      <c r="A119" t="s">
        <v>149</v>
      </c>
      <c r="B119" t="s">
        <v>150</v>
      </c>
      <c r="C119">
        <v>108404.16722689974</v>
      </c>
      <c r="D119">
        <v>0</v>
      </c>
      <c r="E119">
        <v>52075.262084600537</v>
      </c>
      <c r="F119">
        <v>71808.331885659689</v>
      </c>
      <c r="G119">
        <v>232287.76119715997</v>
      </c>
      <c r="H119">
        <v>92143.542142864768</v>
      </c>
      <c r="I119">
        <v>0</v>
      </c>
      <c r="J119">
        <v>0</v>
      </c>
      <c r="K119">
        <v>0</v>
      </c>
      <c r="L119">
        <v>92143.542142864768</v>
      </c>
    </row>
    <row r="120" spans="1:12" x14ac:dyDescent="0.25">
      <c r="A120" t="s">
        <v>280</v>
      </c>
      <c r="B120" t="s">
        <v>281</v>
      </c>
      <c r="C120">
        <v>99616.298311981445</v>
      </c>
      <c r="D120">
        <v>26090.059831377272</v>
      </c>
      <c r="E120">
        <v>60910.260330525867</v>
      </c>
      <c r="F120">
        <v>83991.20837741789</v>
      </c>
      <c r="G120">
        <v>270607.82685130247</v>
      </c>
      <c r="H120">
        <v>84673.853565184225</v>
      </c>
      <c r="I120">
        <v>22176.550856670681</v>
      </c>
      <c r="J120">
        <v>51773.721280946986</v>
      </c>
      <c r="K120">
        <v>71392.5271208052</v>
      </c>
      <c r="L120">
        <v>230016.65282360709</v>
      </c>
    </row>
    <row r="121" spans="1:12" x14ac:dyDescent="0.25">
      <c r="A121" t="s">
        <v>443</v>
      </c>
      <c r="B121" t="s">
        <v>444</v>
      </c>
      <c r="C121">
        <v>15486.309603842823</v>
      </c>
      <c r="D121">
        <v>4146.9903909238847</v>
      </c>
      <c r="E121">
        <v>8780.2426009906594</v>
      </c>
      <c r="F121">
        <v>12068.60190961286</v>
      </c>
      <c r="G121">
        <v>40482.144505370226</v>
      </c>
      <c r="H121">
        <v>14775.780885808976</v>
      </c>
      <c r="I121">
        <v>3977.8900940096232</v>
      </c>
      <c r="J121">
        <v>8065.3569969233795</v>
      </c>
      <c r="K121">
        <v>10935.928932743454</v>
      </c>
      <c r="L121">
        <v>37754.956909485431</v>
      </c>
    </row>
    <row r="122" spans="1:12" x14ac:dyDescent="0.25">
      <c r="A122" t="s">
        <v>282</v>
      </c>
      <c r="B122" t="s">
        <v>283</v>
      </c>
      <c r="C122">
        <v>140237.1369681322</v>
      </c>
      <c r="D122">
        <v>0</v>
      </c>
      <c r="E122">
        <v>67084.287510410722</v>
      </c>
      <c r="F122">
        <v>92208.563834194458</v>
      </c>
      <c r="G122">
        <v>299529.98831273738</v>
      </c>
      <c r="H122">
        <v>145150.31811353518</v>
      </c>
      <c r="I122">
        <v>0</v>
      </c>
      <c r="J122">
        <v>70029.615955816902</v>
      </c>
      <c r="K122">
        <v>94954.123366426138</v>
      </c>
      <c r="L122">
        <v>310134.0574357782</v>
      </c>
    </row>
    <row r="123" spans="1:12" x14ac:dyDescent="0.25">
      <c r="A123" t="s">
        <v>445</v>
      </c>
      <c r="B123" t="s">
        <v>446</v>
      </c>
      <c r="C123">
        <v>34414.021341872947</v>
      </c>
      <c r="D123">
        <v>9067.5274515419987</v>
      </c>
      <c r="E123">
        <v>20913.238539338301</v>
      </c>
      <c r="F123">
        <v>28745.623787612669</v>
      </c>
      <c r="G123">
        <v>93140.411120365912</v>
      </c>
      <c r="H123">
        <v>30972.619207685653</v>
      </c>
      <c r="I123">
        <v>8160.7747063877987</v>
      </c>
      <c r="J123">
        <v>18821.91468540447</v>
      </c>
      <c r="K123">
        <v>25871.061408851401</v>
      </c>
      <c r="L123">
        <v>83826.370008329322</v>
      </c>
    </row>
    <row r="124" spans="1:12" x14ac:dyDescent="0.25">
      <c r="A124" t="s">
        <v>151</v>
      </c>
      <c r="B124" t="s">
        <v>152</v>
      </c>
      <c r="C124">
        <v>500724.01052425127</v>
      </c>
      <c r="D124">
        <v>0</v>
      </c>
      <c r="E124">
        <v>239527.94681631314</v>
      </c>
      <c r="F124">
        <v>329235.48559203197</v>
      </c>
      <c r="G124">
        <v>1069487.4429325964</v>
      </c>
      <c r="H124">
        <v>590162.07185084093</v>
      </c>
      <c r="I124">
        <v>0</v>
      </c>
      <c r="J124">
        <v>284731.1930179621</v>
      </c>
      <c r="K124">
        <v>386070.95668145712</v>
      </c>
      <c r="L124">
        <v>1260964.2215502602</v>
      </c>
    </row>
    <row r="125" spans="1:12" x14ac:dyDescent="0.25">
      <c r="A125" t="s">
        <v>153</v>
      </c>
      <c r="B125" t="s">
        <v>154</v>
      </c>
      <c r="C125">
        <v>1218256.3555023018</v>
      </c>
      <c r="D125">
        <v>0</v>
      </c>
      <c r="E125">
        <v>0</v>
      </c>
      <c r="F125">
        <v>0</v>
      </c>
      <c r="G125">
        <v>1218256.3555023018</v>
      </c>
      <c r="H125">
        <v>1264633.0111089444</v>
      </c>
      <c r="I125">
        <v>0</v>
      </c>
      <c r="J125">
        <v>0</v>
      </c>
      <c r="K125">
        <v>0</v>
      </c>
      <c r="L125">
        <v>1264633.0111089444</v>
      </c>
    </row>
    <row r="126" spans="1:12" x14ac:dyDescent="0.25">
      <c r="A126" t="s">
        <v>155</v>
      </c>
      <c r="B126" t="s">
        <v>156</v>
      </c>
      <c r="C126">
        <v>307145.14047621604</v>
      </c>
      <c r="D126">
        <v>0</v>
      </c>
      <c r="E126">
        <v>146926.93644918178</v>
      </c>
      <c r="F126">
        <v>201953.72569820503</v>
      </c>
      <c r="G126">
        <v>656025.80262360291</v>
      </c>
      <c r="H126">
        <v>292908.12697162497</v>
      </c>
      <c r="I126">
        <v>0</v>
      </c>
      <c r="J126">
        <v>141317.24896473228</v>
      </c>
      <c r="K126">
        <v>191614.0094280575</v>
      </c>
      <c r="L126">
        <v>625839.38536441477</v>
      </c>
    </row>
    <row r="127" spans="1:12" x14ac:dyDescent="0.25">
      <c r="A127" t="s">
        <v>157</v>
      </c>
      <c r="B127" t="s">
        <v>158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8691.6358151817476</v>
      </c>
      <c r="I127">
        <v>2339.9353494174252</v>
      </c>
      <c r="J127">
        <v>7653.5660815424662</v>
      </c>
      <c r="K127">
        <v>10377.575943846263</v>
      </c>
      <c r="L127">
        <v>29062.713189987902</v>
      </c>
    </row>
    <row r="128" spans="1:12" x14ac:dyDescent="0.25">
      <c r="A128" t="s">
        <v>159</v>
      </c>
      <c r="B128" t="s">
        <v>160</v>
      </c>
      <c r="C128">
        <v>66246.9910831054</v>
      </c>
      <c r="D128">
        <v>0</v>
      </c>
      <c r="E128">
        <v>31690.123547862735</v>
      </c>
      <c r="F128">
        <v>43558.646719220698</v>
      </c>
      <c r="G128">
        <v>141495.76135018884</v>
      </c>
      <c r="H128">
        <v>56309.942420639585</v>
      </c>
      <c r="I128">
        <v>0</v>
      </c>
      <c r="J128">
        <v>0</v>
      </c>
      <c r="K128">
        <v>0</v>
      </c>
      <c r="L128">
        <v>56309.942420639585</v>
      </c>
    </row>
    <row r="129" spans="1:12" x14ac:dyDescent="0.25">
      <c r="A129" t="s">
        <v>447</v>
      </c>
      <c r="B129" t="s">
        <v>448</v>
      </c>
      <c r="C129">
        <v>69688.393217292716</v>
      </c>
      <c r="D129">
        <v>18361.743089372536</v>
      </c>
      <c r="E129">
        <v>47625.224370874421</v>
      </c>
      <c r="F129">
        <v>65461.730376701147</v>
      </c>
      <c r="G129">
        <v>201137.09105424082</v>
      </c>
      <c r="H129">
        <v>62719.553895563447</v>
      </c>
      <c r="I129">
        <v>16525.568780435282</v>
      </c>
      <c r="J129">
        <v>42862.701933786979</v>
      </c>
      <c r="K129">
        <v>58915.557339031031</v>
      </c>
      <c r="L129">
        <v>181023.38194881676</v>
      </c>
    </row>
    <row r="130" spans="1:12" x14ac:dyDescent="0.25">
      <c r="A130" t="s">
        <v>449</v>
      </c>
      <c r="B130" t="s">
        <v>450</v>
      </c>
      <c r="C130">
        <v>1164054.2718888524</v>
      </c>
      <c r="D130">
        <v>306709.11604840821</v>
      </c>
      <c r="E130">
        <v>693067.11759221891</v>
      </c>
      <c r="F130">
        <v>952633.26071646321</v>
      </c>
      <c r="G130">
        <v>3116463.7662459426</v>
      </c>
      <c r="H130">
        <v>1180324.1437016819</v>
      </c>
      <c r="I130">
        <v>317763.22045088641</v>
      </c>
      <c r="J130">
        <v>709311.9484387082</v>
      </c>
      <c r="K130">
        <v>961765.86631323246</v>
      </c>
      <c r="L130">
        <v>3169165.1789045092</v>
      </c>
    </row>
    <row r="131" spans="1:12" x14ac:dyDescent="0.25">
      <c r="A131" t="s">
        <v>451</v>
      </c>
      <c r="B131" t="s">
        <v>452</v>
      </c>
      <c r="C131">
        <v>49039.980412168938</v>
      </c>
      <c r="D131">
        <v>12921.226618447352</v>
      </c>
      <c r="E131">
        <v>28981.183879583838</v>
      </c>
      <c r="F131">
        <v>39835.160257704461</v>
      </c>
      <c r="G131">
        <v>130777.5511679046</v>
      </c>
      <c r="H131">
        <v>55626.469217163227</v>
      </c>
      <c r="I131">
        <v>14975.58623627152</v>
      </c>
      <c r="J131">
        <v>36630.322027071219</v>
      </c>
      <c r="K131">
        <v>49667.559492328277</v>
      </c>
      <c r="L131">
        <v>156899.93697283423</v>
      </c>
    </row>
    <row r="132" spans="1:12" x14ac:dyDescent="0.25">
      <c r="A132" t="s">
        <v>453</v>
      </c>
      <c r="B132" t="s">
        <v>454</v>
      </c>
      <c r="C132">
        <v>41446.1971079047</v>
      </c>
      <c r="D132">
        <v>10854.988396996381</v>
      </c>
      <c r="E132">
        <v>23320.887004640317</v>
      </c>
      <c r="F132">
        <v>32157.95613618995</v>
      </c>
      <c r="G132">
        <v>107780.02864573135</v>
      </c>
      <c r="H132">
        <v>42589.015494390573</v>
      </c>
      <c r="I132">
        <v>11465.683212145384</v>
      </c>
      <c r="J132">
        <v>22238.386786640007</v>
      </c>
      <c r="K132">
        <v>30153.335750708444</v>
      </c>
      <c r="L132">
        <v>106446.42124388441</v>
      </c>
    </row>
    <row r="133" spans="1:12" x14ac:dyDescent="0.25">
      <c r="A133" t="s">
        <v>76</v>
      </c>
      <c r="B133" t="s">
        <v>30</v>
      </c>
      <c r="C133">
        <v>0</v>
      </c>
      <c r="D133">
        <v>1985.2836676261206</v>
      </c>
      <c r="E133">
        <v>0</v>
      </c>
      <c r="F133">
        <v>0</v>
      </c>
      <c r="G133">
        <v>1985.2836676261206</v>
      </c>
      <c r="H133">
        <v>0</v>
      </c>
      <c r="I133">
        <v>1875.9511433204098</v>
      </c>
      <c r="J133">
        <v>0</v>
      </c>
      <c r="K133">
        <v>0</v>
      </c>
      <c r="L133">
        <v>1875.9511433204098</v>
      </c>
    </row>
    <row r="134" spans="1:12" x14ac:dyDescent="0.25">
      <c r="A134" t="s">
        <v>455</v>
      </c>
      <c r="B134" t="s">
        <v>456</v>
      </c>
      <c r="C134">
        <v>71623.720276266133</v>
      </c>
      <c r="D134">
        <v>18190.999866069473</v>
      </c>
      <c r="E134">
        <v>43381.81107452741</v>
      </c>
      <c r="F134">
        <v>57163.873176635258</v>
      </c>
      <c r="G134">
        <v>190360.40439349826</v>
      </c>
      <c r="H134">
        <v>78224.722336635765</v>
      </c>
      <c r="I134">
        <v>21059.418144756826</v>
      </c>
      <c r="J134">
        <v>45563.993844469514</v>
      </c>
      <c r="K134">
        <v>61780.848481369801</v>
      </c>
      <c r="L134">
        <v>206628.98280723189</v>
      </c>
    </row>
    <row r="135" spans="1:12" x14ac:dyDescent="0.25">
      <c r="A135" t="s">
        <v>161</v>
      </c>
      <c r="B135" t="s">
        <v>162</v>
      </c>
      <c r="C135">
        <v>288426.75180354732</v>
      </c>
      <c r="D135">
        <v>0</v>
      </c>
      <c r="E135">
        <v>140202.62868930915</v>
      </c>
      <c r="F135">
        <v>193330.12430754534</v>
      </c>
      <c r="G135">
        <v>621959.50480040186</v>
      </c>
      <c r="H135">
        <v>302468.92636832502</v>
      </c>
      <c r="I135">
        <v>0</v>
      </c>
      <c r="J135">
        <v>145929.97815942677</v>
      </c>
      <c r="K135">
        <v>197868.47264381015</v>
      </c>
      <c r="L135">
        <v>646267.37717156194</v>
      </c>
    </row>
    <row r="136" spans="1:12" x14ac:dyDescent="0.25">
      <c r="A136" t="s">
        <v>457</v>
      </c>
      <c r="B136" t="s">
        <v>458</v>
      </c>
      <c r="C136">
        <v>164326.95190744323</v>
      </c>
      <c r="D136">
        <v>43297.443581113053</v>
      </c>
      <c r="E136">
        <v>106939.86526243553</v>
      </c>
      <c r="F136">
        <v>146990.77471667511</v>
      </c>
      <c r="G136">
        <v>461555.03546766692</v>
      </c>
      <c r="H136">
        <v>147894.2567166989</v>
      </c>
      <c r="I136">
        <v>38967.699223001749</v>
      </c>
      <c r="J136">
        <v>96245.878736191982</v>
      </c>
      <c r="K136">
        <v>132291.69724500761</v>
      </c>
      <c r="L136">
        <v>415399.53192090022</v>
      </c>
    </row>
    <row r="137" spans="1:12" x14ac:dyDescent="0.25">
      <c r="A137" t="s">
        <v>459</v>
      </c>
      <c r="B137" t="s">
        <v>460</v>
      </c>
      <c r="C137">
        <v>19632.409156375907</v>
      </c>
      <c r="D137">
        <v>5141.8366091035523</v>
      </c>
      <c r="E137">
        <v>15187.479207103177</v>
      </c>
      <c r="F137">
        <v>20942.526331187182</v>
      </c>
      <c r="G137">
        <v>60904.251303769823</v>
      </c>
      <c r="H137">
        <v>16687.547782919519</v>
      </c>
      <c r="I137">
        <v>4370.5611177380197</v>
      </c>
      <c r="J137">
        <v>12909.3573260377</v>
      </c>
      <c r="K137">
        <v>17801.147381509105</v>
      </c>
      <c r="L137">
        <v>51768.613608204338</v>
      </c>
    </row>
    <row r="138" spans="1:12" x14ac:dyDescent="0.25">
      <c r="A138" t="s">
        <v>284</v>
      </c>
      <c r="B138" t="s">
        <v>285</v>
      </c>
      <c r="C138">
        <v>103242.06402561882</v>
      </c>
      <c r="D138">
        <v>27202.582354626004</v>
      </c>
      <c r="E138">
        <v>57140.317723135166</v>
      </c>
      <c r="F138">
        <v>78540.397905578109</v>
      </c>
      <c r="G138">
        <v>266125.36200895812</v>
      </c>
      <c r="H138">
        <v>92917.857623056945</v>
      </c>
      <c r="I138">
        <v>24482.324119163404</v>
      </c>
      <c r="J138">
        <v>51426.28595082165</v>
      </c>
      <c r="K138">
        <v>70686.358115020295</v>
      </c>
      <c r="L138">
        <v>239512.82580806231</v>
      </c>
    </row>
    <row r="139" spans="1:12" x14ac:dyDescent="0.25">
      <c r="A139" t="s">
        <v>461</v>
      </c>
      <c r="B139" t="s">
        <v>462</v>
      </c>
      <c r="C139">
        <v>41368.872918188186</v>
      </c>
      <c r="D139">
        <v>10506.870612298748</v>
      </c>
      <c r="E139">
        <v>22525.324704684172</v>
      </c>
      <c r="F139">
        <v>29681.44419948291</v>
      </c>
      <c r="G139">
        <v>104082.51243465403</v>
      </c>
      <c r="H139">
        <v>35163.541980459959</v>
      </c>
      <c r="I139">
        <v>8930.8400204539357</v>
      </c>
      <c r="J139">
        <v>19146.525998981546</v>
      </c>
      <c r="K139">
        <v>25229.227569560473</v>
      </c>
      <c r="L139">
        <v>88470.135569455917</v>
      </c>
    </row>
    <row r="140" spans="1:12" x14ac:dyDescent="0.25">
      <c r="A140" t="s">
        <v>463</v>
      </c>
      <c r="B140" t="s">
        <v>464</v>
      </c>
      <c r="C140">
        <v>125611.17789783623</v>
      </c>
      <c r="D140">
        <v>33096.47519812829</v>
      </c>
      <c r="E140">
        <v>75763.265762064344</v>
      </c>
      <c r="F140">
        <v>104137.97606815456</v>
      </c>
      <c r="G140">
        <v>338608.89492618339</v>
      </c>
      <c r="H140">
        <v>113050.06010805261</v>
      </c>
      <c r="I140">
        <v>29786.827678315462</v>
      </c>
      <c r="J140">
        <v>68186.939185857918</v>
      </c>
      <c r="K140">
        <v>93724.178461339106</v>
      </c>
      <c r="L140">
        <v>304748.00543356512</v>
      </c>
    </row>
    <row r="141" spans="1:12" x14ac:dyDescent="0.25">
      <c r="A141" t="s">
        <v>163</v>
      </c>
      <c r="B141" t="s">
        <v>164</v>
      </c>
      <c r="C141">
        <v>1294827.5529879692</v>
      </c>
      <c r="D141">
        <v>0</v>
      </c>
      <c r="E141">
        <v>786902.80809757882</v>
      </c>
      <c r="F141">
        <v>1081612.1107422076</v>
      </c>
      <c r="G141">
        <v>3163342.4718277557</v>
      </c>
      <c r="H141">
        <v>1255941.3752937629</v>
      </c>
      <c r="I141">
        <v>0</v>
      </c>
      <c r="J141">
        <v>764035.69024849357</v>
      </c>
      <c r="K141">
        <v>1035966.5435546614</v>
      </c>
      <c r="L141">
        <v>3055943.6090969178</v>
      </c>
    </row>
    <row r="142" spans="1:12" x14ac:dyDescent="0.25">
      <c r="A142" t="s">
        <v>465</v>
      </c>
      <c r="B142" t="s">
        <v>466</v>
      </c>
      <c r="C142">
        <v>64526.290016011735</v>
      </c>
      <c r="D142">
        <v>0</v>
      </c>
      <c r="E142">
        <v>30867.003455710452</v>
      </c>
      <c r="F142">
        <v>42427.253297942247</v>
      </c>
      <c r="G142">
        <v>137820.54676966445</v>
      </c>
      <c r="H142">
        <v>54847.346513609977</v>
      </c>
      <c r="I142">
        <v>0</v>
      </c>
      <c r="J142">
        <v>26236.952937353883</v>
      </c>
      <c r="K142">
        <v>36063.165303250906</v>
      </c>
      <c r="L142">
        <v>117147.46475421476</v>
      </c>
    </row>
    <row r="143" spans="1:12" x14ac:dyDescent="0.25">
      <c r="A143" t="s">
        <v>165</v>
      </c>
      <c r="B143" t="s">
        <v>166</v>
      </c>
      <c r="C143">
        <v>887881.75062032172</v>
      </c>
      <c r="D143">
        <v>0</v>
      </c>
      <c r="E143">
        <v>494900.95540655777</v>
      </c>
      <c r="F143">
        <v>680250.2945436741</v>
      </c>
      <c r="G143">
        <v>2063033.0005705538</v>
      </c>
      <c r="H143">
        <v>777032.24187724851</v>
      </c>
      <c r="I143">
        <v>0</v>
      </c>
      <c r="J143">
        <v>420665.8120955741</v>
      </c>
      <c r="K143">
        <v>578212.75036212301</v>
      </c>
      <c r="L143">
        <v>1775910.8043349455</v>
      </c>
    </row>
    <row r="144" spans="1:12" x14ac:dyDescent="0.25">
      <c r="A144" t="s">
        <v>167</v>
      </c>
      <c r="B144" t="s">
        <v>168</v>
      </c>
      <c r="C144">
        <v>180673.61204483293</v>
      </c>
      <c r="D144">
        <v>0</v>
      </c>
      <c r="E144">
        <v>86427.609675989283</v>
      </c>
      <c r="F144">
        <v>118796.30923423827</v>
      </c>
      <c r="G144">
        <v>385897.5309550605</v>
      </c>
      <c r="H144">
        <v>153572.57023810799</v>
      </c>
      <c r="I144">
        <v>0</v>
      </c>
      <c r="J144">
        <v>73463.468224590892</v>
      </c>
      <c r="K144">
        <v>100976.86284910253</v>
      </c>
      <c r="L144">
        <v>328012.9013118014</v>
      </c>
    </row>
    <row r="145" spans="1:12" x14ac:dyDescent="0.25">
      <c r="A145" t="s">
        <v>169</v>
      </c>
      <c r="B145" t="s">
        <v>170</v>
      </c>
      <c r="C145">
        <v>126358.38650441123</v>
      </c>
      <c r="D145">
        <v>0</v>
      </c>
      <c r="E145">
        <v>0</v>
      </c>
      <c r="F145">
        <v>0</v>
      </c>
      <c r="G145">
        <v>126358.38650441123</v>
      </c>
      <c r="H145">
        <v>132112.86439076255</v>
      </c>
      <c r="I145">
        <v>0</v>
      </c>
      <c r="J145">
        <v>0</v>
      </c>
      <c r="K145">
        <v>0</v>
      </c>
      <c r="L145">
        <v>132112.86439076255</v>
      </c>
    </row>
    <row r="146" spans="1:12" x14ac:dyDescent="0.25">
      <c r="A146" t="s">
        <v>171</v>
      </c>
      <c r="B146" t="s">
        <v>172</v>
      </c>
      <c r="C146">
        <v>178952.91097773926</v>
      </c>
      <c r="D146">
        <v>0</v>
      </c>
      <c r="E146">
        <v>85604.489583837028</v>
      </c>
      <c r="F146">
        <v>117664.91581295978</v>
      </c>
      <c r="G146">
        <v>382222.31637453608</v>
      </c>
      <c r="H146">
        <v>187739.33360792574</v>
      </c>
      <c r="I146">
        <v>0</v>
      </c>
      <c r="J146">
        <v>90577.227823092529</v>
      </c>
      <c r="K146">
        <v>122814.91405477871</v>
      </c>
      <c r="L146">
        <v>401131.47548579698</v>
      </c>
    </row>
    <row r="147" spans="1:12" x14ac:dyDescent="0.25">
      <c r="A147" t="s">
        <v>467</v>
      </c>
      <c r="B147" t="s">
        <v>468</v>
      </c>
      <c r="C147">
        <v>71150.931113684783</v>
      </c>
      <c r="D147">
        <v>18499.812526317153</v>
      </c>
      <c r="E147">
        <v>34128.880920257703</v>
      </c>
      <c r="F147">
        <v>46491.291797766848</v>
      </c>
      <c r="G147">
        <v>170270.91635802647</v>
      </c>
      <c r="H147">
        <v>112122.1020158446</v>
      </c>
      <c r="I147">
        <v>30185.166007484779</v>
      </c>
      <c r="J147">
        <v>54094.733283235808</v>
      </c>
      <c r="K147">
        <v>73347.795893826187</v>
      </c>
      <c r="L147">
        <v>269749.79720039136</v>
      </c>
    </row>
    <row r="148" spans="1:12" x14ac:dyDescent="0.25">
      <c r="A148" t="s">
        <v>469</v>
      </c>
      <c r="B148" t="s">
        <v>470</v>
      </c>
      <c r="C148">
        <v>15486.309603842823</v>
      </c>
      <c r="D148">
        <v>4080.3873531938998</v>
      </c>
      <c r="E148">
        <v>9911.2096076078942</v>
      </c>
      <c r="F148">
        <v>13623.136470449468</v>
      </c>
      <c r="G148">
        <v>43101.043035094088</v>
      </c>
      <c r="H148">
        <v>13937.678643458541</v>
      </c>
      <c r="I148">
        <v>3672.3486178745097</v>
      </c>
      <c r="J148">
        <v>8920.0886468471053</v>
      </c>
      <c r="K148">
        <v>12260.822823404522</v>
      </c>
      <c r="L148">
        <v>38790.938731584683</v>
      </c>
    </row>
    <row r="149" spans="1:12" x14ac:dyDescent="0.25">
      <c r="A149" t="s">
        <v>173</v>
      </c>
      <c r="B149" t="s">
        <v>174</v>
      </c>
      <c r="C149">
        <v>374252.48209286825</v>
      </c>
      <c r="D149">
        <v>0</v>
      </c>
      <c r="E149">
        <v>179028.6200431207</v>
      </c>
      <c r="F149">
        <v>246078.06912806502</v>
      </c>
      <c r="G149">
        <v>799359.1712640539</v>
      </c>
      <c r="H149">
        <v>402422.73824291507</v>
      </c>
      <c r="I149">
        <v>0</v>
      </c>
      <c r="J149">
        <v>194153.96519486964</v>
      </c>
      <c r="K149">
        <v>263256.04262667848</v>
      </c>
      <c r="L149">
        <v>859832.74606446316</v>
      </c>
    </row>
    <row r="150" spans="1:12" x14ac:dyDescent="0.25">
      <c r="A150" t="s">
        <v>471</v>
      </c>
      <c r="B150" t="s">
        <v>472</v>
      </c>
      <c r="C150">
        <v>183254.6636454734</v>
      </c>
      <c r="D150">
        <v>48284.583679461124</v>
      </c>
      <c r="E150">
        <v>89255.891468629154</v>
      </c>
      <c r="F150">
        <v>122683.83359942214</v>
      </c>
      <c r="G150">
        <v>443478.97239298583</v>
      </c>
      <c r="H150">
        <v>155766.46409865239</v>
      </c>
      <c r="I150">
        <v>41041.896127541957</v>
      </c>
      <c r="J150">
        <v>75867.507748334785</v>
      </c>
      <c r="K150">
        <v>104281.25855950882</v>
      </c>
      <c r="L150">
        <v>376957.12653403799</v>
      </c>
    </row>
    <row r="151" spans="1:12" x14ac:dyDescent="0.25">
      <c r="A151" t="s">
        <v>473</v>
      </c>
      <c r="B151" t="s">
        <v>474</v>
      </c>
      <c r="C151">
        <v>45324.203854843152</v>
      </c>
      <c r="D151">
        <v>11870.659825955108</v>
      </c>
      <c r="E151">
        <v>25605.606656467629</v>
      </c>
      <c r="F151">
        <v>35308.432974070725</v>
      </c>
      <c r="G151">
        <v>118108.90331133662</v>
      </c>
      <c r="H151">
        <v>38525.573276616677</v>
      </c>
      <c r="I151">
        <v>10090.060852061843</v>
      </c>
      <c r="J151">
        <v>21764.765657997483</v>
      </c>
      <c r="K151">
        <v>30012.168027960117</v>
      </c>
      <c r="L151">
        <v>100392.56781463612</v>
      </c>
    </row>
    <row r="152" spans="1:12" x14ac:dyDescent="0.25">
      <c r="A152" t="s">
        <v>475</v>
      </c>
      <c r="B152" t="s">
        <v>476</v>
      </c>
      <c r="C152">
        <v>1185563.0352275227</v>
      </c>
      <c r="D152">
        <v>261034.05197684217</v>
      </c>
      <c r="E152">
        <v>708500.61932007421</v>
      </c>
      <c r="F152">
        <v>973846.88736543432</v>
      </c>
      <c r="G152">
        <v>3128944.5938898735</v>
      </c>
      <c r="H152">
        <v>1420213.2922006983</v>
      </c>
      <c r="I152">
        <v>382345.43609480723</v>
      </c>
      <c r="J152">
        <v>882918.30176630197</v>
      </c>
      <c r="K152">
        <v>1197161.1182515584</v>
      </c>
      <c r="L152">
        <v>3882638.1483133659</v>
      </c>
    </row>
    <row r="153" spans="1:12" x14ac:dyDescent="0.25">
      <c r="A153" t="s">
        <v>477</v>
      </c>
      <c r="B153" t="s">
        <v>478</v>
      </c>
      <c r="C153">
        <v>106683.46615980611</v>
      </c>
      <c r="D153">
        <v>28109.335099780204</v>
      </c>
      <c r="E153">
        <v>55693.066821108448</v>
      </c>
      <c r="F153">
        <v>76551.125422615267</v>
      </c>
      <c r="G153">
        <v>267036.99350331002</v>
      </c>
      <c r="H153">
        <v>90680.946235835188</v>
      </c>
      <c r="I153">
        <v>23892.934834813172</v>
      </c>
      <c r="J153">
        <v>47339.106797942179</v>
      </c>
      <c r="K153">
        <v>65068.456609222972</v>
      </c>
      <c r="L153">
        <v>226981.44447781352</v>
      </c>
    </row>
    <row r="154" spans="1:12" x14ac:dyDescent="0.25">
      <c r="A154" t="s">
        <v>479</v>
      </c>
      <c r="B154" t="s">
        <v>480</v>
      </c>
      <c r="C154">
        <v>228853.24192345503</v>
      </c>
      <c r="D154">
        <v>60299.057552754297</v>
      </c>
      <c r="E154">
        <v>157582.37008810914</v>
      </c>
      <c r="F154">
        <v>216599.81153050347</v>
      </c>
      <c r="G154">
        <v>663334.48109482194</v>
      </c>
      <c r="H154">
        <v>194525.25563493677</v>
      </c>
      <c r="I154">
        <v>51254.198919841154</v>
      </c>
      <c r="J154">
        <v>133945.01457489276</v>
      </c>
      <c r="K154">
        <v>184109.83980092793</v>
      </c>
      <c r="L154">
        <v>563834.30893059855</v>
      </c>
    </row>
    <row r="155" spans="1:12" x14ac:dyDescent="0.25">
      <c r="A155" t="s">
        <v>481</v>
      </c>
      <c r="B155" t="s">
        <v>482</v>
      </c>
      <c r="C155">
        <v>291173.67324929539</v>
      </c>
      <c r="D155">
        <v>76259.99645765101</v>
      </c>
      <c r="E155">
        <v>150916.49630401793</v>
      </c>
      <c r="F155">
        <v>208103.83701985318</v>
      </c>
      <c r="G155">
        <v>726454.00303081749</v>
      </c>
      <c r="H155">
        <v>247497.62226190107</v>
      </c>
      <c r="I155">
        <v>64820.996989003354</v>
      </c>
      <c r="J155">
        <v>128279.02185841523</v>
      </c>
      <c r="K155">
        <v>176888.26146687521</v>
      </c>
      <c r="L155">
        <v>617485.90257619484</v>
      </c>
    </row>
    <row r="156" spans="1:12" x14ac:dyDescent="0.25">
      <c r="A156" t="s">
        <v>175</v>
      </c>
      <c r="B156" t="s">
        <v>176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</row>
    <row r="157" spans="1:12" x14ac:dyDescent="0.25">
      <c r="A157" t="s">
        <v>483</v>
      </c>
      <c r="B157" t="s">
        <v>484</v>
      </c>
      <c r="C157">
        <v>801846.69726563944</v>
      </c>
      <c r="D157">
        <v>155521.93077018767</v>
      </c>
      <c r="E157">
        <v>433166.94849513663</v>
      </c>
      <c r="F157">
        <v>595395.7879477893</v>
      </c>
      <c r="G157">
        <v>1985931.3644787529</v>
      </c>
      <c r="H157">
        <v>788331.36843698495</v>
      </c>
      <c r="I157">
        <v>132193.6411546595</v>
      </c>
      <c r="J157">
        <v>425629.10296499496</v>
      </c>
      <c r="K157">
        <v>577116.37854444631</v>
      </c>
      <c r="L157">
        <v>1923270.4911010857</v>
      </c>
    </row>
    <row r="158" spans="1:12" x14ac:dyDescent="0.25">
      <c r="A158" t="s">
        <v>286</v>
      </c>
      <c r="B158" t="s">
        <v>287</v>
      </c>
      <c r="C158">
        <v>1996873.5883621771</v>
      </c>
      <c r="D158">
        <v>0</v>
      </c>
      <c r="E158">
        <v>1302793.325854019</v>
      </c>
      <c r="F158">
        <v>1790712.9375284822</v>
      </c>
      <c r="G158">
        <v>5090379.8517446779</v>
      </c>
      <c r="H158">
        <v>2138142.4105347102</v>
      </c>
      <c r="I158">
        <v>0</v>
      </c>
      <c r="J158">
        <v>1443993.9074482364</v>
      </c>
      <c r="K158">
        <v>1957931.2803131046</v>
      </c>
      <c r="L158">
        <v>5540067.5982960509</v>
      </c>
    </row>
    <row r="159" spans="1:12" x14ac:dyDescent="0.25">
      <c r="A159" t="s">
        <v>485</v>
      </c>
      <c r="B159" t="s">
        <v>486</v>
      </c>
      <c r="C159">
        <v>188416.76684675436</v>
      </c>
      <c r="D159">
        <v>0</v>
      </c>
      <c r="E159">
        <v>90131.65009067455</v>
      </c>
      <c r="F159">
        <v>123887.57962999133</v>
      </c>
      <c r="G159">
        <v>402435.9965674202</v>
      </c>
      <c r="H159">
        <v>160154.25181974118</v>
      </c>
      <c r="I159">
        <v>0</v>
      </c>
      <c r="J159">
        <v>76611.902577073372</v>
      </c>
      <c r="K159">
        <v>105304.44268549263</v>
      </c>
      <c r="L159">
        <v>342070.59708230721</v>
      </c>
    </row>
    <row r="160" spans="1:12" x14ac:dyDescent="0.25">
      <c r="A160" t="s">
        <v>487</v>
      </c>
      <c r="B160" t="s">
        <v>488</v>
      </c>
      <c r="C160">
        <v>65538.829396048022</v>
      </c>
      <c r="D160">
        <v>16645.558652458367</v>
      </c>
      <c r="E160">
        <v>29372.545979747349</v>
      </c>
      <c r="F160">
        <v>39780.615224872839</v>
      </c>
      <c r="G160">
        <v>151337.54925312658</v>
      </c>
      <c r="H160">
        <v>76486.395173599405</v>
      </c>
      <c r="I160">
        <v>14148.724854589611</v>
      </c>
      <c r="J160">
        <v>36901.833557556216</v>
      </c>
      <c r="K160">
        <v>50035.705726020962</v>
      </c>
      <c r="L160">
        <v>177572.65931176621</v>
      </c>
    </row>
    <row r="161" spans="1:12" x14ac:dyDescent="0.25">
      <c r="A161" t="s">
        <v>489</v>
      </c>
      <c r="B161" t="s">
        <v>490</v>
      </c>
      <c r="C161">
        <v>33290.802631173603</v>
      </c>
      <c r="D161">
        <v>0</v>
      </c>
      <c r="E161">
        <v>16023.157564492476</v>
      </c>
      <c r="F161">
        <v>22094.871349433746</v>
      </c>
      <c r="G161">
        <v>71408.83154509982</v>
      </c>
      <c r="H161">
        <v>34766.54326072699</v>
      </c>
      <c r="I161">
        <v>0</v>
      </c>
      <c r="J161">
        <v>16773.560707980087</v>
      </c>
      <c r="K161">
        <v>22743.5026027368</v>
      </c>
      <c r="L161">
        <v>74283.606571443874</v>
      </c>
    </row>
    <row r="162" spans="1:12" x14ac:dyDescent="0.25">
      <c r="A162" t="s">
        <v>491</v>
      </c>
      <c r="B162" t="s">
        <v>492</v>
      </c>
      <c r="C162">
        <v>60008.823143023299</v>
      </c>
      <c r="D162">
        <v>15602.775124573644</v>
      </c>
      <c r="E162">
        <v>40531.760618726796</v>
      </c>
      <c r="F162">
        <v>55711.636435643173</v>
      </c>
      <c r="G162">
        <v>171854.99532196691</v>
      </c>
      <c r="H162">
        <v>60841.45070627224</v>
      </c>
      <c r="I162">
        <v>16379.54744592198</v>
      </c>
      <c r="J162">
        <v>44224.310517674036</v>
      </c>
      <c r="K162">
        <v>59964.353357867432</v>
      </c>
      <c r="L162">
        <v>181409.6620277357</v>
      </c>
    </row>
    <row r="163" spans="1:12" x14ac:dyDescent="0.25">
      <c r="A163" t="s">
        <v>493</v>
      </c>
      <c r="B163" t="s">
        <v>494</v>
      </c>
      <c r="C163">
        <v>234875.69565828278</v>
      </c>
      <c r="D163">
        <v>61885.874856774142</v>
      </c>
      <c r="E163">
        <v>143377.85888625012</v>
      </c>
      <c r="F163">
        <v>197708.55611312875</v>
      </c>
      <c r="G163">
        <v>637847.9855144358</v>
      </c>
      <c r="H163">
        <v>241627.47566205272</v>
      </c>
      <c r="I163">
        <v>65050.202713804443</v>
      </c>
      <c r="J163">
        <v>133938.76927880064</v>
      </c>
      <c r="K163">
        <v>181609.42692689612</v>
      </c>
      <c r="L163">
        <v>622225.87458155397</v>
      </c>
    </row>
    <row r="164" spans="1:12" x14ac:dyDescent="0.25">
      <c r="A164" t="s">
        <v>495</v>
      </c>
      <c r="B164" t="s">
        <v>496</v>
      </c>
      <c r="C164">
        <v>183425.79488940752</v>
      </c>
      <c r="D164">
        <v>47692.177246744221</v>
      </c>
      <c r="E164">
        <v>85401.938378745821</v>
      </c>
      <c r="F164">
        <v>115663.84652000164</v>
      </c>
      <c r="G164">
        <v>432183.7570348992</v>
      </c>
      <c r="H164">
        <v>155911.9256559964</v>
      </c>
      <c r="I164">
        <v>40538.350659732583</v>
      </c>
      <c r="J164">
        <v>72591.647621933953</v>
      </c>
      <c r="K164">
        <v>98314.269542001392</v>
      </c>
      <c r="L164">
        <v>367356.19347966439</v>
      </c>
    </row>
    <row r="165" spans="1:12" x14ac:dyDescent="0.25">
      <c r="A165" t="s">
        <v>177</v>
      </c>
      <c r="B165" t="s">
        <v>178</v>
      </c>
      <c r="C165">
        <v>207392.56915397925</v>
      </c>
      <c r="D165">
        <v>0</v>
      </c>
      <c r="E165">
        <v>100812.36634326512</v>
      </c>
      <c r="F165">
        <v>139013.56557352067</v>
      </c>
      <c r="G165">
        <v>447218.50107076502</v>
      </c>
      <c r="H165">
        <v>216421.7317980256</v>
      </c>
      <c r="I165">
        <v>0</v>
      </c>
      <c r="J165">
        <v>104415.41540717609</v>
      </c>
      <c r="K165">
        <v>141578.30370203656</v>
      </c>
      <c r="L165">
        <v>462415.45090723824</v>
      </c>
    </row>
    <row r="166" spans="1:12" x14ac:dyDescent="0.25">
      <c r="A166" t="s">
        <v>497</v>
      </c>
      <c r="B166" t="s">
        <v>498</v>
      </c>
      <c r="C166">
        <v>137656.08536749179</v>
      </c>
      <c r="D166">
        <v>36270.109806167995</v>
      </c>
      <c r="E166">
        <v>82838.590005181162</v>
      </c>
      <c r="F166">
        <v>113863.13692669111</v>
      </c>
      <c r="G166">
        <v>370627.92210553202</v>
      </c>
      <c r="H166">
        <v>123890.47683074261</v>
      </c>
      <c r="I166">
        <v>32643.098825551195</v>
      </c>
      <c r="J166">
        <v>74554.731004663045</v>
      </c>
      <c r="K166">
        <v>102476.823234022</v>
      </c>
      <c r="L166">
        <v>333565.12989497883</v>
      </c>
    </row>
    <row r="167" spans="1:12" x14ac:dyDescent="0.25">
      <c r="A167" t="s">
        <v>499</v>
      </c>
      <c r="B167" t="s">
        <v>500</v>
      </c>
      <c r="C167">
        <v>356185.12088838493</v>
      </c>
      <c r="D167">
        <v>93848.909123459685</v>
      </c>
      <c r="E167">
        <v>191846.51363214594</v>
      </c>
      <c r="F167">
        <v>263696.49518707505</v>
      </c>
      <c r="G167">
        <v>905577.03883106564</v>
      </c>
      <c r="H167">
        <v>302757.35275512718</v>
      </c>
      <c r="I167">
        <v>79771.572754940731</v>
      </c>
      <c r="J167">
        <v>163069.53658732405</v>
      </c>
      <c r="K167">
        <v>224142.02090901378</v>
      </c>
      <c r="L167">
        <v>769740.48300640576</v>
      </c>
    </row>
    <row r="168" spans="1:12" x14ac:dyDescent="0.25">
      <c r="A168" t="s">
        <v>179</v>
      </c>
      <c r="B168" t="s">
        <v>180</v>
      </c>
      <c r="C168">
        <v>492120.50518878293</v>
      </c>
      <c r="D168">
        <v>0</v>
      </c>
      <c r="E168">
        <v>235412.3463555518</v>
      </c>
      <c r="F168">
        <v>323578.51848563948</v>
      </c>
      <c r="G168">
        <v>1051111.3700299743</v>
      </c>
      <c r="H168">
        <v>433712.62717756949</v>
      </c>
      <c r="I168">
        <v>0</v>
      </c>
      <c r="J168">
        <v>209250.16983205176</v>
      </c>
      <c r="K168">
        <v>283725.19496914151</v>
      </c>
      <c r="L168">
        <v>926687.99197876279</v>
      </c>
    </row>
    <row r="169" spans="1:12" x14ac:dyDescent="0.25">
      <c r="A169" t="s">
        <v>501</v>
      </c>
      <c r="B169" t="s">
        <v>502</v>
      </c>
      <c r="C169">
        <v>295100.23300656042</v>
      </c>
      <c r="D169">
        <v>72303.109848999302</v>
      </c>
      <c r="E169">
        <v>141165.09580411582</v>
      </c>
      <c r="F169">
        <v>194033.97174925587</v>
      </c>
      <c r="G169">
        <v>702602.41040893144</v>
      </c>
      <c r="H169">
        <v>323328.85232476116</v>
      </c>
      <c r="I169">
        <v>87045.594998328219</v>
      </c>
      <c r="J169">
        <v>155994.1145842149</v>
      </c>
      <c r="K169">
        <v>211514.5742054522</v>
      </c>
      <c r="L169">
        <v>777883.13611275645</v>
      </c>
    </row>
    <row r="170" spans="1:12" x14ac:dyDescent="0.25">
      <c r="A170" t="s">
        <v>503</v>
      </c>
      <c r="B170" t="s">
        <v>504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8691.6358151817476</v>
      </c>
      <c r="I170">
        <v>2339.9353494174252</v>
      </c>
      <c r="J170">
        <v>4839.4448346137633</v>
      </c>
      <c r="K170">
        <v>6561.870082806864</v>
      </c>
      <c r="L170">
        <v>22432.886082019799</v>
      </c>
    </row>
    <row r="171" spans="1:12" x14ac:dyDescent="0.25">
      <c r="A171" t="s">
        <v>181</v>
      </c>
      <c r="B171" t="s">
        <v>182</v>
      </c>
      <c r="C171">
        <v>1296548.2540550628</v>
      </c>
      <c r="D171">
        <v>0</v>
      </c>
      <c r="E171">
        <v>798988.07563776523</v>
      </c>
      <c r="F171">
        <v>1101751.5536431181</v>
      </c>
      <c r="G171">
        <v>3197287.8833359461</v>
      </c>
      <c r="H171">
        <v>1397615.0390812259</v>
      </c>
      <c r="I171">
        <v>0</v>
      </c>
      <c r="J171">
        <v>866564.08007602161</v>
      </c>
      <c r="K171">
        <v>1174986.2032138899</v>
      </c>
      <c r="L171">
        <v>3439165.3223711373</v>
      </c>
    </row>
    <row r="172" spans="1:12" x14ac:dyDescent="0.25">
      <c r="A172" t="s">
        <v>505</v>
      </c>
      <c r="B172" t="s">
        <v>506</v>
      </c>
      <c r="C172">
        <v>60224.537348277634</v>
      </c>
      <c r="D172">
        <v>15868.173040198501</v>
      </c>
      <c r="E172">
        <v>46507.571331747757</v>
      </c>
      <c r="F172">
        <v>63925.496104453719</v>
      </c>
      <c r="G172">
        <v>186525.77782467761</v>
      </c>
      <c r="H172">
        <v>54202.083613449875</v>
      </c>
      <c r="I172">
        <v>14281.355736178652</v>
      </c>
      <c r="J172">
        <v>41856.814198572982</v>
      </c>
      <c r="K172">
        <v>57532.946494008349</v>
      </c>
      <c r="L172">
        <v>167873.20004220985</v>
      </c>
    </row>
    <row r="173" spans="1:12" x14ac:dyDescent="0.25">
      <c r="A173" t="s">
        <v>183</v>
      </c>
      <c r="B173" t="s">
        <v>184</v>
      </c>
      <c r="C173">
        <v>872395.4410164787</v>
      </c>
      <c r="D173">
        <v>0</v>
      </c>
      <c r="E173">
        <v>0</v>
      </c>
      <c r="F173">
        <v>0</v>
      </c>
      <c r="G173">
        <v>872395.4410164787</v>
      </c>
      <c r="H173">
        <v>909145.1062680115</v>
      </c>
      <c r="I173">
        <v>0</v>
      </c>
      <c r="J173">
        <v>0</v>
      </c>
      <c r="K173">
        <v>0</v>
      </c>
      <c r="L173">
        <v>909145.1062680115</v>
      </c>
    </row>
    <row r="174" spans="1:12" x14ac:dyDescent="0.25">
      <c r="A174" t="s">
        <v>185</v>
      </c>
      <c r="B174" t="s">
        <v>186</v>
      </c>
      <c r="C174">
        <v>384569.00240472978</v>
      </c>
      <c r="D174">
        <v>0</v>
      </c>
      <c r="E174">
        <v>186936.83825241221</v>
      </c>
      <c r="F174">
        <v>257773.49907672699</v>
      </c>
      <c r="G174">
        <v>829279.33973386895</v>
      </c>
      <c r="H174">
        <v>499769.05937295075</v>
      </c>
      <c r="I174">
        <v>0</v>
      </c>
      <c r="J174">
        <v>241119.93517721377</v>
      </c>
      <c r="K174">
        <v>326937.84991434147</v>
      </c>
      <c r="L174">
        <v>1067826.844464506</v>
      </c>
    </row>
    <row r="175" spans="1:12" x14ac:dyDescent="0.25">
      <c r="A175" t="s">
        <v>187</v>
      </c>
      <c r="B175" t="s">
        <v>188</v>
      </c>
      <c r="C175">
        <v>14625.959070295998</v>
      </c>
      <c r="D175">
        <v>0</v>
      </c>
      <c r="E175">
        <v>6996.5207832943697</v>
      </c>
      <c r="F175">
        <v>9616.8440808669056</v>
      </c>
      <c r="G175">
        <v>31239.323934457272</v>
      </c>
      <c r="H175">
        <v>0</v>
      </c>
      <c r="I175">
        <v>0</v>
      </c>
      <c r="J175">
        <v>0</v>
      </c>
      <c r="K175">
        <v>0</v>
      </c>
      <c r="L175">
        <v>0</v>
      </c>
    </row>
    <row r="176" spans="1:12" x14ac:dyDescent="0.25">
      <c r="A176" t="s">
        <v>507</v>
      </c>
      <c r="B176" t="s">
        <v>508</v>
      </c>
      <c r="C176">
        <v>96359.259757244217</v>
      </c>
      <c r="D176">
        <v>25389.076864317609</v>
      </c>
      <c r="E176">
        <v>62884.831690261322</v>
      </c>
      <c r="F176">
        <v>86436.336023009426</v>
      </c>
      <c r="G176">
        <v>271069.5043348326</v>
      </c>
      <c r="H176">
        <v>86723.333781519803</v>
      </c>
      <c r="I176">
        <v>22850.169177885848</v>
      </c>
      <c r="J176">
        <v>56596.348521235188</v>
      </c>
      <c r="K176">
        <v>77792.702420708491</v>
      </c>
      <c r="L176">
        <v>243962.55390134934</v>
      </c>
    </row>
    <row r="177" spans="1:12" x14ac:dyDescent="0.25">
      <c r="A177" t="s">
        <v>509</v>
      </c>
      <c r="B177" t="s">
        <v>510</v>
      </c>
      <c r="C177">
        <v>166047.6529745369</v>
      </c>
      <c r="D177">
        <v>43750.819953690137</v>
      </c>
      <c r="E177">
        <v>88653.346983171388</v>
      </c>
      <c r="F177">
        <v>121855.62533021074</v>
      </c>
      <c r="G177">
        <v>420307.44524160918</v>
      </c>
      <c r="H177">
        <v>170356.06197756229</v>
      </c>
      <c r="I177">
        <v>45862.732848581538</v>
      </c>
      <c r="J177">
        <v>93706.52427572415</v>
      </c>
      <c r="K177">
        <v>127057.9703297235</v>
      </c>
      <c r="L177">
        <v>436983.28943159146</v>
      </c>
    </row>
    <row r="178" spans="1:12" x14ac:dyDescent="0.25">
      <c r="A178" t="s">
        <v>511</v>
      </c>
      <c r="B178" t="s">
        <v>512</v>
      </c>
      <c r="C178">
        <v>169489.05510872419</v>
      </c>
      <c r="D178">
        <v>44657.572698844357</v>
      </c>
      <c r="E178">
        <v>125910.41691628068</v>
      </c>
      <c r="F178">
        <v>173066.14032105749</v>
      </c>
      <c r="G178">
        <v>513123.18504490668</v>
      </c>
      <c r="H178">
        <v>152540.14959785176</v>
      </c>
      <c r="I178">
        <v>40191.815428959919</v>
      </c>
      <c r="J178">
        <v>113319.37522465261</v>
      </c>
      <c r="K178">
        <v>155759.52628895175</v>
      </c>
      <c r="L178">
        <v>461810.86654041603</v>
      </c>
    </row>
    <row r="179" spans="1:12" x14ac:dyDescent="0.25">
      <c r="A179" t="s">
        <v>288</v>
      </c>
      <c r="B179" t="s">
        <v>289</v>
      </c>
      <c r="C179">
        <v>28155.944818917713</v>
      </c>
      <c r="D179">
        <v>0</v>
      </c>
      <c r="E179">
        <v>13686.447086337319</v>
      </c>
      <c r="F179">
        <v>18872.702610974666</v>
      </c>
      <c r="G179">
        <v>60715.094516229699</v>
      </c>
      <c r="H179">
        <v>39112.361168317882</v>
      </c>
      <c r="I179">
        <v>0</v>
      </c>
      <c r="J179">
        <v>18870.255796477602</v>
      </c>
      <c r="K179">
        <v>25586.440428078899</v>
      </c>
      <c r="L179">
        <v>83569.057392874383</v>
      </c>
    </row>
    <row r="180" spans="1:12" x14ac:dyDescent="0.25">
      <c r="A180" t="s">
        <v>513</v>
      </c>
      <c r="B180" t="s">
        <v>514</v>
      </c>
      <c r="C180">
        <v>189540.06334198822</v>
      </c>
      <c r="D180">
        <v>49281.936064202098</v>
      </c>
      <c r="E180">
        <v>119657.10538548001</v>
      </c>
      <c r="F180">
        <v>162057.22416926097</v>
      </c>
      <c r="G180">
        <v>520536.32896093128</v>
      </c>
      <c r="H180">
        <v>170586.05700778941</v>
      </c>
      <c r="I180">
        <v>44353.742457781889</v>
      </c>
      <c r="J180">
        <v>107691.39484693202</v>
      </c>
      <c r="K180">
        <v>145851.50175233488</v>
      </c>
      <c r="L180">
        <v>468482.69606483821</v>
      </c>
    </row>
    <row r="181" spans="1:12" x14ac:dyDescent="0.25">
      <c r="A181" t="s">
        <v>189</v>
      </c>
      <c r="B181" t="s">
        <v>190</v>
      </c>
      <c r="C181">
        <v>938642.43209958449</v>
      </c>
      <c r="D181">
        <v>0</v>
      </c>
      <c r="E181">
        <v>531324.01948429598</v>
      </c>
      <c r="F181">
        <v>730314.45343524578</v>
      </c>
      <c r="G181">
        <v>2200280.9050191264</v>
      </c>
      <c r="H181">
        <v>797429.69839450764</v>
      </c>
      <c r="I181">
        <v>0</v>
      </c>
      <c r="J181">
        <v>451389.72852461907</v>
      </c>
      <c r="K181">
        <v>620443.32795966254</v>
      </c>
      <c r="L181">
        <v>1869262.7548787892</v>
      </c>
    </row>
    <row r="182" spans="1:12" x14ac:dyDescent="0.25">
      <c r="A182" t="s">
        <v>515</v>
      </c>
      <c r="B182" t="s">
        <v>516</v>
      </c>
      <c r="C182">
        <v>362248.38360727491</v>
      </c>
      <c r="D182">
        <v>94187.483983706727</v>
      </c>
      <c r="E182">
        <v>234856.15125787447</v>
      </c>
      <c r="F182">
        <v>318076.68946457456</v>
      </c>
      <c r="G182">
        <v>1009368.7083134307</v>
      </c>
      <c r="H182">
        <v>341581.28753664275</v>
      </c>
      <c r="I182">
        <v>91959.45923210484</v>
      </c>
      <c r="J182">
        <v>211370.53613208703</v>
      </c>
      <c r="K182">
        <v>286269.02051811712</v>
      </c>
      <c r="L182">
        <v>931180.30341895169</v>
      </c>
    </row>
    <row r="183" spans="1:12" x14ac:dyDescent="0.25">
      <c r="A183" t="s">
        <v>517</v>
      </c>
      <c r="B183" t="s">
        <v>518</v>
      </c>
      <c r="C183">
        <v>110985.21882754021</v>
      </c>
      <c r="D183">
        <v>26259.338402870399</v>
      </c>
      <c r="E183">
        <v>53091.245943821988</v>
      </c>
      <c r="F183">
        <v>72974.875672460665</v>
      </c>
      <c r="G183">
        <v>263310.67884669325</v>
      </c>
      <c r="H183">
        <v>101692.13903762648</v>
      </c>
      <c r="I183">
        <v>22320.43764243984</v>
      </c>
      <c r="J183">
        <v>49062.665070841795</v>
      </c>
      <c r="K183">
        <v>66524.745113005134</v>
      </c>
      <c r="L183">
        <v>239599.98686391325</v>
      </c>
    </row>
    <row r="184" spans="1:12" x14ac:dyDescent="0.25">
      <c r="A184" t="s">
        <v>519</v>
      </c>
      <c r="B184" t="s">
        <v>520</v>
      </c>
      <c r="C184">
        <v>16346.660137389648</v>
      </c>
      <c r="D184">
        <v>4307.0755394824473</v>
      </c>
      <c r="E184">
        <v>12429.010501487892</v>
      </c>
      <c r="F184">
        <v>17083.89923712708</v>
      </c>
      <c r="G184">
        <v>50166.645415487066</v>
      </c>
      <c r="H184">
        <v>20859.925956436204</v>
      </c>
      <c r="I184">
        <v>5615.8448386018226</v>
      </c>
      <c r="J184">
        <v>19264.801394755621</v>
      </c>
      <c r="K184">
        <v>26121.410253362646</v>
      </c>
      <c r="L184">
        <v>71861.982443156288</v>
      </c>
    </row>
    <row r="185" spans="1:12" x14ac:dyDescent="0.25">
      <c r="A185" t="s">
        <v>521</v>
      </c>
      <c r="B185" t="s">
        <v>522</v>
      </c>
      <c r="C185">
        <v>67967.692150199073</v>
      </c>
      <c r="D185">
        <v>0</v>
      </c>
      <c r="E185">
        <v>32513.243640015011</v>
      </c>
      <c r="F185">
        <v>44690.040140499143</v>
      </c>
      <c r="G185">
        <v>145170.97593071323</v>
      </c>
      <c r="H185">
        <v>73009.740847526671</v>
      </c>
      <c r="I185">
        <v>0</v>
      </c>
      <c r="J185">
        <v>35224.477486758195</v>
      </c>
      <c r="K185">
        <v>47761.355465747271</v>
      </c>
      <c r="L185">
        <v>155995.57380003214</v>
      </c>
    </row>
    <row r="186" spans="1:12" x14ac:dyDescent="0.25">
      <c r="A186" t="s">
        <v>290</v>
      </c>
      <c r="B186" t="s">
        <v>291</v>
      </c>
      <c r="C186">
        <v>18927.711738030121</v>
      </c>
      <c r="D186">
        <v>0</v>
      </c>
      <c r="E186">
        <v>9054.3210136750695</v>
      </c>
      <c r="F186">
        <v>12445.327634063058</v>
      </c>
      <c r="G186">
        <v>40427.360385768246</v>
      </c>
      <c r="H186">
        <v>16088.554977325603</v>
      </c>
      <c r="I186">
        <v>0</v>
      </c>
      <c r="J186">
        <v>7696.1728616238088</v>
      </c>
      <c r="K186">
        <v>10578.5284889536</v>
      </c>
      <c r="L186">
        <v>34363.256327903007</v>
      </c>
    </row>
    <row r="187" spans="1:12" x14ac:dyDescent="0.25">
      <c r="A187" t="s">
        <v>523</v>
      </c>
      <c r="B187" t="s">
        <v>524</v>
      </c>
      <c r="C187">
        <v>30972.619207685646</v>
      </c>
      <c r="D187">
        <v>8160.7747063877996</v>
      </c>
      <c r="E187">
        <v>22149.173935707247</v>
      </c>
      <c r="F187">
        <v>30444.439294497824</v>
      </c>
      <c r="G187">
        <v>91727.007144278527</v>
      </c>
      <c r="H187">
        <v>39112.361168317882</v>
      </c>
      <c r="I187">
        <v>10529.709072378413</v>
      </c>
      <c r="J187">
        <v>33587.482796413766</v>
      </c>
      <c r="K187">
        <v>45541.731758611437</v>
      </c>
      <c r="L187">
        <v>128771.2847957215</v>
      </c>
    </row>
    <row r="188" spans="1:12" x14ac:dyDescent="0.25">
      <c r="A188" t="s">
        <v>525</v>
      </c>
      <c r="B188" t="s">
        <v>526</v>
      </c>
      <c r="C188">
        <v>51145.731377996824</v>
      </c>
      <c r="D188">
        <v>13298.300207800568</v>
      </c>
      <c r="E188">
        <v>25741.675201066904</v>
      </c>
      <c r="F188">
        <v>34863.15681055926</v>
      </c>
      <c r="G188">
        <v>125048.86359742355</v>
      </c>
      <c r="H188">
        <v>43473.871671297296</v>
      </c>
      <c r="I188">
        <v>11303.555176630483</v>
      </c>
      <c r="J188">
        <v>21880.423920906869</v>
      </c>
      <c r="K188">
        <v>29633.683288975371</v>
      </c>
      <c r="L188">
        <v>106291.53405781001</v>
      </c>
    </row>
    <row r="189" spans="1:12" x14ac:dyDescent="0.25">
      <c r="A189" t="s">
        <v>527</v>
      </c>
      <c r="B189" t="s">
        <v>528</v>
      </c>
      <c r="C189">
        <v>221699.26327839165</v>
      </c>
      <c r="D189">
        <v>57643.585876897057</v>
      </c>
      <c r="E189">
        <v>195219.57189374111</v>
      </c>
      <c r="F189">
        <v>264395.0129220672</v>
      </c>
      <c r="G189">
        <v>738957.43397109699</v>
      </c>
      <c r="H189">
        <v>199529.33695055248</v>
      </c>
      <c r="I189">
        <v>51879.227289207352</v>
      </c>
      <c r="J189">
        <v>175697.61470436701</v>
      </c>
      <c r="K189">
        <v>237955.51162986047</v>
      </c>
      <c r="L189">
        <v>665061.69057398732</v>
      </c>
    </row>
    <row r="190" spans="1:12" x14ac:dyDescent="0.25">
      <c r="A190" t="s">
        <v>292</v>
      </c>
      <c r="B190" t="s">
        <v>293</v>
      </c>
      <c r="C190">
        <v>148840.64230360044</v>
      </c>
      <c r="D190">
        <v>0</v>
      </c>
      <c r="E190">
        <v>71199.887971172124</v>
      </c>
      <c r="F190">
        <v>97865.530940586759</v>
      </c>
      <c r="G190">
        <v>317906.06121535931</v>
      </c>
      <c r="H190">
        <v>146888.64527657157</v>
      </c>
      <c r="I190">
        <v>0</v>
      </c>
      <c r="J190">
        <v>70868.293991215905</v>
      </c>
      <c r="K190">
        <v>96091.298496562973</v>
      </c>
      <c r="L190">
        <v>313848.23776435043</v>
      </c>
    </row>
    <row r="191" spans="1:12" x14ac:dyDescent="0.25">
      <c r="A191" t="s">
        <v>529</v>
      </c>
      <c r="B191" t="s">
        <v>530</v>
      </c>
      <c r="C191">
        <v>652959.38601576176</v>
      </c>
      <c r="D191">
        <v>171013.67685092546</v>
      </c>
      <c r="E191">
        <v>362946.4858778714</v>
      </c>
      <c r="F191">
        <v>500479.12715852086</v>
      </c>
      <c r="G191">
        <v>1687398.6759030796</v>
      </c>
      <c r="H191">
        <v>784854.71411091217</v>
      </c>
      <c r="I191">
        <v>211296.16205239348</v>
      </c>
      <c r="J191">
        <v>440397.55222594301</v>
      </c>
      <c r="K191">
        <v>597141.12284605182</v>
      </c>
      <c r="L191">
        <v>2033689.5512353005</v>
      </c>
    </row>
    <row r="192" spans="1:12" x14ac:dyDescent="0.25">
      <c r="A192" t="s">
        <v>531</v>
      </c>
      <c r="B192" t="s">
        <v>532</v>
      </c>
      <c r="C192">
        <v>9513.5939129183298</v>
      </c>
      <c r="D192">
        <v>2473.6106904811863</v>
      </c>
      <c r="E192">
        <v>5079.7004827414748</v>
      </c>
      <c r="F192">
        <v>6879.6763651632755</v>
      </c>
      <c r="G192">
        <v>23946.581451304268</v>
      </c>
      <c r="H192">
        <v>0</v>
      </c>
      <c r="I192">
        <v>2102.5690869090085</v>
      </c>
      <c r="J192">
        <v>0</v>
      </c>
      <c r="K192">
        <v>0</v>
      </c>
      <c r="L192">
        <v>2102.5690869090085</v>
      </c>
    </row>
    <row r="193" spans="1:12" x14ac:dyDescent="0.25">
      <c r="A193" t="s">
        <v>533</v>
      </c>
      <c r="B193" t="s">
        <v>534</v>
      </c>
      <c r="C193">
        <v>15794.798313051404</v>
      </c>
      <c r="D193">
        <v>0</v>
      </c>
      <c r="E193">
        <v>0</v>
      </c>
      <c r="F193">
        <v>0</v>
      </c>
      <c r="G193">
        <v>15794.798313051404</v>
      </c>
      <c r="H193">
        <v>13425.578566093693</v>
      </c>
      <c r="I193">
        <v>0</v>
      </c>
      <c r="J193">
        <v>0</v>
      </c>
      <c r="K193">
        <v>0</v>
      </c>
      <c r="L193">
        <v>13425.578566093693</v>
      </c>
    </row>
    <row r="194" spans="1:12" x14ac:dyDescent="0.25">
      <c r="A194" t="s">
        <v>651</v>
      </c>
      <c r="B194" t="s">
        <v>652</v>
      </c>
      <c r="C194">
        <v>866900.40070897446</v>
      </c>
      <c r="D194">
        <v>214313.73646299259</v>
      </c>
      <c r="E194">
        <v>412754.15017507272</v>
      </c>
      <c r="F194">
        <v>548377.30802943988</v>
      </c>
      <c r="G194">
        <v>2042345.5953764794</v>
      </c>
      <c r="H194">
        <v>823555.38067352574</v>
      </c>
      <c r="I194">
        <v>203598.04963984294</v>
      </c>
      <c r="J194">
        <v>392116.44266631908</v>
      </c>
      <c r="K194">
        <v>520958.44262796786</v>
      </c>
      <c r="L194">
        <v>1940228.3156076556</v>
      </c>
    </row>
    <row r="195" spans="1:12" x14ac:dyDescent="0.25">
      <c r="A195" t="s">
        <v>535</v>
      </c>
      <c r="B195" t="s">
        <v>536</v>
      </c>
      <c r="C195">
        <v>2082908.6417168598</v>
      </c>
      <c r="D195">
        <v>431199.23366368335</v>
      </c>
      <c r="E195">
        <v>1385105.3350692478</v>
      </c>
      <c r="F195">
        <v>1903852.279656328</v>
      </c>
      <c r="G195">
        <v>5803065.4901061188</v>
      </c>
      <c r="H195">
        <v>2774370.1522060158</v>
      </c>
      <c r="I195">
        <v>746907.36353404226</v>
      </c>
      <c r="J195">
        <v>2057906.229360308</v>
      </c>
      <c r="K195">
        <v>2790343.4755732715</v>
      </c>
      <c r="L195">
        <v>8369527.2206736375</v>
      </c>
    </row>
    <row r="196" spans="1:12" x14ac:dyDescent="0.25">
      <c r="A196" t="s">
        <v>537</v>
      </c>
      <c r="B196" t="s">
        <v>538</v>
      </c>
      <c r="C196">
        <v>44387.736841564809</v>
      </c>
      <c r="D196">
        <v>11541.167447610704</v>
      </c>
      <c r="E196">
        <v>27961.209980039668</v>
      </c>
      <c r="F196">
        <v>37869.176754537511</v>
      </c>
      <c r="G196">
        <v>121759.29102375268</v>
      </c>
      <c r="H196">
        <v>37729.576315330087</v>
      </c>
      <c r="I196">
        <v>9809.9923304690983</v>
      </c>
      <c r="J196">
        <v>23767.028483033719</v>
      </c>
      <c r="K196">
        <v>32188.800241356883</v>
      </c>
      <c r="L196">
        <v>103495.39737018978</v>
      </c>
    </row>
    <row r="197" spans="1:12" x14ac:dyDescent="0.25">
      <c r="A197" t="s">
        <v>191</v>
      </c>
      <c r="B197" t="s">
        <v>192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</row>
    <row r="198" spans="1:12" x14ac:dyDescent="0.25">
      <c r="A198" t="s">
        <v>294</v>
      </c>
      <c r="B198" t="s">
        <v>295</v>
      </c>
      <c r="C198">
        <v>28068.715943930685</v>
      </c>
      <c r="D198">
        <v>0</v>
      </c>
      <c r="E198">
        <v>12757.7724962539</v>
      </c>
      <c r="F198">
        <v>17278.449037065977</v>
      </c>
      <c r="G198">
        <v>58104.937477250562</v>
      </c>
      <c r="H198">
        <v>23858.408552341083</v>
      </c>
      <c r="I198">
        <v>0</v>
      </c>
      <c r="J198">
        <v>10844.106621815814</v>
      </c>
      <c r="K198">
        <v>14686.681681506079</v>
      </c>
      <c r="L198">
        <v>49389.19685566298</v>
      </c>
    </row>
    <row r="199" spans="1:12" x14ac:dyDescent="0.25">
      <c r="A199" t="s">
        <v>193</v>
      </c>
      <c r="B199" t="s">
        <v>194</v>
      </c>
      <c r="C199">
        <v>459427.18491400371</v>
      </c>
      <c r="D199">
        <v>0</v>
      </c>
      <c r="E199">
        <v>0</v>
      </c>
      <c r="F199">
        <v>0</v>
      </c>
      <c r="G199">
        <v>459427.18491400371</v>
      </c>
      <c r="H199">
        <v>454572.55313400575</v>
      </c>
      <c r="I199">
        <v>0</v>
      </c>
      <c r="J199">
        <v>0</v>
      </c>
      <c r="K199">
        <v>0</v>
      </c>
      <c r="L199">
        <v>454572.55313400575</v>
      </c>
    </row>
    <row r="200" spans="1:12" x14ac:dyDescent="0.25">
      <c r="A200" t="s">
        <v>83</v>
      </c>
      <c r="B200" t="s">
        <v>1398</v>
      </c>
      <c r="C200">
        <v>16501.837971525518</v>
      </c>
      <c r="D200">
        <v>0</v>
      </c>
      <c r="E200">
        <v>9506.4184457192769</v>
      </c>
      <c r="F200">
        <v>13108.720407113116</v>
      </c>
      <c r="G200">
        <v>39116.976824357916</v>
      </c>
      <c r="H200">
        <v>20470.243692138225</v>
      </c>
      <c r="I200">
        <v>0</v>
      </c>
      <c r="J200">
        <v>11689.466183766552</v>
      </c>
      <c r="K200">
        <v>15849.908627248995</v>
      </c>
      <c r="L200">
        <v>48009.618503153775</v>
      </c>
    </row>
    <row r="201" spans="1:12" x14ac:dyDescent="0.25">
      <c r="A201" t="s">
        <v>539</v>
      </c>
      <c r="B201" t="s">
        <v>540</v>
      </c>
      <c r="C201">
        <v>170995.85999781726</v>
      </c>
      <c r="D201">
        <v>44784.762070648816</v>
      </c>
      <c r="E201">
        <v>86794.640474281914</v>
      </c>
      <c r="F201">
        <v>119684.0514973964</v>
      </c>
      <c r="G201">
        <v>422259.31404014444</v>
      </c>
      <c r="H201">
        <v>146888.64527657157</v>
      </c>
      <c r="I201">
        <v>38067.047760051493</v>
      </c>
      <c r="J201">
        <v>73775.444403139627</v>
      </c>
      <c r="K201">
        <v>101731.44377278694</v>
      </c>
      <c r="L201">
        <v>360462.58121254964</v>
      </c>
    </row>
    <row r="202" spans="1:12" x14ac:dyDescent="0.25">
      <c r="A202" t="s">
        <v>541</v>
      </c>
      <c r="B202" t="s">
        <v>542</v>
      </c>
      <c r="C202">
        <v>55922.78468054354</v>
      </c>
      <c r="D202">
        <v>14734.732108755747</v>
      </c>
      <c r="E202">
        <v>28684.726889394035</v>
      </c>
      <c r="F202">
        <v>39427.674774613268</v>
      </c>
      <c r="G202">
        <v>138769.9184533066</v>
      </c>
      <c r="H202">
        <v>51280.651309572335</v>
      </c>
      <c r="I202">
        <v>13805.618561562811</v>
      </c>
      <c r="J202">
        <v>25816.25420045463</v>
      </c>
      <c r="K202">
        <v>35484.907297151942</v>
      </c>
      <c r="L202">
        <v>126387.43136874173</v>
      </c>
    </row>
    <row r="203" spans="1:12" x14ac:dyDescent="0.25">
      <c r="A203" t="s">
        <v>543</v>
      </c>
      <c r="B203" t="s">
        <v>544</v>
      </c>
      <c r="C203">
        <v>511908.56746036001</v>
      </c>
      <c r="D203">
        <v>127771.50605062442</v>
      </c>
      <c r="E203">
        <v>244878.22741530291</v>
      </c>
      <c r="F203">
        <v>336589.54283034179</v>
      </c>
      <c r="G203">
        <v>1221147.8437566292</v>
      </c>
      <c r="H203">
        <v>527582.2939815321</v>
      </c>
      <c r="I203">
        <v>108605.78014303076</v>
      </c>
      <c r="J203">
        <v>254538.78374359789</v>
      </c>
      <c r="K203">
        <v>345132.65199653088</v>
      </c>
      <c r="L203">
        <v>1235859.5098646916</v>
      </c>
    </row>
    <row r="204" spans="1:12" x14ac:dyDescent="0.25">
      <c r="A204" t="s">
        <v>545</v>
      </c>
      <c r="B204" t="s">
        <v>546</v>
      </c>
      <c r="C204">
        <v>184730.46722655772</v>
      </c>
      <c r="D204">
        <v>48381.931714877639</v>
      </c>
      <c r="E204">
        <v>103432.00238795746</v>
      </c>
      <c r="F204">
        <v>142625.86989973413</v>
      </c>
      <c r="G204">
        <v>479170.27122912696</v>
      </c>
      <c r="H204">
        <v>196430.96942310754</v>
      </c>
      <c r="I204">
        <v>52882.538896833801</v>
      </c>
      <c r="J204">
        <v>101903.88919541935</v>
      </c>
      <c r="K204">
        <v>138172.89062795055</v>
      </c>
      <c r="L204">
        <v>489390.28814331128</v>
      </c>
    </row>
    <row r="205" spans="1:12" x14ac:dyDescent="0.25">
      <c r="A205" t="s">
        <v>547</v>
      </c>
      <c r="B205" t="s">
        <v>548</v>
      </c>
      <c r="C205">
        <v>39576.124543153885</v>
      </c>
      <c r="D205">
        <v>0</v>
      </c>
      <c r="E205">
        <v>18931.762119502415</v>
      </c>
      <c r="F205">
        <v>26022.048689404583</v>
      </c>
      <c r="G205">
        <v>84529.935352060886</v>
      </c>
      <c r="H205">
        <v>59972.287124754082</v>
      </c>
      <c r="I205">
        <v>16145.553910980238</v>
      </c>
      <c r="J205">
        <v>33681.26796772227</v>
      </c>
      <c r="K205">
        <v>45668.896367538982</v>
      </c>
      <c r="L205">
        <v>155468.00537099558</v>
      </c>
    </row>
    <row r="206" spans="1:12" x14ac:dyDescent="0.25">
      <c r="A206" t="s">
        <v>77</v>
      </c>
      <c r="B206" t="s">
        <v>34</v>
      </c>
      <c r="C206">
        <v>55061.668497709215</v>
      </c>
      <c r="D206">
        <v>14507.842186498488</v>
      </c>
      <c r="E206">
        <v>46405.322580160318</v>
      </c>
      <c r="F206">
        <v>63784.953350142547</v>
      </c>
      <c r="G206">
        <v>179759.78661451058</v>
      </c>
      <c r="H206">
        <v>22630.807135887768</v>
      </c>
      <c r="I206">
        <v>5962.8447055541583</v>
      </c>
      <c r="J206">
        <v>19072.976428855545</v>
      </c>
      <c r="K206">
        <v>26216.150306065094</v>
      </c>
      <c r="L206">
        <v>73882.778576362558</v>
      </c>
    </row>
    <row r="207" spans="1:12" x14ac:dyDescent="0.25">
      <c r="A207" t="s">
        <v>549</v>
      </c>
      <c r="B207" t="s">
        <v>550</v>
      </c>
      <c r="C207">
        <v>308968.76715279772</v>
      </c>
      <c r="D207">
        <v>78471.919361589447</v>
      </c>
      <c r="E207">
        <v>138284.17548158282</v>
      </c>
      <c r="F207">
        <v>190074.09477478123</v>
      </c>
      <c r="G207">
        <v>715798.95677075116</v>
      </c>
      <c r="H207">
        <v>311160.56218350661</v>
      </c>
      <c r="I207">
        <v>66701.131457351032</v>
      </c>
      <c r="J207">
        <v>150123.36833642187</v>
      </c>
      <c r="K207">
        <v>203554.34829449432</v>
      </c>
      <c r="L207">
        <v>731539.41027177381</v>
      </c>
    </row>
    <row r="208" spans="1:12" x14ac:dyDescent="0.25">
      <c r="A208" t="s">
        <v>58</v>
      </c>
      <c r="B208" t="s">
        <v>1425</v>
      </c>
      <c r="C208">
        <v>283055.32553690486</v>
      </c>
      <c r="D208">
        <v>0</v>
      </c>
      <c r="E208">
        <v>135403.25515904985</v>
      </c>
      <c r="F208">
        <v>186114.21780030662</v>
      </c>
      <c r="G208">
        <v>604572.79849626136</v>
      </c>
      <c r="H208">
        <v>364179.54065611539</v>
      </c>
      <c r="I208">
        <v>0</v>
      </c>
      <c r="J208">
        <v>175703.04841609151</v>
      </c>
      <c r="K208">
        <v>238238.18976366794</v>
      </c>
      <c r="L208">
        <v>778120.77883587475</v>
      </c>
    </row>
    <row r="209" spans="1:12" x14ac:dyDescent="0.25">
      <c r="A209" t="s">
        <v>195</v>
      </c>
      <c r="B209" t="s">
        <v>196</v>
      </c>
      <c r="C209">
        <v>1587346.7343938893</v>
      </c>
      <c r="D209">
        <v>0</v>
      </c>
      <c r="E209">
        <v>996798.43159640976</v>
      </c>
      <c r="F209">
        <v>1370117.4331682152</v>
      </c>
      <c r="G209">
        <v>3954262.5991585143</v>
      </c>
      <c r="H209">
        <v>1818290.212536023</v>
      </c>
      <c r="I209">
        <v>0</v>
      </c>
      <c r="J209">
        <v>1171004.2069258597</v>
      </c>
      <c r="K209">
        <v>1587780.7754535626</v>
      </c>
      <c r="L209">
        <v>4577075.1949154455</v>
      </c>
    </row>
    <row r="210" spans="1:12" x14ac:dyDescent="0.25">
      <c r="A210" t="s">
        <v>551</v>
      </c>
      <c r="B210" t="s">
        <v>552</v>
      </c>
      <c r="C210">
        <v>9463.8558690150603</v>
      </c>
      <c r="D210">
        <v>2620.9095432834765</v>
      </c>
      <c r="E210">
        <v>8011.4278569181315</v>
      </c>
      <c r="F210">
        <v>11011.852169303249</v>
      </c>
      <c r="G210">
        <v>31108.045438519915</v>
      </c>
      <c r="H210">
        <v>0</v>
      </c>
      <c r="I210">
        <v>2358.8185889551291</v>
      </c>
      <c r="J210">
        <v>0</v>
      </c>
      <c r="K210">
        <v>0</v>
      </c>
      <c r="L210">
        <v>2358.8185889551291</v>
      </c>
    </row>
    <row r="211" spans="1:12" x14ac:dyDescent="0.25">
      <c r="A211" t="s">
        <v>553</v>
      </c>
      <c r="B211" t="s">
        <v>554</v>
      </c>
      <c r="C211">
        <v>24950.165472857887</v>
      </c>
      <c r="D211">
        <v>5091.6915210047209</v>
      </c>
      <c r="E211">
        <v>11935.241336208044</v>
      </c>
      <c r="F211">
        <v>16405.204608537671</v>
      </c>
      <c r="G211">
        <v>58382.302938608329</v>
      </c>
      <c r="H211">
        <v>26944.07102706343</v>
      </c>
      <c r="I211">
        <v>7253.7995831940152</v>
      </c>
      <c r="J211">
        <v>13292.187216087945</v>
      </c>
      <c r="K211">
        <v>18023.060208160528</v>
      </c>
      <c r="L211">
        <v>65513.118034505911</v>
      </c>
    </row>
    <row r="212" spans="1:12" x14ac:dyDescent="0.25">
      <c r="A212" t="s">
        <v>555</v>
      </c>
      <c r="B212" t="s">
        <v>556</v>
      </c>
      <c r="C212">
        <v>246621.62681949825</v>
      </c>
      <c r="D212">
        <v>64123.600207089214</v>
      </c>
      <c r="E212">
        <v>159884.36766561729</v>
      </c>
      <c r="F212">
        <v>216538.89026043261</v>
      </c>
      <c r="G212">
        <v>687168.48495263734</v>
      </c>
      <c r="H212">
        <v>221959.46413754844</v>
      </c>
      <c r="I212">
        <v>57711.240186380295</v>
      </c>
      <c r="J212">
        <v>143895.93089905556</v>
      </c>
      <c r="K212">
        <v>194885.00123438935</v>
      </c>
      <c r="L212">
        <v>618451.63645737362</v>
      </c>
    </row>
    <row r="213" spans="1:12" x14ac:dyDescent="0.25">
      <c r="A213" t="s">
        <v>557</v>
      </c>
      <c r="B213" t="s">
        <v>558</v>
      </c>
      <c r="C213">
        <v>402644.04969991342</v>
      </c>
      <c r="D213">
        <v>96516.264455430864</v>
      </c>
      <c r="E213">
        <v>192610.10156363333</v>
      </c>
      <c r="F213">
        <v>264746.0605791597</v>
      </c>
      <c r="G213">
        <v>956516.47629813734</v>
      </c>
      <c r="H213">
        <v>383301.13944951503</v>
      </c>
      <c r="I213">
        <v>82038.824787116231</v>
      </c>
      <c r="J213">
        <v>184928.50680548057</v>
      </c>
      <c r="K213">
        <v>250747.11619517318</v>
      </c>
      <c r="L213">
        <v>901015.58723728498</v>
      </c>
    </row>
    <row r="214" spans="1:12" x14ac:dyDescent="0.25">
      <c r="A214" t="s">
        <v>69</v>
      </c>
      <c r="B214" t="s">
        <v>16</v>
      </c>
      <c r="C214">
        <v>49429.968712509522</v>
      </c>
      <c r="D214">
        <v>13023.982108251608</v>
      </c>
      <c r="E214">
        <v>36072.271866129835</v>
      </c>
      <c r="F214">
        <v>49736.805696874522</v>
      </c>
      <c r="G214">
        <v>148263.02838376549</v>
      </c>
      <c r="H214">
        <v>59730.120273985282</v>
      </c>
      <c r="I214">
        <v>16080.358499366084</v>
      </c>
      <c r="J214">
        <v>45157.363380816882</v>
      </c>
      <c r="K214">
        <v>61229.492620235556</v>
      </c>
      <c r="L214">
        <v>182197.3347744038</v>
      </c>
    </row>
    <row r="215" spans="1:12" x14ac:dyDescent="0.25">
      <c r="A215" t="s">
        <v>197</v>
      </c>
      <c r="B215" t="s">
        <v>198</v>
      </c>
      <c r="C215">
        <v>110563.58819135977</v>
      </c>
      <c r="D215">
        <v>28957.215636042005</v>
      </c>
      <c r="E215">
        <v>53744.340997568514</v>
      </c>
      <c r="F215">
        <v>74109.880984559015</v>
      </c>
      <c r="G215">
        <v>267375.0258095293</v>
      </c>
      <c r="H215">
        <v>93979.049962655801</v>
      </c>
      <c r="I215">
        <v>24613.633290635702</v>
      </c>
      <c r="J215">
        <v>45682.689847933238</v>
      </c>
      <c r="K215">
        <v>62993.39883687516</v>
      </c>
      <c r="L215">
        <v>227268.7719380999</v>
      </c>
    </row>
    <row r="216" spans="1:12" x14ac:dyDescent="0.25">
      <c r="A216" t="s">
        <v>71</v>
      </c>
      <c r="B216" t="s">
        <v>22</v>
      </c>
      <c r="C216">
        <v>47951.391656929336</v>
      </c>
      <c r="D216">
        <v>11519.321880756779</v>
      </c>
      <c r="E216">
        <v>40386.296278302019</v>
      </c>
      <c r="F216">
        <v>55511.693074575538</v>
      </c>
      <c r="G216">
        <v>155368.70289056367</v>
      </c>
      <c r="H216">
        <v>21155.195516185922</v>
      </c>
      <c r="I216">
        <v>5695.3363975162511</v>
      </c>
      <c r="J216">
        <v>18151.436812413038</v>
      </c>
      <c r="K216">
        <v>24611.783840870714</v>
      </c>
      <c r="L216">
        <v>69613.752566985931</v>
      </c>
    </row>
    <row r="217" spans="1:12" x14ac:dyDescent="0.25">
      <c r="A217" t="s">
        <v>559</v>
      </c>
      <c r="B217" t="s">
        <v>560</v>
      </c>
      <c r="C217">
        <v>95498.909223697439</v>
      </c>
      <c r="D217">
        <v>25162.38867802906</v>
      </c>
      <c r="E217">
        <v>49696.431169756048</v>
      </c>
      <c r="F217">
        <v>68308.641500246391</v>
      </c>
      <c r="G217">
        <v>238666.37057172894</v>
      </c>
      <c r="H217">
        <v>104299.62978218101</v>
      </c>
      <c r="I217">
        <v>28079.224193009097</v>
      </c>
      <c r="J217">
        <v>57926.338722710592</v>
      </c>
      <c r="K217">
        <v>78543.1226227476</v>
      </c>
      <c r="L217">
        <v>268848.31532064831</v>
      </c>
    </row>
    <row r="218" spans="1:12" x14ac:dyDescent="0.25">
      <c r="A218" t="s">
        <v>561</v>
      </c>
      <c r="B218" t="s">
        <v>562</v>
      </c>
      <c r="C218">
        <v>110124.86829399341</v>
      </c>
      <c r="D218">
        <v>22403.442692420776</v>
      </c>
      <c r="E218">
        <v>52679.685897745847</v>
      </c>
      <c r="F218">
        <v>72409.17896182141</v>
      </c>
      <c r="G218">
        <v>257617.17584598146</v>
      </c>
      <c r="H218">
        <v>93606.138049894391</v>
      </c>
      <c r="I218">
        <v>19042.926288557661</v>
      </c>
      <c r="J218">
        <v>44777.733013083969</v>
      </c>
      <c r="K218">
        <v>61547.802117548199</v>
      </c>
      <c r="L218">
        <v>218974.59946908423</v>
      </c>
    </row>
    <row r="219" spans="1:12" x14ac:dyDescent="0.25">
      <c r="A219" t="s">
        <v>563</v>
      </c>
      <c r="B219" t="s">
        <v>1426</v>
      </c>
      <c r="C219">
        <v>1970207.8890926982</v>
      </c>
      <c r="D219">
        <v>0</v>
      </c>
      <c r="E219">
        <v>1286170.1336722556</v>
      </c>
      <c r="F219">
        <v>1767864.0598806071</v>
      </c>
      <c r="G219">
        <v>5024242.0826455606</v>
      </c>
      <c r="H219">
        <v>2020848.0789274818</v>
      </c>
      <c r="I219">
        <v>0</v>
      </c>
      <c r="J219">
        <v>1346882.7901725648</v>
      </c>
      <c r="K219">
        <v>1826256.9753181522</v>
      </c>
      <c r="L219">
        <v>5193987.8444181988</v>
      </c>
    </row>
    <row r="220" spans="1:12" x14ac:dyDescent="0.25">
      <c r="A220" t="s">
        <v>564</v>
      </c>
      <c r="B220" t="s">
        <v>565</v>
      </c>
      <c r="C220">
        <v>76571.19748566729</v>
      </c>
      <c r="D220">
        <v>20175.248579680941</v>
      </c>
      <c r="E220">
        <v>49806.863019119402</v>
      </c>
      <c r="F220">
        <v>68460.432070128634</v>
      </c>
      <c r="G220">
        <v>215013.74115459627</v>
      </c>
      <c r="H220">
        <v>82570.54024422665</v>
      </c>
      <c r="I220">
        <v>22229.385819465544</v>
      </c>
      <c r="J220">
        <v>55141.770393054278</v>
      </c>
      <c r="K220">
        <v>74767.487970356407</v>
      </c>
      <c r="L220">
        <v>234709.18442710291</v>
      </c>
    </row>
    <row r="221" spans="1:12" x14ac:dyDescent="0.25">
      <c r="A221" t="s">
        <v>199</v>
      </c>
      <c r="B221" t="s">
        <v>200</v>
      </c>
      <c r="C221">
        <v>1156311.1170869307</v>
      </c>
      <c r="D221">
        <v>0</v>
      </c>
      <c r="E221">
        <v>687511.05697019096</v>
      </c>
      <c r="F221">
        <v>944996.35512283375</v>
      </c>
      <c r="G221">
        <v>2788818.5291799554</v>
      </c>
      <c r="H221">
        <v>1318521.1531630708</v>
      </c>
      <c r="I221">
        <v>0</v>
      </c>
      <c r="J221">
        <v>809324.30416003952</v>
      </c>
      <c r="K221">
        <v>1097374.0005820503</v>
      </c>
      <c r="L221">
        <v>3225219.4579051603</v>
      </c>
    </row>
    <row r="222" spans="1:12" x14ac:dyDescent="0.25">
      <c r="A222" t="s">
        <v>201</v>
      </c>
      <c r="B222" t="s">
        <v>202</v>
      </c>
      <c r="C222">
        <v>181983.54578080957</v>
      </c>
      <c r="D222">
        <v>0</v>
      </c>
      <c r="E222">
        <v>0</v>
      </c>
      <c r="F222">
        <v>0</v>
      </c>
      <c r="G222">
        <v>181983.54578080957</v>
      </c>
      <c r="H222">
        <v>154686.01391368813</v>
      </c>
      <c r="I222">
        <v>0</v>
      </c>
      <c r="J222">
        <v>0</v>
      </c>
      <c r="K222">
        <v>0</v>
      </c>
      <c r="L222">
        <v>154686.01391368813</v>
      </c>
    </row>
    <row r="223" spans="1:12" x14ac:dyDescent="0.25">
      <c r="A223" t="s">
        <v>203</v>
      </c>
      <c r="B223" t="s">
        <v>204</v>
      </c>
      <c r="C223">
        <v>50760.681479262581</v>
      </c>
      <c r="D223">
        <v>0</v>
      </c>
      <c r="E223">
        <v>24282.04271849223</v>
      </c>
      <c r="F223">
        <v>33376.105927714569</v>
      </c>
      <c r="G223">
        <v>108418.83012546938</v>
      </c>
      <c r="H223">
        <v>43146.579257373196</v>
      </c>
      <c r="I223">
        <v>0</v>
      </c>
      <c r="J223">
        <v>20639.736310718396</v>
      </c>
      <c r="K223">
        <v>28369.690038557383</v>
      </c>
      <c r="L223">
        <v>92156.005606648978</v>
      </c>
    </row>
    <row r="224" spans="1:12" x14ac:dyDescent="0.25">
      <c r="A224" t="s">
        <v>296</v>
      </c>
      <c r="B224" t="s">
        <v>297</v>
      </c>
      <c r="C224">
        <v>234875.69565828278</v>
      </c>
      <c r="D224">
        <v>0</v>
      </c>
      <c r="E224">
        <v>112355.89257878606</v>
      </c>
      <c r="F224">
        <v>154435.20200450975</v>
      </c>
      <c r="G224">
        <v>501666.79024157859</v>
      </c>
      <c r="H224">
        <v>210337.58672739839</v>
      </c>
      <c r="I224">
        <v>0</v>
      </c>
      <c r="J224">
        <v>101480.04228327957</v>
      </c>
      <c r="K224">
        <v>137598.19074655767</v>
      </c>
      <c r="L224">
        <v>449415.81975723564</v>
      </c>
    </row>
    <row r="225" spans="1:12" x14ac:dyDescent="0.25">
      <c r="A225" t="s">
        <v>205</v>
      </c>
      <c r="B225" t="s">
        <v>206</v>
      </c>
      <c r="C225">
        <v>143526.64554033664</v>
      </c>
      <c r="D225">
        <v>0</v>
      </c>
      <c r="E225">
        <v>0</v>
      </c>
      <c r="F225">
        <v>0</v>
      </c>
      <c r="G225">
        <v>143526.64554033664</v>
      </c>
      <c r="H225">
        <v>121997.64870928614</v>
      </c>
      <c r="I225">
        <v>0</v>
      </c>
      <c r="J225">
        <v>0</v>
      </c>
      <c r="K225">
        <v>0</v>
      </c>
      <c r="L225">
        <v>121997.64870928614</v>
      </c>
    </row>
    <row r="226" spans="1:12" x14ac:dyDescent="0.25">
      <c r="A226" t="s">
        <v>566</v>
      </c>
      <c r="B226" t="s">
        <v>567</v>
      </c>
      <c r="C226">
        <v>249969.85156307442</v>
      </c>
      <c r="D226">
        <v>58523.670500309971</v>
      </c>
      <c r="E226">
        <v>121508.94486406796</v>
      </c>
      <c r="F226">
        <v>167552.77439987258</v>
      </c>
      <c r="G226">
        <v>597555.24132732488</v>
      </c>
      <c r="H226">
        <v>223375.04045017101</v>
      </c>
      <c r="I226">
        <v>49745.119925263476</v>
      </c>
      <c r="J226">
        <v>107770.12754877211</v>
      </c>
      <c r="K226">
        <v>146127.0042225839</v>
      </c>
      <c r="L226">
        <v>527017.29214679054</v>
      </c>
    </row>
    <row r="227" spans="1:12" x14ac:dyDescent="0.25">
      <c r="A227" t="s">
        <v>298</v>
      </c>
      <c r="B227" t="s">
        <v>299</v>
      </c>
      <c r="C227">
        <v>0</v>
      </c>
      <c r="D227">
        <v>1798.5848221144099</v>
      </c>
      <c r="E227">
        <v>0</v>
      </c>
      <c r="F227">
        <v>0</v>
      </c>
      <c r="G227">
        <v>1798.5848221144099</v>
      </c>
      <c r="H227">
        <v>0</v>
      </c>
      <c r="I227">
        <v>1528.7970987972483</v>
      </c>
      <c r="J227">
        <v>0</v>
      </c>
      <c r="K227">
        <v>0</v>
      </c>
      <c r="L227">
        <v>1528.7970987972483</v>
      </c>
    </row>
    <row r="228" spans="1:12" x14ac:dyDescent="0.25">
      <c r="A228" t="s">
        <v>1422</v>
      </c>
      <c r="B228" t="s">
        <v>1427</v>
      </c>
      <c r="C228">
        <v>14809.085181628621</v>
      </c>
      <c r="D228">
        <v>0</v>
      </c>
      <c r="E228">
        <v>10486.544631470559</v>
      </c>
      <c r="F228">
        <v>14413.944843656911</v>
      </c>
      <c r="G228">
        <v>39709.574656756085</v>
      </c>
      <c r="H228">
        <v>14458.77322316798</v>
      </c>
      <c r="I228">
        <v>0</v>
      </c>
      <c r="J228">
        <v>10214.411201123148</v>
      </c>
      <c r="K228">
        <v>13849.861206132873</v>
      </c>
      <c r="L228">
        <v>38523.045630424</v>
      </c>
    </row>
    <row r="229" spans="1:12" x14ac:dyDescent="0.25">
      <c r="A229" t="s">
        <v>568</v>
      </c>
      <c r="B229" t="s">
        <v>569</v>
      </c>
      <c r="C229">
        <v>28391.56760704517</v>
      </c>
      <c r="D229">
        <v>6834.6223240347581</v>
      </c>
      <c r="E229">
        <v>13581.4815205126</v>
      </c>
      <c r="F229">
        <v>18667.991451094585</v>
      </c>
      <c r="G229">
        <v>67475.662902687109</v>
      </c>
      <c r="H229">
        <v>40850.688331354235</v>
      </c>
      <c r="I229">
        <v>10997.696142261901</v>
      </c>
      <c r="J229">
        <v>22387.692443891916</v>
      </c>
      <c r="K229">
        <v>30355.781353251044</v>
      </c>
      <c r="L229">
        <v>104591.8582707591</v>
      </c>
    </row>
    <row r="230" spans="1:12" x14ac:dyDescent="0.25">
      <c r="A230" t="s">
        <v>570</v>
      </c>
      <c r="B230" t="s">
        <v>571</v>
      </c>
      <c r="C230">
        <v>242587.61963302392</v>
      </c>
      <c r="D230">
        <v>61612.428665154868</v>
      </c>
      <c r="E230">
        <v>123006.16527041039</v>
      </c>
      <c r="F230">
        <v>162084.26198210713</v>
      </c>
      <c r="G230">
        <v>589290.47555069625</v>
      </c>
      <c r="H230">
        <v>206860.93240132564</v>
      </c>
      <c r="I230">
        <v>52370.564365381637</v>
      </c>
      <c r="J230">
        <v>104555.24047984883</v>
      </c>
      <c r="K230">
        <v>137771.62268479104</v>
      </c>
      <c r="L230">
        <v>501558.35993134713</v>
      </c>
    </row>
    <row r="231" spans="1:12" x14ac:dyDescent="0.25">
      <c r="A231" t="s">
        <v>207</v>
      </c>
      <c r="B231" t="s">
        <v>208</v>
      </c>
      <c r="C231">
        <v>82407.643372442079</v>
      </c>
      <c r="D231">
        <v>0</v>
      </c>
      <c r="E231">
        <v>40057.893911231185</v>
      </c>
      <c r="F231">
        <v>55237.178373584364</v>
      </c>
      <c r="G231">
        <v>177702.71565725765</v>
      </c>
      <c r="H231">
        <v>74748.068010563045</v>
      </c>
      <c r="I231">
        <v>0</v>
      </c>
      <c r="J231">
        <v>36063.155522157191</v>
      </c>
      <c r="K231">
        <v>48898.530595884105</v>
      </c>
      <c r="L231">
        <v>159709.75412860434</v>
      </c>
    </row>
    <row r="232" spans="1:12" x14ac:dyDescent="0.25">
      <c r="A232" t="s">
        <v>572</v>
      </c>
      <c r="B232" t="s">
        <v>573</v>
      </c>
      <c r="C232">
        <v>15996.777831121119</v>
      </c>
      <c r="D232">
        <v>4189.6446444547455</v>
      </c>
      <c r="E232">
        <v>8982.2051151823744</v>
      </c>
      <c r="F232">
        <v>12385.864999166692</v>
      </c>
      <c r="G232">
        <v>41554.492589924928</v>
      </c>
      <c r="H232">
        <v>13597.261156452951</v>
      </c>
      <c r="I232">
        <v>3561.1979477865334</v>
      </c>
      <c r="J232">
        <v>7634.8743479050181</v>
      </c>
      <c r="K232">
        <v>10527.985249291687</v>
      </c>
      <c r="L232">
        <v>35321.31870143619</v>
      </c>
    </row>
    <row r="233" spans="1:12" x14ac:dyDescent="0.25">
      <c r="A233" t="s">
        <v>82</v>
      </c>
      <c r="B233" t="s">
        <v>51</v>
      </c>
      <c r="C233">
        <v>18831.618498071577</v>
      </c>
      <c r="D233">
        <v>0</v>
      </c>
      <c r="E233">
        <v>13334.963331012223</v>
      </c>
      <c r="F233">
        <v>18329.14775078238</v>
      </c>
      <c r="G233">
        <v>50495.72957986618</v>
      </c>
      <c r="H233">
        <v>17392.437355404956</v>
      </c>
      <c r="I233">
        <v>0</v>
      </c>
      <c r="J233">
        <v>12286.900430336536</v>
      </c>
      <c r="K233">
        <v>16659.97797259461</v>
      </c>
      <c r="L233">
        <v>46339.315758336103</v>
      </c>
    </row>
    <row r="234" spans="1:12" x14ac:dyDescent="0.25">
      <c r="A234" t="s">
        <v>81</v>
      </c>
      <c r="B234" t="s">
        <v>47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</row>
    <row r="235" spans="1:12" x14ac:dyDescent="0.25">
      <c r="A235" t="s">
        <v>59</v>
      </c>
      <c r="B235" t="s">
        <v>23</v>
      </c>
      <c r="C235">
        <v>5126158.996638692</v>
      </c>
      <c r="D235">
        <v>1231452.7994660432</v>
      </c>
      <c r="E235">
        <v>4317425.8108944101</v>
      </c>
      <c r="F235">
        <v>5934379.6924350541</v>
      </c>
      <c r="G235">
        <v>16609417.299434198</v>
      </c>
      <c r="H235">
        <v>5651174.959548437</v>
      </c>
      <c r="I235">
        <v>1521391.8685470673</v>
      </c>
      <c r="J235">
        <v>4848782.6602997938</v>
      </c>
      <c r="K235">
        <v>6574531.3696076497</v>
      </c>
      <c r="L235">
        <v>18595880.858002946</v>
      </c>
    </row>
    <row r="236" spans="1:12" x14ac:dyDescent="0.25">
      <c r="A236" t="s">
        <v>300</v>
      </c>
      <c r="B236" t="s">
        <v>301</v>
      </c>
      <c r="C236">
        <v>529115.57813129621</v>
      </c>
      <c r="D236">
        <v>0</v>
      </c>
      <c r="E236">
        <v>253109.42833682575</v>
      </c>
      <c r="F236">
        <v>347903.4770431263</v>
      </c>
      <c r="G236">
        <v>1130128.4835112481</v>
      </c>
      <c r="H236">
        <v>497161.5686283962</v>
      </c>
      <c r="I236">
        <v>0</v>
      </c>
      <c r="J236">
        <v>239861.91812411536</v>
      </c>
      <c r="K236">
        <v>325232.08721913619</v>
      </c>
      <c r="L236">
        <v>1062255.5739716478</v>
      </c>
    </row>
    <row r="237" spans="1:12" x14ac:dyDescent="0.25">
      <c r="A237" t="s">
        <v>574</v>
      </c>
      <c r="B237" t="s">
        <v>575</v>
      </c>
      <c r="C237">
        <v>402644.04969991342</v>
      </c>
      <c r="D237">
        <v>0</v>
      </c>
      <c r="E237">
        <v>192610.10156363324</v>
      </c>
      <c r="F237">
        <v>264746.06057915959</v>
      </c>
      <c r="G237">
        <v>860000.21184270619</v>
      </c>
      <c r="H237">
        <v>439796.77224819659</v>
      </c>
      <c r="I237">
        <v>0</v>
      </c>
      <c r="J237">
        <v>212185.54295594821</v>
      </c>
      <c r="K237">
        <v>287705.3079246204</v>
      </c>
      <c r="L237">
        <v>939687.62312876526</v>
      </c>
    </row>
    <row r="238" spans="1:12" x14ac:dyDescent="0.25">
      <c r="A238" t="s">
        <v>576</v>
      </c>
      <c r="B238" t="s">
        <v>577</v>
      </c>
      <c r="C238">
        <v>73990.145885026795</v>
      </c>
      <c r="D238">
        <v>19495.184020815301</v>
      </c>
      <c r="E238">
        <v>52188.036266703297</v>
      </c>
      <c r="F238">
        <v>71733.397671291808</v>
      </c>
      <c r="G238">
        <v>217406.76384383719</v>
      </c>
      <c r="H238">
        <v>72140.577266008477</v>
      </c>
      <c r="I238">
        <v>19421.463400164626</v>
      </c>
      <c r="J238">
        <v>49081.115987620557</v>
      </c>
      <c r="K238">
        <v>66549.762965868154</v>
      </c>
      <c r="L238">
        <v>207192.91961966181</v>
      </c>
    </row>
    <row r="239" spans="1:12" x14ac:dyDescent="0.25">
      <c r="A239" t="s">
        <v>578</v>
      </c>
      <c r="B239" t="s">
        <v>579</v>
      </c>
      <c r="C239">
        <v>364788.62622385321</v>
      </c>
      <c r="D239">
        <v>89749.382623509067</v>
      </c>
      <c r="E239">
        <v>174501.45953628313</v>
      </c>
      <c r="F239">
        <v>239855.40531103345</v>
      </c>
      <c r="G239">
        <v>868894.87369467888</v>
      </c>
      <c r="H239">
        <v>399815.24749836046</v>
      </c>
      <c r="I239">
        <v>76286.975229982709</v>
      </c>
      <c r="J239">
        <v>192895.94814177114</v>
      </c>
      <c r="K239">
        <v>261550.27993147311</v>
      </c>
      <c r="L239">
        <v>930548.45080158743</v>
      </c>
    </row>
    <row r="240" spans="1:12" x14ac:dyDescent="0.25">
      <c r="A240" t="s">
        <v>209</v>
      </c>
      <c r="B240" t="s">
        <v>210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</row>
    <row r="241" spans="1:12" x14ac:dyDescent="0.25">
      <c r="A241" t="s">
        <v>580</v>
      </c>
      <c r="B241" t="s">
        <v>581</v>
      </c>
      <c r="C241">
        <v>634116.90279073548</v>
      </c>
      <c r="D241">
        <v>161053.07640045992</v>
      </c>
      <c r="E241">
        <v>357509.21125617286</v>
      </c>
      <c r="F241">
        <v>477210.91253994376</v>
      </c>
      <c r="G241">
        <v>1629890.102987312</v>
      </c>
      <c r="H241">
        <v>657956.83120925841</v>
      </c>
      <c r="I241">
        <v>177133.10595089913</v>
      </c>
      <c r="J241">
        <v>350602.34973695839</v>
      </c>
      <c r="K241">
        <v>475386.56774136942</v>
      </c>
      <c r="L241">
        <v>1661078.8546384852</v>
      </c>
    </row>
    <row r="242" spans="1:12" x14ac:dyDescent="0.25">
      <c r="A242" t="s">
        <v>211</v>
      </c>
      <c r="B242" t="s">
        <v>212</v>
      </c>
      <c r="C242">
        <v>556251.59276398411</v>
      </c>
      <c r="D242">
        <v>0</v>
      </c>
      <c r="E242">
        <v>290252.82296512934</v>
      </c>
      <c r="F242">
        <v>400239.38829859684</v>
      </c>
      <c r="G242">
        <v>1246743.8040277101</v>
      </c>
      <c r="H242">
        <v>585816.25394324993</v>
      </c>
      <c r="I242">
        <v>0</v>
      </c>
      <c r="J242">
        <v>282634.49792946456</v>
      </c>
      <c r="K242">
        <v>383228.018856115</v>
      </c>
      <c r="L242">
        <v>1251678.7707288295</v>
      </c>
    </row>
    <row r="243" spans="1:12" x14ac:dyDescent="0.25">
      <c r="A243" t="s">
        <v>302</v>
      </c>
      <c r="B243" t="s">
        <v>303</v>
      </c>
      <c r="C243">
        <v>11184.556936108704</v>
      </c>
      <c r="D243">
        <v>0</v>
      </c>
      <c r="E243">
        <v>5350.2805989898143</v>
      </c>
      <c r="F243">
        <v>7354.0572383099861</v>
      </c>
      <c r="G243">
        <v>23888.894773408505</v>
      </c>
      <c r="H243">
        <v>13906.617304290807</v>
      </c>
      <c r="I243">
        <v>0</v>
      </c>
      <c r="J243">
        <v>6709.4242831920374</v>
      </c>
      <c r="K243">
        <v>9097.4010410947194</v>
      </c>
      <c r="L243">
        <v>29713.442628577563</v>
      </c>
    </row>
    <row r="244" spans="1:12" x14ac:dyDescent="0.25">
      <c r="A244" t="s">
        <v>213</v>
      </c>
      <c r="B244" t="s">
        <v>214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</row>
    <row r="245" spans="1:12" x14ac:dyDescent="0.25">
      <c r="A245" t="s">
        <v>215</v>
      </c>
      <c r="B245" t="s">
        <v>216</v>
      </c>
      <c r="C245">
        <v>477494.54611848691</v>
      </c>
      <c r="D245">
        <v>0</v>
      </c>
      <c r="E245">
        <v>228415.82557225734</v>
      </c>
      <c r="F245">
        <v>313961.67440477258</v>
      </c>
      <c r="G245">
        <v>1019872.0460955169</v>
      </c>
      <c r="H245">
        <v>500638.22295446886</v>
      </c>
      <c r="I245">
        <v>0</v>
      </c>
      <c r="J245">
        <v>241539.27419491336</v>
      </c>
      <c r="K245">
        <v>327506.43747940985</v>
      </c>
      <c r="L245">
        <v>1069683.9346287921</v>
      </c>
    </row>
    <row r="246" spans="1:12" x14ac:dyDescent="0.25">
      <c r="A246" t="s">
        <v>217</v>
      </c>
      <c r="B246" t="s">
        <v>218</v>
      </c>
      <c r="C246">
        <v>271945.22312905901</v>
      </c>
      <c r="D246">
        <v>0</v>
      </c>
      <c r="E246">
        <v>0</v>
      </c>
      <c r="F246">
        <v>0</v>
      </c>
      <c r="G246">
        <v>271945.22312905901</v>
      </c>
      <c r="H246">
        <v>231121.09241093724</v>
      </c>
      <c r="I246">
        <v>0</v>
      </c>
      <c r="J246">
        <v>0</v>
      </c>
      <c r="K246">
        <v>0</v>
      </c>
      <c r="L246">
        <v>231121.09241093724</v>
      </c>
    </row>
    <row r="247" spans="1:12" x14ac:dyDescent="0.25">
      <c r="A247" t="s">
        <v>582</v>
      </c>
      <c r="B247" t="s">
        <v>583</v>
      </c>
      <c r="C247">
        <v>134214.68323330447</v>
      </c>
      <c r="D247">
        <v>35363.357061013798</v>
      </c>
      <c r="E247">
        <v>89658.736730729623</v>
      </c>
      <c r="F247">
        <v>123237.55168221358</v>
      </c>
      <c r="G247">
        <v>382474.32870726148</v>
      </c>
      <c r="H247">
        <v>178178.53421122589</v>
      </c>
      <c r="I247">
        <v>47968.674663057216</v>
      </c>
      <c r="J247">
        <v>149216.02353687456</v>
      </c>
      <c r="K247">
        <v>202324.06695057757</v>
      </c>
      <c r="L247">
        <v>577687.29936173523</v>
      </c>
    </row>
    <row r="248" spans="1:12" x14ac:dyDescent="0.25">
      <c r="A248" t="s">
        <v>584</v>
      </c>
      <c r="B248" t="s">
        <v>585</v>
      </c>
      <c r="C248">
        <v>79152.249086307769</v>
      </c>
      <c r="D248">
        <v>20855.313138546597</v>
      </c>
      <c r="E248">
        <v>49985.119964076155</v>
      </c>
      <c r="F248">
        <v>68705.449457924275</v>
      </c>
      <c r="G248">
        <v>218698.1316468548</v>
      </c>
      <c r="H248">
        <v>71237.024177676998</v>
      </c>
      <c r="I248">
        <v>18769.781824691938</v>
      </c>
      <c r="J248">
        <v>44986.60796766854</v>
      </c>
      <c r="K248">
        <v>61834.904512131849</v>
      </c>
      <c r="L248">
        <v>196828.31848216933</v>
      </c>
    </row>
    <row r="249" spans="1:12" x14ac:dyDescent="0.25">
      <c r="A249" t="s">
        <v>219</v>
      </c>
      <c r="B249" t="s">
        <v>220</v>
      </c>
      <c r="C249">
        <v>990263.46411239367</v>
      </c>
      <c r="D249">
        <v>0</v>
      </c>
      <c r="E249">
        <v>568364.42363114853</v>
      </c>
      <c r="F249">
        <v>781227.15739277622</v>
      </c>
      <c r="G249">
        <v>2339855.0451363185</v>
      </c>
      <c r="H249">
        <v>861341.10928451188</v>
      </c>
      <c r="I249">
        <v>0</v>
      </c>
      <c r="J249">
        <v>483109.76008647622</v>
      </c>
      <c r="K249">
        <v>664043.08378385974</v>
      </c>
      <c r="L249">
        <v>2008493.953154848</v>
      </c>
    </row>
    <row r="250" spans="1:12" x14ac:dyDescent="0.25">
      <c r="A250" t="s">
        <v>221</v>
      </c>
      <c r="B250" t="s">
        <v>222</v>
      </c>
      <c r="C250">
        <v>122924.73469722614</v>
      </c>
      <c r="D250">
        <v>0</v>
      </c>
      <c r="E250">
        <v>59753.025084253168</v>
      </c>
      <c r="F250">
        <v>82395.457740596685</v>
      </c>
      <c r="G250">
        <v>265073.21752207598</v>
      </c>
      <c r="H250">
        <v>130374.53722772626</v>
      </c>
      <c r="I250">
        <v>0</v>
      </c>
      <c r="J250">
        <v>62900.852654925358</v>
      </c>
      <c r="K250">
        <v>85288.134760262983</v>
      </c>
      <c r="L250">
        <v>278563.52464291459</v>
      </c>
    </row>
    <row r="251" spans="1:12" x14ac:dyDescent="0.25">
      <c r="A251" t="s">
        <v>586</v>
      </c>
      <c r="B251" t="s">
        <v>587</v>
      </c>
      <c r="C251">
        <v>51621.03201280941</v>
      </c>
      <c r="D251">
        <v>13601.291177313002</v>
      </c>
      <c r="E251">
        <v>26285.846270827726</v>
      </c>
      <c r="F251">
        <v>36130.370072474849</v>
      </c>
      <c r="G251">
        <v>127638.53953342499</v>
      </c>
      <c r="H251">
        <v>59972.287124754082</v>
      </c>
      <c r="I251">
        <v>16145.553910980238</v>
      </c>
      <c r="J251">
        <v>33142.270561322213</v>
      </c>
      <c r="K251">
        <v>44938.062340778313</v>
      </c>
      <c r="L251">
        <v>154198.17393783486</v>
      </c>
    </row>
    <row r="252" spans="1:12" x14ac:dyDescent="0.25">
      <c r="A252" t="s">
        <v>61</v>
      </c>
      <c r="B252" t="s">
        <v>31</v>
      </c>
      <c r="C252">
        <v>5171315.7327713957</v>
      </c>
      <c r="D252">
        <v>1362556.4679487601</v>
      </c>
      <c r="E252">
        <v>4358323.6994189294</v>
      </c>
      <c r="F252">
        <v>5990594.5782846157</v>
      </c>
      <c r="G252">
        <v>16882790.4784237</v>
      </c>
      <c r="H252">
        <v>4416602.0759127112</v>
      </c>
      <c r="I252">
        <v>1163701.8576828816</v>
      </c>
      <c r="J252">
        <v>3722259.9611100042</v>
      </c>
      <c r="K252">
        <v>5116313.4911168795</v>
      </c>
      <c r="L252">
        <v>14418877.385822477</v>
      </c>
    </row>
    <row r="253" spans="1:12" x14ac:dyDescent="0.25">
      <c r="A253" t="s">
        <v>78</v>
      </c>
      <c r="B253" t="s">
        <v>36</v>
      </c>
      <c r="C253">
        <v>99400.801551128025</v>
      </c>
      <c r="D253">
        <v>0</v>
      </c>
      <c r="E253">
        <v>83773.819184184438</v>
      </c>
      <c r="F253">
        <v>115148.62631104719</v>
      </c>
      <c r="G253">
        <v>298323.24704635964</v>
      </c>
      <c r="H253">
        <v>86963.32629745618</v>
      </c>
      <c r="I253">
        <v>0</v>
      </c>
      <c r="J253">
        <v>73291.662232231276</v>
      </c>
      <c r="K253">
        <v>100740.71241207015</v>
      </c>
      <c r="L253">
        <v>260995.70094175759</v>
      </c>
    </row>
    <row r="254" spans="1:12" x14ac:dyDescent="0.25">
      <c r="A254" t="s">
        <v>588</v>
      </c>
      <c r="B254" t="s">
        <v>589</v>
      </c>
      <c r="C254">
        <v>18927.711738030121</v>
      </c>
      <c r="D254">
        <v>4987.140098348098</v>
      </c>
      <c r="E254">
        <v>9641.3496853957658</v>
      </c>
      <c r="F254">
        <v>13252.209137283318</v>
      </c>
      <c r="G254">
        <v>46808.410659057299</v>
      </c>
      <c r="H254">
        <v>17383.271630363495</v>
      </c>
      <c r="I254">
        <v>4679.8706988348504</v>
      </c>
      <c r="J254">
        <v>8677.2147168561896</v>
      </c>
      <c r="K254">
        <v>11926.988223554987</v>
      </c>
      <c r="L254">
        <v>42667.345269609519</v>
      </c>
    </row>
    <row r="255" spans="1:12" x14ac:dyDescent="0.25">
      <c r="A255" t="s">
        <v>590</v>
      </c>
      <c r="B255" t="s">
        <v>591</v>
      </c>
      <c r="C255">
        <v>15486.309603842823</v>
      </c>
      <c r="D255">
        <v>0</v>
      </c>
      <c r="E255">
        <v>7408.0808293705113</v>
      </c>
      <c r="F255">
        <v>10182.540791506133</v>
      </c>
      <c r="G255">
        <v>33076.931224719468</v>
      </c>
      <c r="H255">
        <v>20859.925956436204</v>
      </c>
      <c r="I255">
        <v>0</v>
      </c>
      <c r="J255">
        <v>10064.136424788057</v>
      </c>
      <c r="K255">
        <v>13646.101561642079</v>
      </c>
      <c r="L255">
        <v>44570.16394286634</v>
      </c>
    </row>
    <row r="256" spans="1:12" x14ac:dyDescent="0.25">
      <c r="A256" t="s">
        <v>223</v>
      </c>
      <c r="B256" t="s">
        <v>224</v>
      </c>
      <c r="C256">
        <v>351883.36822065077</v>
      </c>
      <c r="D256">
        <v>0</v>
      </c>
      <c r="E256">
        <v>168328.05884514103</v>
      </c>
      <c r="F256">
        <v>231369.95465144503</v>
      </c>
      <c r="G256">
        <v>751581.38171723683</v>
      </c>
      <c r="H256">
        <v>372002.01288977894</v>
      </c>
      <c r="I256">
        <v>0</v>
      </c>
      <c r="J256">
        <v>179477.09957538705</v>
      </c>
      <c r="K256">
        <v>243355.47784928372</v>
      </c>
      <c r="L256">
        <v>794834.59031444974</v>
      </c>
    </row>
    <row r="257" spans="1:12" x14ac:dyDescent="0.25">
      <c r="A257" t="s">
        <v>225</v>
      </c>
      <c r="B257" t="s">
        <v>226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</row>
    <row r="258" spans="1:12" x14ac:dyDescent="0.25">
      <c r="A258" t="s">
        <v>592</v>
      </c>
      <c r="B258" t="s">
        <v>593</v>
      </c>
      <c r="C258">
        <v>12905.258003202352</v>
      </c>
      <c r="D258">
        <v>3400.3227943282504</v>
      </c>
      <c r="E258">
        <v>19781.58216964388</v>
      </c>
      <c r="F258">
        <v>27190.141684785751</v>
      </c>
      <c r="G258">
        <v>63277.304651960236</v>
      </c>
      <c r="H258">
        <v>0</v>
      </c>
      <c r="I258">
        <v>3230.306654611838</v>
      </c>
      <c r="J258">
        <v>0</v>
      </c>
      <c r="K258">
        <v>0</v>
      </c>
      <c r="L258">
        <v>3230.306654611838</v>
      </c>
    </row>
    <row r="259" spans="1:12" x14ac:dyDescent="0.25">
      <c r="A259" t="s">
        <v>227</v>
      </c>
      <c r="B259" t="s">
        <v>228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</row>
    <row r="260" spans="1:12" x14ac:dyDescent="0.25">
      <c r="A260" t="s">
        <v>229</v>
      </c>
      <c r="B260" t="s">
        <v>230</v>
      </c>
      <c r="C260">
        <v>231434.29352409556</v>
      </c>
      <c r="D260">
        <v>0</v>
      </c>
      <c r="E260">
        <v>110709.6523944815</v>
      </c>
      <c r="F260">
        <v>152172.41516195281</v>
      </c>
      <c r="G260">
        <v>494316.36108052987</v>
      </c>
      <c r="H260">
        <v>217290.8953795438</v>
      </c>
      <c r="I260">
        <v>0</v>
      </c>
      <c r="J260">
        <v>104834.7544248756</v>
      </c>
      <c r="K260">
        <v>142146.89126710495</v>
      </c>
      <c r="L260">
        <v>464272.54107152432</v>
      </c>
    </row>
    <row r="261" spans="1:12" x14ac:dyDescent="0.25">
      <c r="A261" t="s">
        <v>594</v>
      </c>
      <c r="B261" t="s">
        <v>595</v>
      </c>
      <c r="C261">
        <v>0</v>
      </c>
      <c r="D261">
        <v>1797.067595648725</v>
      </c>
      <c r="E261">
        <v>0</v>
      </c>
      <c r="F261">
        <v>0</v>
      </c>
      <c r="G261">
        <v>1797.067595648725</v>
      </c>
      <c r="H261">
        <v>0</v>
      </c>
      <c r="I261">
        <v>1617.3608360838525</v>
      </c>
      <c r="J261">
        <v>0</v>
      </c>
      <c r="K261">
        <v>0</v>
      </c>
      <c r="L261">
        <v>1617.3608360838525</v>
      </c>
    </row>
    <row r="262" spans="1:12" x14ac:dyDescent="0.25">
      <c r="A262" t="s">
        <v>596</v>
      </c>
      <c r="B262" t="s">
        <v>597</v>
      </c>
      <c r="C262">
        <v>109264.51776044659</v>
      </c>
      <c r="D262">
        <v>20873.00211974937</v>
      </c>
      <c r="E262">
        <v>52268.125851669705</v>
      </c>
      <c r="F262">
        <v>71843.482251182199</v>
      </c>
      <c r="G262">
        <v>254249.12798304786</v>
      </c>
      <c r="H262">
        <v>123421.22857558087</v>
      </c>
      <c r="I262">
        <v>33227.081961727432</v>
      </c>
      <c r="J262">
        <v>59615.96045977631</v>
      </c>
      <c r="K262">
        <v>80834.10406929953</v>
      </c>
      <c r="L262">
        <v>297098.37506638415</v>
      </c>
    </row>
    <row r="263" spans="1:12" x14ac:dyDescent="0.25">
      <c r="A263" t="s">
        <v>231</v>
      </c>
      <c r="B263" t="s">
        <v>232</v>
      </c>
      <c r="C263">
        <v>187556.41631320748</v>
      </c>
      <c r="D263">
        <v>0</v>
      </c>
      <c r="E263">
        <v>89720.090044598444</v>
      </c>
      <c r="F263">
        <v>123321.88291935209</v>
      </c>
      <c r="G263">
        <v>400598.38927715801</v>
      </c>
      <c r="H263">
        <v>187739.33360792574</v>
      </c>
      <c r="I263">
        <v>0</v>
      </c>
      <c r="J263">
        <v>90577.227823092529</v>
      </c>
      <c r="K263">
        <v>122814.91405477871</v>
      </c>
      <c r="L263">
        <v>401131.47548579698</v>
      </c>
    </row>
    <row r="264" spans="1:12" x14ac:dyDescent="0.25">
      <c r="A264" t="s">
        <v>598</v>
      </c>
      <c r="B264" t="s">
        <v>599</v>
      </c>
      <c r="C264">
        <v>19632.409156375907</v>
      </c>
      <c r="D264">
        <v>5141.8366091035523</v>
      </c>
      <c r="E264">
        <v>12368.125106929569</v>
      </c>
      <c r="F264">
        <v>17054.824055209006</v>
      </c>
      <c r="G264">
        <v>54197.194927618031</v>
      </c>
      <c r="H264">
        <v>22598.253119472552</v>
      </c>
      <c r="I264">
        <v>6083.8319084853065</v>
      </c>
      <c r="J264">
        <v>13743.857272052071</v>
      </c>
      <c r="K264">
        <v>18635.485874495716</v>
      </c>
      <c r="L264">
        <v>61061.428174505651</v>
      </c>
    </row>
    <row r="265" spans="1:12" x14ac:dyDescent="0.25">
      <c r="A265" t="s">
        <v>72</v>
      </c>
      <c r="B265" t="s">
        <v>26</v>
      </c>
      <c r="C265">
        <v>96338.705056194289</v>
      </c>
      <c r="D265">
        <v>23143.36486952041</v>
      </c>
      <c r="E265">
        <v>81139.740704588505</v>
      </c>
      <c r="F265">
        <v>111528.03790437436</v>
      </c>
      <c r="G265">
        <v>312149.84853467753</v>
      </c>
      <c r="H265">
        <v>87903.48481725539</v>
      </c>
      <c r="I265">
        <v>23665.104686231345</v>
      </c>
      <c r="J265">
        <v>75422.34951364735</v>
      </c>
      <c r="K265">
        <v>102266.20526982498</v>
      </c>
      <c r="L265">
        <v>289257.14428695908</v>
      </c>
    </row>
    <row r="266" spans="1:12" x14ac:dyDescent="0.25">
      <c r="A266" t="s">
        <v>73</v>
      </c>
      <c r="B266" t="s">
        <v>28</v>
      </c>
      <c r="C266">
        <v>37053.348098536313</v>
      </c>
      <c r="D266">
        <v>0</v>
      </c>
      <c r="E266">
        <v>31207.592578687927</v>
      </c>
      <c r="F266">
        <v>42895.399193990197</v>
      </c>
      <c r="G266">
        <v>111156.33987121444</v>
      </c>
      <c r="H266">
        <v>31003.303773720745</v>
      </c>
      <c r="I266">
        <v>0</v>
      </c>
      <c r="J266">
        <v>26601.243604398413</v>
      </c>
      <c r="K266">
        <v>36068.993559896735</v>
      </c>
      <c r="L266">
        <v>93673.540938015882</v>
      </c>
    </row>
    <row r="267" spans="1:12" x14ac:dyDescent="0.25">
      <c r="A267" t="s">
        <v>233</v>
      </c>
      <c r="B267" t="s">
        <v>234</v>
      </c>
      <c r="C267">
        <v>468891.04078301886</v>
      </c>
      <c r="D267">
        <v>0</v>
      </c>
      <c r="E267">
        <v>224300.22511149602</v>
      </c>
      <c r="F267">
        <v>308304.70729838032</v>
      </c>
      <c r="G267">
        <v>1001495.9731928952</v>
      </c>
      <c r="H267">
        <v>486731.60565017792</v>
      </c>
      <c r="I267">
        <v>0</v>
      </c>
      <c r="J267">
        <v>234829.84991172131</v>
      </c>
      <c r="K267">
        <v>318409.03643831518</v>
      </c>
      <c r="L267">
        <v>1039970.4920002144</v>
      </c>
    </row>
    <row r="268" spans="1:12" x14ac:dyDescent="0.25">
      <c r="A268" t="s">
        <v>600</v>
      </c>
      <c r="B268" t="s">
        <v>601</v>
      </c>
      <c r="C268">
        <v>1025537.8359878135</v>
      </c>
      <c r="D268">
        <v>270212.3180559515</v>
      </c>
      <c r="E268">
        <v>593675.36646483105</v>
      </c>
      <c r="F268">
        <v>816017.50509708899</v>
      </c>
      <c r="G268">
        <v>2705443.0256056851</v>
      </c>
      <c r="H268">
        <v>1140342.6189518454</v>
      </c>
      <c r="I268">
        <v>306999.51784356631</v>
      </c>
      <c r="J268">
        <v>680377.5562174425</v>
      </c>
      <c r="K268">
        <v>922533.32432351168</v>
      </c>
      <c r="L268">
        <v>3050253.0173363658</v>
      </c>
    </row>
    <row r="269" spans="1:12" x14ac:dyDescent="0.25">
      <c r="A269" t="s">
        <v>67</v>
      </c>
      <c r="B269" t="s">
        <v>12</v>
      </c>
      <c r="C269">
        <v>15682.877607164477</v>
      </c>
      <c r="D269">
        <v>4132.1797824629894</v>
      </c>
      <c r="E269">
        <v>8770.4285132681543</v>
      </c>
      <c r="F269">
        <v>12055.112268926216</v>
      </c>
      <c r="G269">
        <v>40640.598171821839</v>
      </c>
      <c r="H269">
        <v>14821.233268816171</v>
      </c>
      <c r="I269">
        <v>3904.5947454464667</v>
      </c>
      <c r="J269">
        <v>8288.5006181438384</v>
      </c>
      <c r="K269">
        <v>11392.69367986163</v>
      </c>
      <c r="L269">
        <v>38407.022312268105</v>
      </c>
    </row>
    <row r="270" spans="1:12" x14ac:dyDescent="0.25">
      <c r="A270" t="s">
        <v>62</v>
      </c>
      <c r="B270" t="s">
        <v>38</v>
      </c>
      <c r="C270">
        <v>3739361.4569145353</v>
      </c>
      <c r="D270">
        <v>0</v>
      </c>
      <c r="E270">
        <v>2979465.4738897323</v>
      </c>
      <c r="F270">
        <v>4095329.0634309025</v>
      </c>
      <c r="G270">
        <v>10814155.994235169</v>
      </c>
      <c r="H270">
        <v>3829657.9490367626</v>
      </c>
      <c r="I270">
        <v>0</v>
      </c>
      <c r="J270">
        <v>3082420.2346472768</v>
      </c>
      <c r="K270">
        <v>4179496.1636306671</v>
      </c>
      <c r="L270">
        <v>11091574.347314708</v>
      </c>
    </row>
    <row r="271" spans="1:12" x14ac:dyDescent="0.25">
      <c r="A271" t="s">
        <v>602</v>
      </c>
      <c r="B271" t="s">
        <v>603</v>
      </c>
      <c r="C271">
        <v>74850.496418573661</v>
      </c>
      <c r="D271">
        <v>19721.872207103839</v>
      </c>
      <c r="E271">
        <v>49261.45335705817</v>
      </c>
      <c r="F271">
        <v>67710.75664677177</v>
      </c>
      <c r="G271">
        <v>211544.57862950742</v>
      </c>
      <c r="H271">
        <v>67365.446776716301</v>
      </c>
      <c r="I271">
        <v>17749.684986393455</v>
      </c>
      <c r="J271">
        <v>44335.308021352357</v>
      </c>
      <c r="K271">
        <v>60939.680982094593</v>
      </c>
      <c r="L271">
        <v>190390.12076655671</v>
      </c>
    </row>
    <row r="272" spans="1:12" x14ac:dyDescent="0.25">
      <c r="A272" t="s">
        <v>235</v>
      </c>
      <c r="B272" t="s">
        <v>236</v>
      </c>
      <c r="C272">
        <v>332095.30594907381</v>
      </c>
      <c r="D272">
        <v>0</v>
      </c>
      <c r="E272">
        <v>0</v>
      </c>
      <c r="F272">
        <v>0</v>
      </c>
      <c r="G272">
        <v>332095.30594907381</v>
      </c>
      <c r="H272">
        <v>361572.04991156084</v>
      </c>
      <c r="I272">
        <v>0</v>
      </c>
      <c r="J272">
        <v>0</v>
      </c>
      <c r="K272">
        <v>0</v>
      </c>
      <c r="L272">
        <v>361572.04991156084</v>
      </c>
    </row>
    <row r="273" spans="1:12" x14ac:dyDescent="0.25">
      <c r="A273" t="s">
        <v>237</v>
      </c>
      <c r="B273" t="s">
        <v>238</v>
      </c>
      <c r="C273">
        <v>24089.814939311054</v>
      </c>
      <c r="D273">
        <v>6347.2692160794022</v>
      </c>
      <c r="E273">
        <v>12327.64326213934</v>
      </c>
      <c r="F273">
        <v>16944.568137296643</v>
      </c>
      <c r="G273">
        <v>59709.295554826436</v>
      </c>
      <c r="H273">
        <v>20476.342698414395</v>
      </c>
      <c r="I273">
        <v>5395.1788336674917</v>
      </c>
      <c r="J273">
        <v>10478.496772818438</v>
      </c>
      <c r="K273">
        <v>14402.882916702147</v>
      </c>
      <c r="L273">
        <v>50752.901221602471</v>
      </c>
    </row>
    <row r="274" spans="1:12" x14ac:dyDescent="0.25">
      <c r="A274" t="s">
        <v>304</v>
      </c>
      <c r="B274" t="s">
        <v>305</v>
      </c>
      <c r="C274">
        <v>167768.35404163055</v>
      </c>
      <c r="D274">
        <v>0</v>
      </c>
      <c r="E274">
        <v>80254.208984847195</v>
      </c>
      <c r="F274">
        <v>110310.85857464984</v>
      </c>
      <c r="G274">
        <v>358333.4216011276</v>
      </c>
      <c r="H274">
        <v>142603.10093538597</v>
      </c>
      <c r="I274">
        <v>0</v>
      </c>
      <c r="J274">
        <v>68216.077637120121</v>
      </c>
      <c r="K274">
        <v>93764.229788452358</v>
      </c>
      <c r="L274">
        <v>304583.40836095845</v>
      </c>
    </row>
    <row r="275" spans="1:12" x14ac:dyDescent="0.25">
      <c r="A275" t="s">
        <v>239</v>
      </c>
      <c r="B275" t="s">
        <v>240</v>
      </c>
      <c r="C275">
        <v>21508.763338670593</v>
      </c>
      <c r="D275">
        <v>5575.6129485546735</v>
      </c>
      <c r="E275">
        <v>10348.289260401387</v>
      </c>
      <c r="F275">
        <v>14269.604413175957</v>
      </c>
      <c r="G275">
        <v>51702.269960802609</v>
      </c>
      <c r="H275">
        <v>26944.07102706343</v>
      </c>
      <c r="I275">
        <v>4739.2710062714723</v>
      </c>
      <c r="J275">
        <v>12999.509548684573</v>
      </c>
      <c r="K275">
        <v>17626.214517121018</v>
      </c>
      <c r="L275">
        <v>62309.066099140487</v>
      </c>
    </row>
    <row r="276" spans="1:12" x14ac:dyDescent="0.25">
      <c r="A276" t="s">
        <v>241</v>
      </c>
      <c r="B276" t="s">
        <v>242</v>
      </c>
      <c r="C276">
        <v>75710.846952120482</v>
      </c>
      <c r="D276">
        <v>0</v>
      </c>
      <c r="E276">
        <v>36217.284054700278</v>
      </c>
      <c r="F276">
        <v>49781.310536252233</v>
      </c>
      <c r="G276">
        <v>161709.44154307299</v>
      </c>
      <c r="H276">
        <v>66056.432195381276</v>
      </c>
      <c r="I276">
        <v>0</v>
      </c>
      <c r="J276">
        <v>31869.765345162177</v>
      </c>
      <c r="K276">
        <v>43212.654945199916</v>
      </c>
      <c r="L276">
        <v>141138.85248574335</v>
      </c>
    </row>
    <row r="277" spans="1:12" x14ac:dyDescent="0.25">
      <c r="A277" t="s">
        <v>604</v>
      </c>
      <c r="B277" t="s">
        <v>605</v>
      </c>
      <c r="C277">
        <v>252476.14615052482</v>
      </c>
      <c r="D277">
        <v>65645.822170462285</v>
      </c>
      <c r="E277">
        <v>190657.2837303144</v>
      </c>
      <c r="F277">
        <v>258216.09230349341</v>
      </c>
      <c r="G277">
        <v>766995.34435479483</v>
      </c>
      <c r="H277">
        <v>233805.00342838914</v>
      </c>
      <c r="I277">
        <v>62944.260899328714</v>
      </c>
      <c r="J277">
        <v>171591.55535728298</v>
      </c>
      <c r="K277">
        <v>232394.48307314407</v>
      </c>
      <c r="L277">
        <v>700735.30275814491</v>
      </c>
    </row>
    <row r="278" spans="1:12" x14ac:dyDescent="0.25">
      <c r="A278" t="s">
        <v>606</v>
      </c>
      <c r="B278" t="s">
        <v>607</v>
      </c>
      <c r="C278">
        <v>621173.0852208063</v>
      </c>
      <c r="D278">
        <v>163668.87050033311</v>
      </c>
      <c r="E278">
        <v>353131.07211473311</v>
      </c>
      <c r="F278">
        <v>485385.03147813358</v>
      </c>
      <c r="G278">
        <v>1623358.059314006</v>
      </c>
      <c r="H278">
        <v>585816.25394324993</v>
      </c>
      <c r="I278">
        <v>157711.64255073445</v>
      </c>
      <c r="J278">
        <v>324483.19001101825</v>
      </c>
      <c r="K278">
        <v>439971.23836973502</v>
      </c>
      <c r="L278">
        <v>1507982.3248747375</v>
      </c>
    </row>
    <row r="279" spans="1:12" x14ac:dyDescent="0.25">
      <c r="A279" t="s">
        <v>243</v>
      </c>
      <c r="B279" t="s">
        <v>244</v>
      </c>
      <c r="C279">
        <v>24089.814939311054</v>
      </c>
      <c r="D279">
        <v>0</v>
      </c>
      <c r="E279">
        <v>11523.681290131903</v>
      </c>
      <c r="F279">
        <v>15839.507897898438</v>
      </c>
      <c r="G279">
        <v>51453.004127341395</v>
      </c>
      <c r="H279">
        <v>20859.925956436204</v>
      </c>
      <c r="I279">
        <v>0</v>
      </c>
      <c r="J279">
        <v>10064.136424788057</v>
      </c>
      <c r="K279">
        <v>13646.101561642079</v>
      </c>
      <c r="L279">
        <v>44570.16394286634</v>
      </c>
    </row>
    <row r="280" spans="1:12" x14ac:dyDescent="0.25">
      <c r="A280" t="s">
        <v>245</v>
      </c>
      <c r="B280" t="s">
        <v>246</v>
      </c>
      <c r="C280">
        <v>64526.290016011735</v>
      </c>
      <c r="D280">
        <v>0</v>
      </c>
      <c r="E280">
        <v>30867.003455710452</v>
      </c>
      <c r="F280">
        <v>42427.253297942247</v>
      </c>
      <c r="G280">
        <v>137820.54676966445</v>
      </c>
      <c r="H280">
        <v>63448.941450826787</v>
      </c>
      <c r="I280">
        <v>0</v>
      </c>
      <c r="J280">
        <v>30611.748292063672</v>
      </c>
      <c r="K280">
        <v>41506.892249994657</v>
      </c>
      <c r="L280">
        <v>135567.58199288513</v>
      </c>
    </row>
    <row r="281" spans="1:12" x14ac:dyDescent="0.25">
      <c r="A281" t="s">
        <v>608</v>
      </c>
      <c r="B281" t="s">
        <v>609</v>
      </c>
      <c r="C281">
        <v>34902.060722446069</v>
      </c>
      <c r="D281">
        <v>9141.0428606285368</v>
      </c>
      <c r="E281">
        <v>22232.007412531515</v>
      </c>
      <c r="F281">
        <v>30656.463411935518</v>
      </c>
      <c r="G281">
        <v>96931.57440754163</v>
      </c>
      <c r="H281">
        <v>39112.361168317882</v>
      </c>
      <c r="I281">
        <v>10529.709072378413</v>
      </c>
      <c r="J281">
        <v>23231.234811896233</v>
      </c>
      <c r="K281">
        <v>31499.552099142689</v>
      </c>
      <c r="L281">
        <v>104372.85715173522</v>
      </c>
    </row>
    <row r="282" spans="1:12" x14ac:dyDescent="0.25">
      <c r="A282" t="s">
        <v>60</v>
      </c>
      <c r="B282" t="s">
        <v>42</v>
      </c>
      <c r="C282">
        <v>394644.16849933227</v>
      </c>
      <c r="D282">
        <v>103359.49179727057</v>
      </c>
      <c r="E282">
        <v>243411.91773993953</v>
      </c>
      <c r="F282">
        <v>335648.88728929288</v>
      </c>
      <c r="G282">
        <v>1077064.4653258352</v>
      </c>
      <c r="H282">
        <v>438829.90563110972</v>
      </c>
      <c r="I282">
        <v>118140.43183610703</v>
      </c>
      <c r="J282">
        <v>256409.00116485672</v>
      </c>
      <c r="K282">
        <v>347668.50562526262</v>
      </c>
      <c r="L282">
        <v>1161047.8442573361</v>
      </c>
    </row>
    <row r="283" spans="1:12" x14ac:dyDescent="0.25">
      <c r="A283" t="s">
        <v>247</v>
      </c>
      <c r="B283" t="s">
        <v>248</v>
      </c>
      <c r="C283">
        <v>565250.30054026283</v>
      </c>
      <c r="D283">
        <v>0</v>
      </c>
      <c r="E283">
        <v>270394.95027202356</v>
      </c>
      <c r="F283">
        <v>371662.73888997402</v>
      </c>
      <c r="G283">
        <v>1207307.9897022604</v>
      </c>
      <c r="H283">
        <v>556264.69217163185</v>
      </c>
      <c r="I283">
        <v>0</v>
      </c>
      <c r="J283">
        <v>268376.97132768139</v>
      </c>
      <c r="K283">
        <v>363896.04164378881</v>
      </c>
      <c r="L283">
        <v>1188537.705143102</v>
      </c>
    </row>
    <row r="284" spans="1:12" x14ac:dyDescent="0.25">
      <c r="A284" t="s">
        <v>610</v>
      </c>
      <c r="B284" t="s">
        <v>611</v>
      </c>
      <c r="C284">
        <v>173790.80777645842</v>
      </c>
      <c r="D284">
        <v>45791.013630287074</v>
      </c>
      <c r="E284">
        <v>113604.25708854655</v>
      </c>
      <c r="F284">
        <v>156151.10155205624</v>
      </c>
      <c r="G284">
        <v>489337.18004734826</v>
      </c>
      <c r="H284">
        <v>220767.54970561652</v>
      </c>
      <c r="I284">
        <v>59434.357875202586</v>
      </c>
      <c r="J284">
        <v>173317.53357915345</v>
      </c>
      <c r="K284">
        <v>235003.63725288503</v>
      </c>
      <c r="L284">
        <v>688523.07841285761</v>
      </c>
    </row>
    <row r="285" spans="1:12" x14ac:dyDescent="0.25">
      <c r="A285" t="s">
        <v>249</v>
      </c>
      <c r="B285" t="s">
        <v>250</v>
      </c>
      <c r="C285">
        <v>397481.94649863243</v>
      </c>
      <c r="D285">
        <v>0</v>
      </c>
      <c r="E285">
        <v>190140.7412871765</v>
      </c>
      <c r="F285">
        <v>261351.88031532418</v>
      </c>
      <c r="G285">
        <v>848974.5681011331</v>
      </c>
      <c r="H285">
        <v>412852.70122113317</v>
      </c>
      <c r="I285">
        <v>0</v>
      </c>
      <c r="J285">
        <v>199186.03340726357</v>
      </c>
      <c r="K285">
        <v>270079.09340749955</v>
      </c>
      <c r="L285">
        <v>882117.82803589641</v>
      </c>
    </row>
    <row r="286" spans="1:12" x14ac:dyDescent="0.25">
      <c r="A286" t="s">
        <v>612</v>
      </c>
      <c r="B286" t="s">
        <v>613</v>
      </c>
      <c r="C286">
        <v>56783.13521409034</v>
      </c>
      <c r="D286">
        <v>14961.4202950443</v>
      </c>
      <c r="E286">
        <v>34546.955665293921</v>
      </c>
      <c r="F286">
        <v>47637.960112853594</v>
      </c>
      <c r="G286">
        <v>153929.47128728215</v>
      </c>
      <c r="H286">
        <v>66925.595776899485</v>
      </c>
      <c r="I286">
        <v>18017.502190514173</v>
      </c>
      <c r="J286">
        <v>46347.130426974203</v>
      </c>
      <c r="K286">
        <v>62842.714188513288</v>
      </c>
      <c r="L286">
        <v>194132.94258290116</v>
      </c>
    </row>
    <row r="287" spans="1:12" x14ac:dyDescent="0.25">
      <c r="A287" t="s">
        <v>63</v>
      </c>
      <c r="B287" t="s">
        <v>48</v>
      </c>
      <c r="C287">
        <v>2412367.6584831234</v>
      </c>
      <c r="D287">
        <v>0</v>
      </c>
      <c r="E287">
        <v>1708235.2358660235</v>
      </c>
      <c r="F287">
        <v>2348000.1597352899</v>
      </c>
      <c r="G287">
        <v>6468603.054084437</v>
      </c>
      <c r="H287">
        <v>2360210.8610772477</v>
      </c>
      <c r="I287">
        <v>0</v>
      </c>
      <c r="J287">
        <v>1667372.7351757819</v>
      </c>
      <c r="K287">
        <v>2260813.7176360684</v>
      </c>
      <c r="L287">
        <v>6288397.3138890974</v>
      </c>
    </row>
    <row r="288" spans="1:12" x14ac:dyDescent="0.25">
      <c r="A288" t="s">
        <v>251</v>
      </c>
      <c r="B288" t="s">
        <v>252</v>
      </c>
      <c r="C288">
        <v>103696.28457698962</v>
      </c>
      <c r="D288">
        <v>0</v>
      </c>
      <c r="E288">
        <v>50406.183171632561</v>
      </c>
      <c r="F288">
        <v>69506.782786760334</v>
      </c>
      <c r="G288">
        <v>223609.25053538251</v>
      </c>
      <c r="H288">
        <v>99084.648293071965</v>
      </c>
      <c r="I288">
        <v>0</v>
      </c>
      <c r="J288">
        <v>47804.648017743275</v>
      </c>
      <c r="K288">
        <v>64818.982417799889</v>
      </c>
      <c r="L288">
        <v>211708.27872861511</v>
      </c>
    </row>
    <row r="289" spans="1:12" x14ac:dyDescent="0.25">
      <c r="A289" t="s">
        <v>614</v>
      </c>
      <c r="B289" t="s">
        <v>615</v>
      </c>
      <c r="C289">
        <v>94638.558690150574</v>
      </c>
      <c r="D289">
        <v>24935.700491740503</v>
      </c>
      <c r="E289">
        <v>55591.833338774835</v>
      </c>
      <c r="F289">
        <v>76411.978174215765</v>
      </c>
      <c r="G289">
        <v>251578.07069488167</v>
      </c>
      <c r="H289">
        <v>85174.702821135521</v>
      </c>
      <c r="I289">
        <v>22442.130442566453</v>
      </c>
      <c r="J289">
        <v>50032.650004897354</v>
      </c>
      <c r="K289">
        <v>68770.780356794188</v>
      </c>
      <c r="L289">
        <v>226420.26362539351</v>
      </c>
    </row>
    <row r="290" spans="1:12" x14ac:dyDescent="0.25">
      <c r="A290" t="s">
        <v>616</v>
      </c>
      <c r="B290" t="s">
        <v>617</v>
      </c>
      <c r="C290">
        <v>301983.03727493499</v>
      </c>
      <c r="D290">
        <v>79567.553387281034</v>
      </c>
      <c r="E290">
        <v>156042.08603766694</v>
      </c>
      <c r="F290">
        <v>214482.66330610073</v>
      </c>
      <c r="G290">
        <v>752075.34000598371</v>
      </c>
      <c r="H290">
        <v>271784.73354744149</v>
      </c>
      <c r="I290">
        <v>71610.798048552926</v>
      </c>
      <c r="J290">
        <v>140437.87743390026</v>
      </c>
      <c r="K290">
        <v>193034.39697549067</v>
      </c>
      <c r="L290">
        <v>676867.80600538536</v>
      </c>
    </row>
    <row r="291" spans="1:12" x14ac:dyDescent="0.25">
      <c r="A291" t="s">
        <v>618</v>
      </c>
      <c r="B291" t="s">
        <v>619</v>
      </c>
      <c r="C291">
        <v>26095.753734606653</v>
      </c>
      <c r="D291">
        <v>0</v>
      </c>
      <c r="E291">
        <v>12684.999738556538</v>
      </c>
      <c r="F291">
        <v>17491.773151635054</v>
      </c>
      <c r="G291">
        <v>56272.526624798244</v>
      </c>
      <c r="H291">
        <v>32159.052516172473</v>
      </c>
      <c r="I291">
        <v>0</v>
      </c>
      <c r="J291">
        <v>15515.543654881587</v>
      </c>
      <c r="K291">
        <v>21037.739907531541</v>
      </c>
      <c r="L291">
        <v>68712.336078585591</v>
      </c>
    </row>
    <row r="292" spans="1:12" x14ac:dyDescent="0.25">
      <c r="A292" t="s">
        <v>620</v>
      </c>
      <c r="B292" t="s">
        <v>1399</v>
      </c>
      <c r="C292">
        <v>708068.48910903581</v>
      </c>
      <c r="D292">
        <v>0</v>
      </c>
      <c r="E292">
        <v>365876.88096168806</v>
      </c>
      <c r="F292">
        <v>502904.37575827533</v>
      </c>
      <c r="G292">
        <v>1576849.7458289992</v>
      </c>
      <c r="H292">
        <v>924790.05073533824</v>
      </c>
      <c r="I292">
        <v>248969.12117801406</v>
      </c>
      <c r="J292">
        <v>524383.44163322763</v>
      </c>
      <c r="K292">
        <v>711018.75011805922</v>
      </c>
      <c r="L292">
        <v>2409161.3636646392</v>
      </c>
    </row>
    <row r="293" spans="1:12" x14ac:dyDescent="0.25">
      <c r="A293" t="s">
        <v>621</v>
      </c>
      <c r="B293" t="s">
        <v>622</v>
      </c>
      <c r="C293">
        <v>734739.35564898723</v>
      </c>
      <c r="D293">
        <v>193591.71109042165</v>
      </c>
      <c r="E293">
        <v>472661.99964679894</v>
      </c>
      <c r="F293">
        <v>649682.44851175009</v>
      </c>
      <c r="G293">
        <v>2050675.5148979579</v>
      </c>
      <c r="H293">
        <v>661265.42008408858</v>
      </c>
      <c r="I293">
        <v>175261.15767136513</v>
      </c>
      <c r="J293">
        <v>425395.79968211905</v>
      </c>
      <c r="K293">
        <v>584714.20366057509</v>
      </c>
      <c r="L293">
        <v>1846636.5810981481</v>
      </c>
    </row>
    <row r="294" spans="1:12" x14ac:dyDescent="0.25">
      <c r="A294" t="s">
        <v>623</v>
      </c>
      <c r="B294" t="s">
        <v>624</v>
      </c>
      <c r="C294">
        <v>150561.34337069414</v>
      </c>
      <c r="D294">
        <v>39670.432600496242</v>
      </c>
      <c r="E294">
        <v>84441.72956366041</v>
      </c>
      <c r="F294">
        <v>116066.68118122635</v>
      </c>
      <c r="G294">
        <v>390740.18671607715</v>
      </c>
      <c r="H294">
        <v>175571.04346667137</v>
      </c>
      <c r="I294">
        <v>47266.694058231988</v>
      </c>
      <c r="J294">
        <v>108994.9224681934</v>
      </c>
      <c r="K294">
        <v>147787.72056794664</v>
      </c>
      <c r="L294">
        <v>479620.38056104339</v>
      </c>
    </row>
    <row r="295" spans="1:12" x14ac:dyDescent="0.25">
      <c r="A295" t="s">
        <v>253</v>
      </c>
      <c r="B295" t="s">
        <v>254</v>
      </c>
      <c r="C295">
        <v>239177.44832601695</v>
      </c>
      <c r="D295">
        <v>0</v>
      </c>
      <c r="E295">
        <v>114413.69280916675</v>
      </c>
      <c r="F295">
        <v>157263.68555770593</v>
      </c>
      <c r="G295">
        <v>510854.82669288962</v>
      </c>
      <c r="H295">
        <v>221636.71328713471</v>
      </c>
      <c r="I295">
        <v>0</v>
      </c>
      <c r="J295">
        <v>106931.4495133731</v>
      </c>
      <c r="K295">
        <v>144989.82909244706</v>
      </c>
      <c r="L295">
        <v>473557.99189295486</v>
      </c>
    </row>
    <row r="296" spans="1:12" x14ac:dyDescent="0.25">
      <c r="A296" t="s">
        <v>625</v>
      </c>
      <c r="B296" t="s">
        <v>626</v>
      </c>
      <c r="C296">
        <v>0</v>
      </c>
      <c r="D296">
        <v>1818.4223737979735</v>
      </c>
      <c r="E296">
        <v>0</v>
      </c>
      <c r="F296">
        <v>0</v>
      </c>
      <c r="G296">
        <v>1818.4223737979735</v>
      </c>
      <c r="H296">
        <v>0</v>
      </c>
      <c r="I296">
        <v>1545.6590177282774</v>
      </c>
      <c r="J296">
        <v>0</v>
      </c>
      <c r="K296">
        <v>0</v>
      </c>
      <c r="L296">
        <v>1545.6590177282774</v>
      </c>
    </row>
    <row r="297" spans="1:12" x14ac:dyDescent="0.25">
      <c r="A297" t="s">
        <v>627</v>
      </c>
      <c r="B297" t="s">
        <v>628</v>
      </c>
      <c r="C297">
        <v>36134.722408966583</v>
      </c>
      <c r="D297">
        <v>9352.6410749949355</v>
      </c>
      <c r="E297">
        <v>17358.420694866847</v>
      </c>
      <c r="F297">
        <v>23936.110628553233</v>
      </c>
      <c r="G297">
        <v>86781.894807381599</v>
      </c>
      <c r="H297">
        <v>33897.379679208825</v>
      </c>
      <c r="I297">
        <v>7949.7449137456952</v>
      </c>
      <c r="J297">
        <v>16354.221690280587</v>
      </c>
      <c r="K297">
        <v>22174.915037668379</v>
      </c>
      <c r="L297">
        <v>80376.26132090349</v>
      </c>
    </row>
    <row r="298" spans="1:12" x14ac:dyDescent="0.25">
      <c r="A298" t="s">
        <v>629</v>
      </c>
      <c r="B298" t="s">
        <v>630</v>
      </c>
      <c r="C298">
        <v>58897.227469127742</v>
      </c>
      <c r="D298">
        <v>15425.509827310645</v>
      </c>
      <c r="E298">
        <v>40171.721489471565</v>
      </c>
      <c r="F298">
        <v>54884.318404265228</v>
      </c>
      <c r="G298">
        <v>169378.7771901752</v>
      </c>
      <c r="H298">
        <v>73009.740847526671</v>
      </c>
      <c r="I298">
        <v>19655.456935106373</v>
      </c>
      <c r="J298">
        <v>50485.073502353938</v>
      </c>
      <c r="K298">
        <v>68453.408348406345</v>
      </c>
      <c r="L298">
        <v>211603.67963339333</v>
      </c>
    </row>
    <row r="299" spans="1:12" x14ac:dyDescent="0.25">
      <c r="A299" t="s">
        <v>64</v>
      </c>
      <c r="B299" t="s">
        <v>1390</v>
      </c>
      <c r="C299">
        <v>773299.95182445808</v>
      </c>
      <c r="D299">
        <v>175350.9872106596</v>
      </c>
      <c r="E299">
        <v>445484.49322934798</v>
      </c>
      <c r="F299">
        <v>614293.56395284913</v>
      </c>
      <c r="G299">
        <v>2008428.9962173146</v>
      </c>
      <c r="H299">
        <v>928656.38732570899</v>
      </c>
      <c r="I299">
        <v>148945.76604316637</v>
      </c>
      <c r="J299">
        <v>530306.21419284004</v>
      </c>
      <c r="K299">
        <v>719049.51922368375</v>
      </c>
      <c r="L299">
        <v>2326957.8867853992</v>
      </c>
    </row>
    <row r="300" spans="1:12" x14ac:dyDescent="0.25">
      <c r="A300" t="s">
        <v>306</v>
      </c>
      <c r="B300" t="s">
        <v>1386</v>
      </c>
      <c r="C300">
        <v>374252.48209286825</v>
      </c>
      <c r="D300">
        <v>0</v>
      </c>
      <c r="E300">
        <v>179028.6200431207</v>
      </c>
      <c r="F300">
        <v>246078.06912806502</v>
      </c>
      <c r="G300">
        <v>799359.1712640539</v>
      </c>
      <c r="H300">
        <v>318114.609778938</v>
      </c>
      <c r="I300">
        <v>0</v>
      </c>
      <c r="J300">
        <v>152174.3270366526</v>
      </c>
      <c r="K300">
        <v>209166.35875885526</v>
      </c>
      <c r="L300">
        <v>679455.29557444586</v>
      </c>
    </row>
    <row r="301" spans="1:12" x14ac:dyDescent="0.25">
      <c r="A301" t="s">
        <v>255</v>
      </c>
      <c r="B301" t="s">
        <v>1385</v>
      </c>
      <c r="C301">
        <v>634938.69375755556</v>
      </c>
      <c r="D301">
        <v>0</v>
      </c>
      <c r="E301">
        <v>313402.97508698015</v>
      </c>
      <c r="F301">
        <v>430778.04515177343</v>
      </c>
      <c r="G301">
        <v>1379119.7139963091</v>
      </c>
      <c r="H301">
        <v>637096.90525282221</v>
      </c>
      <c r="I301">
        <v>0</v>
      </c>
      <c r="J301">
        <v>316181.61934542481</v>
      </c>
      <c r="K301">
        <v>428715.02406158857</v>
      </c>
      <c r="L301">
        <v>1381993.5486598355</v>
      </c>
    </row>
    <row r="302" spans="1:12" x14ac:dyDescent="0.25">
      <c r="A302" t="s">
        <v>68</v>
      </c>
      <c r="B302" t="s">
        <v>1383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</row>
    <row r="303" spans="1:12" x14ac:dyDescent="0.25">
      <c r="A303" t="s">
        <v>631</v>
      </c>
      <c r="B303" t="s">
        <v>632</v>
      </c>
      <c r="C303">
        <v>76913.800480945938</v>
      </c>
      <c r="D303">
        <v>20144.150007681394</v>
      </c>
      <c r="E303">
        <v>49307.294996912722</v>
      </c>
      <c r="F303">
        <v>67991.488891026995</v>
      </c>
      <c r="G303">
        <v>214356.73437656707</v>
      </c>
      <c r="H303">
        <v>84308.86740726298</v>
      </c>
      <c r="I303">
        <v>22697.372889349022</v>
      </c>
      <c r="J303">
        <v>47907.910250851768</v>
      </c>
      <c r="K303">
        <v>64958.99710569797</v>
      </c>
      <c r="L303">
        <v>219873.14765316172</v>
      </c>
    </row>
    <row r="304" spans="1:12" x14ac:dyDescent="0.25">
      <c r="A304" t="s">
        <v>256</v>
      </c>
      <c r="B304" t="s">
        <v>257</v>
      </c>
      <c r="C304">
        <v>197778.34409386094</v>
      </c>
      <c r="D304">
        <v>0</v>
      </c>
      <c r="E304">
        <v>0</v>
      </c>
      <c r="F304">
        <v>0</v>
      </c>
      <c r="G304">
        <v>197778.34409386094</v>
      </c>
      <c r="H304">
        <v>172963.55272211684</v>
      </c>
      <c r="I304">
        <v>0</v>
      </c>
      <c r="J304">
        <v>0</v>
      </c>
      <c r="K304">
        <v>0</v>
      </c>
      <c r="L304">
        <v>172963.55272211684</v>
      </c>
    </row>
    <row r="305" spans="1:12" x14ac:dyDescent="0.25">
      <c r="A305" t="s">
        <v>307</v>
      </c>
      <c r="B305" t="s">
        <v>308</v>
      </c>
      <c r="C305">
        <v>127331.87896492989</v>
      </c>
      <c r="D305">
        <v>0</v>
      </c>
      <c r="E305">
        <v>60910.886819268635</v>
      </c>
      <c r="F305">
        <v>83723.113174606042</v>
      </c>
      <c r="G305">
        <v>271965.87895880459</v>
      </c>
      <c r="H305">
        <v>131243.70080924436</v>
      </c>
      <c r="I305">
        <v>0</v>
      </c>
      <c r="J305">
        <v>63320.191672624875</v>
      </c>
      <c r="K305">
        <v>85856.7223253314</v>
      </c>
      <c r="L305">
        <v>280420.61480720062</v>
      </c>
    </row>
    <row r="306" spans="1:12" x14ac:dyDescent="0.25">
      <c r="A306" t="s">
        <v>70</v>
      </c>
      <c r="B306" t="s">
        <v>1396</v>
      </c>
      <c r="C306">
        <v>31042.97551993349</v>
      </c>
      <c r="D306">
        <v>8179.312435133852</v>
      </c>
      <c r="E306">
        <v>22654.083780661225</v>
      </c>
      <c r="F306">
        <v>31235.675075331794</v>
      </c>
      <c r="G306">
        <v>93112.046811060354</v>
      </c>
      <c r="H306">
        <v>23530.047380660886</v>
      </c>
      <c r="I306">
        <v>6334.6866815684616</v>
      </c>
      <c r="J306">
        <v>17789.264362139995</v>
      </c>
      <c r="K306">
        <v>24120.709214032206</v>
      </c>
      <c r="L306">
        <v>71774.707638401553</v>
      </c>
    </row>
    <row r="307" spans="1:12" x14ac:dyDescent="0.25">
      <c r="A307" t="s">
        <v>258</v>
      </c>
      <c r="B307" t="s">
        <v>259</v>
      </c>
      <c r="C307">
        <v>28391.56760704517</v>
      </c>
      <c r="D307">
        <v>0</v>
      </c>
      <c r="E307">
        <v>13581.4815205126</v>
      </c>
      <c r="F307">
        <v>18667.991451094585</v>
      </c>
      <c r="G307">
        <v>60641.040578652348</v>
      </c>
      <c r="H307">
        <v>25205.743864027078</v>
      </c>
      <c r="I307">
        <v>0</v>
      </c>
      <c r="J307">
        <v>12160.831513285571</v>
      </c>
      <c r="K307">
        <v>16489.039386984179</v>
      </c>
      <c r="L307">
        <v>53855.614764296828</v>
      </c>
    </row>
    <row r="308" spans="1:12" x14ac:dyDescent="0.25">
      <c r="A308" t="s">
        <v>633</v>
      </c>
      <c r="B308" t="s">
        <v>634</v>
      </c>
      <c r="C308">
        <v>43542.987524510827</v>
      </c>
      <c r="D308">
        <v>11321.525852586967</v>
      </c>
      <c r="E308">
        <v>23242.358577955023</v>
      </c>
      <c r="F308">
        <v>29333.116174164265</v>
      </c>
      <c r="G308">
        <v>107439.98812921709</v>
      </c>
      <c r="H308">
        <v>37011.539395834203</v>
      </c>
      <c r="I308">
        <v>9623.296974698922</v>
      </c>
      <c r="J308">
        <v>19756.00479126177</v>
      </c>
      <c r="K308">
        <v>24933.148748039624</v>
      </c>
      <c r="L308">
        <v>91323.989909834519</v>
      </c>
    </row>
    <row r="309" spans="1:12" x14ac:dyDescent="0.25">
      <c r="A309" t="s">
        <v>635</v>
      </c>
      <c r="B309" t="s">
        <v>636</v>
      </c>
      <c r="C309">
        <v>12905.258003202352</v>
      </c>
      <c r="D309">
        <v>2510.0445587040394</v>
      </c>
      <c r="E309">
        <v>6173.4006911420902</v>
      </c>
      <c r="F309">
        <v>8485.4506595884504</v>
      </c>
      <c r="G309">
        <v>30074.153912636932</v>
      </c>
      <c r="H309">
        <v>13906.617304290807</v>
      </c>
      <c r="I309">
        <v>2133.5378748984335</v>
      </c>
      <c r="J309">
        <v>6709.4242831920374</v>
      </c>
      <c r="K309">
        <v>9097.4010410947194</v>
      </c>
      <c r="L309">
        <v>31846.980503475996</v>
      </c>
    </row>
    <row r="310" spans="1:12" x14ac:dyDescent="0.25">
      <c r="A310" t="s">
        <v>637</v>
      </c>
      <c r="B310" t="s">
        <v>638</v>
      </c>
      <c r="C310">
        <v>88616.104955322837</v>
      </c>
      <c r="D310">
        <v>22063.996591020456</v>
      </c>
      <c r="E310">
        <v>42390.684745842365</v>
      </c>
      <c r="F310">
        <v>58266.761195840678</v>
      </c>
      <c r="G310">
        <v>211337.54748802632</v>
      </c>
      <c r="H310">
        <v>86916.358151817491</v>
      </c>
      <c r="I310">
        <v>18754.397102367388</v>
      </c>
      <c r="J310">
        <v>41933.901769950251</v>
      </c>
      <c r="K310">
        <v>56858.756506841994</v>
      </c>
      <c r="L310">
        <v>204463.41353097715</v>
      </c>
    </row>
    <row r="311" spans="1:12" x14ac:dyDescent="0.25">
      <c r="A311" t="s">
        <v>639</v>
      </c>
      <c r="B311" t="s">
        <v>640</v>
      </c>
      <c r="C311">
        <v>18067.361204483292</v>
      </c>
      <c r="D311">
        <v>0</v>
      </c>
      <c r="E311">
        <v>8642.7609675989261</v>
      </c>
      <c r="F311">
        <v>11879.630923423827</v>
      </c>
      <c r="G311">
        <v>38589.753095506043</v>
      </c>
      <c r="H311">
        <v>24336.580282508898</v>
      </c>
      <c r="I311">
        <v>6551.8189783687894</v>
      </c>
      <c r="J311">
        <v>13344.646527202151</v>
      </c>
      <c r="K311">
        <v>18094.19051255058</v>
      </c>
      <c r="L311">
        <v>62327.236300630415</v>
      </c>
    </row>
    <row r="312" spans="1:12" x14ac:dyDescent="0.25">
      <c r="A312" t="s">
        <v>641</v>
      </c>
      <c r="B312" t="s">
        <v>642</v>
      </c>
      <c r="C312">
        <v>13765.608536749176</v>
      </c>
      <c r="D312">
        <v>3627.0109806168002</v>
      </c>
      <c r="E312">
        <v>12395.519802738447</v>
      </c>
      <c r="F312">
        <v>17037.865667298818</v>
      </c>
      <c r="G312">
        <v>46826.004987403241</v>
      </c>
      <c r="H312">
        <v>26944.07102706343</v>
      </c>
      <c r="I312">
        <v>7253.7995831940152</v>
      </c>
      <c r="J312">
        <v>37317.104986784019</v>
      </c>
      <c r="K312">
        <v>50598.777991708223</v>
      </c>
      <c r="L312">
        <v>122113.75358874968</v>
      </c>
    </row>
    <row r="313" spans="1:12" x14ac:dyDescent="0.25">
      <c r="A313" t="s">
        <v>643</v>
      </c>
      <c r="B313" t="s">
        <v>644</v>
      </c>
      <c r="C313">
        <v>212506.58178606542</v>
      </c>
      <c r="D313">
        <v>0</v>
      </c>
      <c r="E313">
        <v>101655.33138080647</v>
      </c>
      <c r="F313">
        <v>139727.08752788982</v>
      </c>
      <c r="G313">
        <v>453889.00069476169</v>
      </c>
      <c r="H313">
        <v>232066.67626535281</v>
      </c>
      <c r="I313">
        <v>0</v>
      </c>
      <c r="J313">
        <v>111963.51772576712</v>
      </c>
      <c r="K313">
        <v>151812.87987326816</v>
      </c>
      <c r="L313">
        <v>495843.07386438805</v>
      </c>
    </row>
    <row r="314" spans="1:12" x14ac:dyDescent="0.25">
      <c r="A314" t="s">
        <v>645</v>
      </c>
      <c r="B314" t="s">
        <v>646</v>
      </c>
      <c r="C314">
        <v>3688322.7373152324</v>
      </c>
      <c r="D314">
        <v>971812.25461901387</v>
      </c>
      <c r="E314">
        <v>2921047.4270254001</v>
      </c>
      <c r="F314">
        <v>4015032.403761934</v>
      </c>
      <c r="G314">
        <v>11596214.82272158</v>
      </c>
      <c r="H314">
        <v>3868647.101337397</v>
      </c>
      <c r="I314">
        <v>1041505.2240256959</v>
      </c>
      <c r="J314">
        <v>3113801.875927655</v>
      </c>
      <c r="K314">
        <v>4222046.9644155521</v>
      </c>
      <c r="L314">
        <v>12246001.165706299</v>
      </c>
    </row>
    <row r="315" spans="1:12" x14ac:dyDescent="0.25">
      <c r="A315" t="s">
        <v>647</v>
      </c>
      <c r="B315" t="s">
        <v>648</v>
      </c>
      <c r="C315">
        <v>530836.27919839008</v>
      </c>
      <c r="D315">
        <v>0</v>
      </c>
      <c r="E315">
        <v>256704.33681447321</v>
      </c>
      <c r="F315">
        <v>353978.25141071988</v>
      </c>
      <c r="G315">
        <v>1141518.8674235833</v>
      </c>
      <c r="H315">
        <v>468479.17043829645</v>
      </c>
      <c r="I315">
        <v>0</v>
      </c>
      <c r="J315">
        <v>226023.7305400318</v>
      </c>
      <c r="K315">
        <v>306468.69757187838</v>
      </c>
      <c r="L315">
        <v>1000971.5985502065</v>
      </c>
    </row>
    <row r="316" spans="1:12" x14ac:dyDescent="0.25">
      <c r="A316" t="s">
        <v>649</v>
      </c>
      <c r="B316" t="s">
        <v>650</v>
      </c>
      <c r="C316">
        <v>118728.37362946161</v>
      </c>
      <c r="D316">
        <v>28667.351012567196</v>
      </c>
      <c r="E316">
        <v>57416.314606098022</v>
      </c>
      <c r="F316">
        <v>79173.289002137608</v>
      </c>
      <c r="G316">
        <v>283985.3282502644</v>
      </c>
      <c r="H316">
        <v>139066.17304290796</v>
      </c>
      <c r="I316">
        <v>24367.248360682115</v>
      </c>
      <c r="J316">
        <v>67094.242831920346</v>
      </c>
      <c r="K316">
        <v>90974.010410947201</v>
      </c>
      <c r="L316">
        <v>321501.6746464576</v>
      </c>
    </row>
  </sheetData>
  <sheetProtection algorithmName="SHA-512" hashValue="PBQwj9NmhRERvjyanYMNHoDcbcYh0HBc54DL8/UuWLD73pcfC4I/rUKwO1hqaI2gQpM9Xd8TrID3L3MqjiSwhQ==" saltValue="680FhoeFPDvJY6+eAh1JDA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601FD-8A5A-4690-AAC1-9C9831E8E4DF}">
  <sheetPr>
    <tabColor theme="4" tint="0.79998168889431442"/>
  </sheetPr>
  <dimension ref="A1:L316"/>
  <sheetViews>
    <sheetView workbookViewId="0"/>
  </sheetViews>
  <sheetFormatPr defaultRowHeight="15" x14ac:dyDescent="0.25"/>
  <cols>
    <col min="1" max="1" width="8.28515625" bestFit="1" customWidth="1"/>
    <col min="2" max="2" width="47.5703125" bestFit="1" customWidth="1"/>
    <col min="3" max="3" width="50.5703125" bestFit="1" customWidth="1"/>
    <col min="4" max="4" width="42.140625" bestFit="1" customWidth="1"/>
    <col min="5" max="5" width="54.85546875" bestFit="1" customWidth="1"/>
    <col min="6" max="6" width="49.5703125" bestFit="1" customWidth="1"/>
    <col min="7" max="7" width="25.85546875" bestFit="1" customWidth="1"/>
    <col min="8" max="8" width="20.85546875" bestFit="1" customWidth="1"/>
    <col min="9" max="9" width="21.28515625" bestFit="1" customWidth="1"/>
    <col min="10" max="10" width="24.140625" bestFit="1" customWidth="1"/>
    <col min="11" max="11" width="20.42578125" bestFit="1" customWidth="1"/>
    <col min="12" max="12" width="26.42578125" bestFit="1" customWidth="1"/>
    <col min="13" max="13" width="20.42578125" bestFit="1" customWidth="1"/>
    <col min="14" max="15" width="26.42578125" customWidth="1"/>
    <col min="16" max="16" width="26.42578125" bestFit="1" customWidth="1"/>
  </cols>
  <sheetData>
    <row r="1" spans="1:12" x14ac:dyDescent="0.25">
      <c r="A1" t="s">
        <v>4</v>
      </c>
      <c r="B1" t="s">
        <v>1278</v>
      </c>
      <c r="C1" t="s">
        <v>1326</v>
      </c>
      <c r="D1" t="s">
        <v>1360</v>
      </c>
      <c r="E1" t="s">
        <v>1327</v>
      </c>
      <c r="F1" t="s">
        <v>1328</v>
      </c>
      <c r="G1" t="s">
        <v>1361</v>
      </c>
      <c r="H1" t="s">
        <v>1329</v>
      </c>
      <c r="I1" t="s">
        <v>1330</v>
      </c>
      <c r="J1" t="s">
        <v>1331</v>
      </c>
      <c r="K1" t="s">
        <v>1332</v>
      </c>
      <c r="L1" t="s">
        <v>1333</v>
      </c>
    </row>
    <row r="2" spans="1:12" x14ac:dyDescent="0.25">
      <c r="A2" t="s">
        <v>309</v>
      </c>
      <c r="B2" t="s">
        <v>1382</v>
      </c>
      <c r="C2">
        <v>705487.43750839541</v>
      </c>
      <c r="D2">
        <v>185884.31275661089</v>
      </c>
      <c r="E2">
        <v>436283.3428980321</v>
      </c>
      <c r="F2">
        <v>599679.32829525613</v>
      </c>
      <c r="G2">
        <v>1927334.4214582946</v>
      </c>
      <c r="H2">
        <v>634755.13241215039</v>
      </c>
      <c r="I2">
        <v>167247.51609168094</v>
      </c>
      <c r="J2">
        <v>392541.4916933378</v>
      </c>
      <c r="K2">
        <v>539555.3644176051</v>
      </c>
      <c r="L2">
        <v>1734099.5046147741</v>
      </c>
    </row>
    <row r="3" spans="1:12" x14ac:dyDescent="0.25">
      <c r="A3" t="s">
        <v>260</v>
      </c>
      <c r="B3" t="s">
        <v>261</v>
      </c>
      <c r="C3">
        <v>32693.320274779297</v>
      </c>
      <c r="D3">
        <v>0</v>
      </c>
      <c r="E3">
        <v>15639.281750893295</v>
      </c>
      <c r="F3">
        <v>21496.475004290744</v>
      </c>
      <c r="G3">
        <v>69829.07702996333</v>
      </c>
      <c r="H3">
        <v>59972.287124754082</v>
      </c>
      <c r="I3">
        <v>0</v>
      </c>
      <c r="J3">
        <v>28934.392221265662</v>
      </c>
      <c r="K3">
        <v>39232.541989720979</v>
      </c>
      <c r="L3">
        <v>128139.22133574073</v>
      </c>
    </row>
    <row r="4" spans="1:12" x14ac:dyDescent="0.25">
      <c r="A4" t="s">
        <v>262</v>
      </c>
      <c r="B4" t="s">
        <v>263</v>
      </c>
      <c r="C4">
        <v>0</v>
      </c>
      <c r="D4">
        <v>0</v>
      </c>
      <c r="E4">
        <v>0</v>
      </c>
      <c r="F4">
        <v>0</v>
      </c>
      <c r="G4">
        <v>0</v>
      </c>
      <c r="H4">
        <v>15644.944467327152</v>
      </c>
      <c r="I4">
        <v>4211.8836289513656</v>
      </c>
      <c r="J4">
        <v>8358.2023999338198</v>
      </c>
      <c r="K4">
        <v>11333.002058808988</v>
      </c>
      <c r="L4">
        <v>39548.032555021324</v>
      </c>
    </row>
    <row r="5" spans="1:12" x14ac:dyDescent="0.25">
      <c r="A5" t="s">
        <v>89</v>
      </c>
      <c r="B5" t="s">
        <v>90</v>
      </c>
      <c r="C5">
        <v>229713.59245700185</v>
      </c>
      <c r="D5">
        <v>0</v>
      </c>
      <c r="E5">
        <v>109886.53230232923</v>
      </c>
      <c r="F5">
        <v>151041.02174067439</v>
      </c>
      <c r="G5">
        <v>490641.1465000055</v>
      </c>
      <c r="H5">
        <v>202515.11449373481</v>
      </c>
      <c r="I5">
        <v>0</v>
      </c>
      <c r="J5">
        <v>97705.991123984073</v>
      </c>
      <c r="K5">
        <v>132480.90266094188</v>
      </c>
      <c r="L5">
        <v>432702.00827866077</v>
      </c>
    </row>
    <row r="6" spans="1:12" x14ac:dyDescent="0.25">
      <c r="A6" t="s">
        <v>91</v>
      </c>
      <c r="B6" t="s">
        <v>92</v>
      </c>
      <c r="C6">
        <v>484377.35038686154</v>
      </c>
      <c r="D6">
        <v>0</v>
      </c>
      <c r="E6">
        <v>231708.3059408665</v>
      </c>
      <c r="F6">
        <v>318487.24808988639</v>
      </c>
      <c r="G6">
        <v>1034572.9044176145</v>
      </c>
      <c r="H6">
        <v>471955.82476436911</v>
      </c>
      <c r="I6">
        <v>0</v>
      </c>
      <c r="J6">
        <v>227701.08661082972</v>
      </c>
      <c r="K6">
        <v>308743.04783215199</v>
      </c>
      <c r="L6">
        <v>1008399.9592073509</v>
      </c>
    </row>
    <row r="7" spans="1:12" x14ac:dyDescent="0.25">
      <c r="A7" t="s">
        <v>310</v>
      </c>
      <c r="B7" t="s">
        <v>311</v>
      </c>
      <c r="C7">
        <v>43950.743131969139</v>
      </c>
      <c r="D7">
        <v>0</v>
      </c>
      <c r="E7">
        <v>21364.210085989966</v>
      </c>
      <c r="F7">
        <v>29459.828465911669</v>
      </c>
      <c r="G7">
        <v>94774.781683870766</v>
      </c>
      <c r="H7">
        <v>37227.280062656522</v>
      </c>
      <c r="I7">
        <v>0</v>
      </c>
      <c r="J7">
        <v>18095.972343413392</v>
      </c>
      <c r="K7">
        <v>24953.145424760383</v>
      </c>
      <c r="L7">
        <v>80276.397830830305</v>
      </c>
    </row>
    <row r="8" spans="1:12" x14ac:dyDescent="0.25">
      <c r="A8" t="s">
        <v>312</v>
      </c>
      <c r="B8" t="s">
        <v>313</v>
      </c>
      <c r="C8">
        <v>2598258.6113114059</v>
      </c>
      <c r="D8">
        <v>684598.32259142061</v>
      </c>
      <c r="E8">
        <v>1878154.2702684619</v>
      </c>
      <c r="F8">
        <v>2581556.9390021251</v>
      </c>
      <c r="G8">
        <v>7742568.1431734134</v>
      </c>
      <c r="H8">
        <v>2442349.6640660716</v>
      </c>
      <c r="I8">
        <v>657521.83318629628</v>
      </c>
      <c r="J8">
        <v>1737531.2198378881</v>
      </c>
      <c r="K8">
        <v>2355942.5758609972</v>
      </c>
      <c r="L8">
        <v>7193345.2929512542</v>
      </c>
    </row>
    <row r="9" spans="1:12" x14ac:dyDescent="0.25">
      <c r="A9" t="s">
        <v>93</v>
      </c>
      <c r="B9" t="s">
        <v>94</v>
      </c>
      <c r="C9">
        <v>122169.77576364891</v>
      </c>
      <c r="D9">
        <v>0</v>
      </c>
      <c r="E9">
        <v>0</v>
      </c>
      <c r="F9">
        <v>0</v>
      </c>
      <c r="G9">
        <v>122169.77576364891</v>
      </c>
      <c r="H9">
        <v>130374.53722772626</v>
      </c>
      <c r="I9">
        <v>0</v>
      </c>
      <c r="J9">
        <v>0</v>
      </c>
      <c r="K9">
        <v>0</v>
      </c>
      <c r="L9">
        <v>130374.53722772626</v>
      </c>
    </row>
    <row r="10" spans="1:12" x14ac:dyDescent="0.25">
      <c r="A10" t="s">
        <v>95</v>
      </c>
      <c r="B10" t="s">
        <v>96</v>
      </c>
      <c r="C10">
        <v>774631.84770095581</v>
      </c>
      <c r="D10">
        <v>0</v>
      </c>
      <c r="E10">
        <v>449482.95126227324</v>
      </c>
      <c r="F10">
        <v>619807.17233359464</v>
      </c>
      <c r="G10">
        <v>1843921.9712968238</v>
      </c>
      <c r="H10">
        <v>782247.22336635739</v>
      </c>
      <c r="I10">
        <v>0</v>
      </c>
      <c r="J10">
        <v>421226.04327915015</v>
      </c>
      <c r="K10">
        <v>571146.20911122789</v>
      </c>
      <c r="L10">
        <v>1774619.4757567353</v>
      </c>
    </row>
    <row r="11" spans="1:12" x14ac:dyDescent="0.25">
      <c r="A11" t="s">
        <v>97</v>
      </c>
      <c r="B11" t="s">
        <v>98</v>
      </c>
      <c r="C11">
        <v>1159752.519221118</v>
      </c>
      <c r="D11">
        <v>0</v>
      </c>
      <c r="E11">
        <v>690331.03840355063</v>
      </c>
      <c r="F11">
        <v>951920.70730477036</v>
      </c>
      <c r="G11">
        <v>2802004.2649294389</v>
      </c>
      <c r="H11">
        <v>1272455.4833426082</v>
      </c>
      <c r="I11">
        <v>0</v>
      </c>
      <c r="J11">
        <v>775986.85225292901</v>
      </c>
      <c r="K11">
        <v>1052171.2891591112</v>
      </c>
      <c r="L11">
        <v>3100613.6247546487</v>
      </c>
    </row>
    <row r="12" spans="1:12" x14ac:dyDescent="0.25">
      <c r="A12" t="s">
        <v>56</v>
      </c>
      <c r="B12" t="s">
        <v>1384</v>
      </c>
      <c r="C12">
        <v>1235715.3716398529</v>
      </c>
      <c r="D12">
        <v>0</v>
      </c>
      <c r="E12">
        <v>786352.3782197634</v>
      </c>
      <c r="F12">
        <v>1084327.7651209484</v>
      </c>
      <c r="G12">
        <v>3106395.5149805648</v>
      </c>
      <c r="H12">
        <v>1163579.7736674501</v>
      </c>
      <c r="I12">
        <v>0</v>
      </c>
      <c r="J12">
        <v>698083.11202344857</v>
      </c>
      <c r="K12">
        <v>946540.53195028671</v>
      </c>
      <c r="L12">
        <v>2808203.4176411852</v>
      </c>
    </row>
    <row r="13" spans="1:12" x14ac:dyDescent="0.25">
      <c r="A13" t="s">
        <v>99</v>
      </c>
      <c r="B13" t="s">
        <v>100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</row>
    <row r="14" spans="1:12" x14ac:dyDescent="0.25">
      <c r="A14" t="s">
        <v>264</v>
      </c>
      <c r="B14" t="s">
        <v>265</v>
      </c>
      <c r="C14">
        <v>1977085.5260905998</v>
      </c>
      <c r="D14">
        <v>0</v>
      </c>
      <c r="E14">
        <v>1283861.563734517</v>
      </c>
      <c r="F14">
        <v>1764690.8888390777</v>
      </c>
      <c r="G14">
        <v>5025637.9786641952</v>
      </c>
      <c r="H14">
        <v>2180731.4260291015</v>
      </c>
      <c r="I14">
        <v>0</v>
      </c>
      <c r="J14">
        <v>1485089.1311827875</v>
      </c>
      <c r="K14">
        <v>2013652.8616898095</v>
      </c>
      <c r="L14">
        <v>5679473.4189016987</v>
      </c>
    </row>
    <row r="15" spans="1:12" x14ac:dyDescent="0.25">
      <c r="A15" t="s">
        <v>314</v>
      </c>
      <c r="B15" t="s">
        <v>315</v>
      </c>
      <c r="C15">
        <v>10906.893975764393</v>
      </c>
      <c r="D15">
        <v>2856.5758939464172</v>
      </c>
      <c r="E15">
        <v>6015.3466569807933</v>
      </c>
      <c r="F15">
        <v>8294.7639984994967</v>
      </c>
      <c r="G15">
        <v>28073.580525191101</v>
      </c>
      <c r="H15">
        <v>0</v>
      </c>
      <c r="I15">
        <v>2428.0895098544547</v>
      </c>
      <c r="J15">
        <v>0</v>
      </c>
      <c r="K15">
        <v>0</v>
      </c>
      <c r="L15">
        <v>2428.0895098544547</v>
      </c>
    </row>
    <row r="16" spans="1:12" x14ac:dyDescent="0.25">
      <c r="A16" t="s">
        <v>316</v>
      </c>
      <c r="B16" t="s">
        <v>317</v>
      </c>
      <c r="C16">
        <v>267138.11059899989</v>
      </c>
      <c r="D16">
        <v>69964.94958025057</v>
      </c>
      <c r="E16">
        <v>129854.33942890776</v>
      </c>
      <c r="F16">
        <v>179060.51989436932</v>
      </c>
      <c r="G16">
        <v>646017.91950252745</v>
      </c>
      <c r="H16">
        <v>266833.21952607972</v>
      </c>
      <c r="I16">
        <v>59470.207143212981</v>
      </c>
      <c r="J16">
        <v>128737.07843374724</v>
      </c>
      <c r="K16">
        <v>174556.38247600492</v>
      </c>
      <c r="L16">
        <v>629596.88757904479</v>
      </c>
    </row>
    <row r="17" spans="1:12" x14ac:dyDescent="0.25">
      <c r="A17" t="s">
        <v>318</v>
      </c>
      <c r="B17" t="s">
        <v>319</v>
      </c>
      <c r="C17">
        <v>24089.814939311054</v>
      </c>
      <c r="D17">
        <v>3831.1206422324799</v>
      </c>
      <c r="E17">
        <v>11523.681290131903</v>
      </c>
      <c r="F17">
        <v>15839.507897898438</v>
      </c>
      <c r="G17">
        <v>55284.124769573871</v>
      </c>
      <c r="H17">
        <v>20859.925956436204</v>
      </c>
      <c r="I17">
        <v>3256.4525458976077</v>
      </c>
      <c r="J17">
        <v>10064.136424788057</v>
      </c>
      <c r="K17">
        <v>13646.101561642079</v>
      </c>
      <c r="L17">
        <v>47826.616488763946</v>
      </c>
    </row>
    <row r="18" spans="1:12" x14ac:dyDescent="0.25">
      <c r="A18" t="s">
        <v>55</v>
      </c>
      <c r="B18" t="s">
        <v>9</v>
      </c>
      <c r="C18">
        <v>819124.2124931392</v>
      </c>
      <c r="D18">
        <v>215825.73013537956</v>
      </c>
      <c r="E18">
        <v>458083.68394561857</v>
      </c>
      <c r="F18">
        <v>629644.29048974381</v>
      </c>
      <c r="G18">
        <v>2122677.9170638812</v>
      </c>
      <c r="H18">
        <v>732185.23724915972</v>
      </c>
      <c r="I18">
        <v>192891.27822255064</v>
      </c>
      <c r="J18">
        <v>409461.0537102886</v>
      </c>
      <c r="K18">
        <v>562811.60775244737</v>
      </c>
      <c r="L18">
        <v>1897349.1769344462</v>
      </c>
    </row>
    <row r="19" spans="1:12" x14ac:dyDescent="0.25">
      <c r="A19" t="s">
        <v>320</v>
      </c>
      <c r="B19" t="s">
        <v>321</v>
      </c>
      <c r="C19">
        <v>208567.25116782496</v>
      </c>
      <c r="D19">
        <v>54229.157445164499</v>
      </c>
      <c r="E19">
        <v>136576.44027378573</v>
      </c>
      <c r="F19">
        <v>184971.87213735111</v>
      </c>
      <c r="G19">
        <v>584344.72102412628</v>
      </c>
      <c r="H19">
        <v>210337.58672739839</v>
      </c>
      <c r="I19">
        <v>56626.435455901687</v>
      </c>
      <c r="J19">
        <v>141208.81837823064</v>
      </c>
      <c r="K19">
        <v>191466.98689841991</v>
      </c>
      <c r="L19">
        <v>599639.82745995058</v>
      </c>
    </row>
    <row r="20" spans="1:12" x14ac:dyDescent="0.25">
      <c r="A20" t="s">
        <v>322</v>
      </c>
      <c r="B20" t="s">
        <v>323</v>
      </c>
      <c r="C20">
        <v>152217.50260669328</v>
      </c>
      <c r="D20">
        <v>39577.771047698981</v>
      </c>
      <c r="E20">
        <v>110322.09072156889</v>
      </c>
      <c r="F20">
        <v>152126.84464236131</v>
      </c>
      <c r="G20">
        <v>454244.20901832241</v>
      </c>
      <c r="H20">
        <v>136995.75234602395</v>
      </c>
      <c r="I20">
        <v>36268.997915970096</v>
      </c>
      <c r="J20">
        <v>99289.881649412011</v>
      </c>
      <c r="K20">
        <v>136914.16017812517</v>
      </c>
      <c r="L20">
        <v>409468.7920895312</v>
      </c>
    </row>
    <row r="21" spans="1:12" x14ac:dyDescent="0.25">
      <c r="A21" t="s">
        <v>324</v>
      </c>
      <c r="B21" t="s">
        <v>325</v>
      </c>
      <c r="C21">
        <v>23268.04048163072</v>
      </c>
      <c r="D21">
        <v>6120.5810297908465</v>
      </c>
      <c r="E21">
        <v>16486.539034044137</v>
      </c>
      <c r="F21">
        <v>22733.843656499121</v>
      </c>
      <c r="G21">
        <v>68609.004201964824</v>
      </c>
      <c r="H21">
        <v>22598.253119472552</v>
      </c>
      <c r="I21">
        <v>6083.8319084853065</v>
      </c>
      <c r="J21">
        <v>14837.885130639725</v>
      </c>
      <c r="K21">
        <v>20460.459290849209</v>
      </c>
      <c r="L21">
        <v>63980.42944944679</v>
      </c>
    </row>
    <row r="22" spans="1:12" x14ac:dyDescent="0.25">
      <c r="A22" t="s">
        <v>326</v>
      </c>
      <c r="B22" t="s">
        <v>327</v>
      </c>
      <c r="C22">
        <v>383870.28646256687</v>
      </c>
      <c r="D22">
        <v>97495.414964399009</v>
      </c>
      <c r="E22">
        <v>172892.90837407191</v>
      </c>
      <c r="F22">
        <v>232916.76880861406</v>
      </c>
      <c r="G22">
        <v>887175.37860965193</v>
      </c>
      <c r="H22">
        <v>348534.5961887883</v>
      </c>
      <c r="I22">
        <v>82871.102719739152</v>
      </c>
      <c r="J22">
        <v>168154.94609750045</v>
      </c>
      <c r="K22">
        <v>228003.61359243642</v>
      </c>
      <c r="L22">
        <v>827564.25859846431</v>
      </c>
    </row>
    <row r="23" spans="1:12" x14ac:dyDescent="0.25">
      <c r="A23" t="s">
        <v>101</v>
      </c>
      <c r="B23" t="s">
        <v>102</v>
      </c>
      <c r="C23">
        <v>226621.01927421574</v>
      </c>
      <c r="D23">
        <v>0</v>
      </c>
      <c r="E23">
        <v>0</v>
      </c>
      <c r="F23">
        <v>0</v>
      </c>
      <c r="G23">
        <v>226621.01927421574</v>
      </c>
      <c r="H23">
        <v>235543.33059142547</v>
      </c>
      <c r="I23">
        <v>0</v>
      </c>
      <c r="J23">
        <v>0</v>
      </c>
      <c r="K23">
        <v>0</v>
      </c>
      <c r="L23">
        <v>235543.33059142547</v>
      </c>
    </row>
    <row r="24" spans="1:12" x14ac:dyDescent="0.25">
      <c r="A24" t="s">
        <v>328</v>
      </c>
      <c r="B24" t="s">
        <v>329</v>
      </c>
      <c r="C24">
        <v>96359.259757244217</v>
      </c>
      <c r="D24">
        <v>25389.076864317609</v>
      </c>
      <c r="E24">
        <v>59789.207769652916</v>
      </c>
      <c r="F24">
        <v>82445.351263503588</v>
      </c>
      <c r="G24">
        <v>263982.89565471833</v>
      </c>
      <c r="H24">
        <v>86723.333781519803</v>
      </c>
      <c r="I24">
        <v>22850.169177885848</v>
      </c>
      <c r="J24">
        <v>53810.286992687623</v>
      </c>
      <c r="K24">
        <v>74200.816137153233</v>
      </c>
      <c r="L24">
        <v>237584.60608924652</v>
      </c>
    </row>
    <row r="25" spans="1:12" x14ac:dyDescent="0.25">
      <c r="A25" t="s">
        <v>103</v>
      </c>
      <c r="B25" t="s">
        <v>104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</row>
    <row r="26" spans="1:12" x14ac:dyDescent="0.25">
      <c r="A26" t="s">
        <v>330</v>
      </c>
      <c r="B26" t="s">
        <v>331</v>
      </c>
      <c r="C26">
        <v>151421.69390424096</v>
      </c>
      <c r="D26">
        <v>0</v>
      </c>
      <c r="E26">
        <v>72434.568109400556</v>
      </c>
      <c r="F26">
        <v>99562.621072504466</v>
      </c>
      <c r="G26">
        <v>323418.88308614597</v>
      </c>
      <c r="H26">
        <v>133851.19155379897</v>
      </c>
      <c r="I26">
        <v>0</v>
      </c>
      <c r="J26">
        <v>64578.208725723358</v>
      </c>
      <c r="K26">
        <v>87562.485020536667</v>
      </c>
      <c r="L26">
        <v>285991.88530005899</v>
      </c>
    </row>
    <row r="27" spans="1:12" x14ac:dyDescent="0.25">
      <c r="A27" t="s">
        <v>332</v>
      </c>
      <c r="B27" t="s">
        <v>333</v>
      </c>
      <c r="C27">
        <v>142818.18856877266</v>
      </c>
      <c r="D27">
        <v>31177.395571271216</v>
      </c>
      <c r="E27">
        <v>68318.967648639169</v>
      </c>
      <c r="F27">
        <v>93905.653966112164</v>
      </c>
      <c r="G27">
        <v>336220.20575479523</v>
      </c>
      <c r="H27">
        <v>144281.15453201695</v>
      </c>
      <c r="I27">
        <v>26500.786235580534</v>
      </c>
      <c r="J27">
        <v>69610.2769381174</v>
      </c>
      <c r="K27">
        <v>94385.535801357706</v>
      </c>
      <c r="L27">
        <v>334777.75350707257</v>
      </c>
    </row>
    <row r="28" spans="1:12" x14ac:dyDescent="0.25">
      <c r="A28" t="s">
        <v>105</v>
      </c>
      <c r="B28" t="s">
        <v>106</v>
      </c>
      <c r="C28">
        <v>160025.19923970915</v>
      </c>
      <c r="D28">
        <v>0</v>
      </c>
      <c r="E28">
        <v>76550.168570161957</v>
      </c>
      <c r="F28">
        <v>105219.58817889677</v>
      </c>
      <c r="G28">
        <v>341794.95598876785</v>
      </c>
      <c r="H28">
        <v>168617.73481452596</v>
      </c>
      <c r="I28">
        <v>0</v>
      </c>
      <c r="J28">
        <v>81351.769433703463</v>
      </c>
      <c r="K28">
        <v>110305.98762327347</v>
      </c>
      <c r="L28">
        <v>360275.49187150289</v>
      </c>
    </row>
    <row r="29" spans="1:12" x14ac:dyDescent="0.25">
      <c r="A29" t="s">
        <v>66</v>
      </c>
      <c r="B29" t="s">
        <v>1395</v>
      </c>
      <c r="C29">
        <v>63398.866922579939</v>
      </c>
      <c r="D29">
        <v>0</v>
      </c>
      <c r="E29">
        <v>35454.923777041549</v>
      </c>
      <c r="F29">
        <v>48733.432576510335</v>
      </c>
      <c r="G29">
        <v>147587.22327613182</v>
      </c>
      <c r="H29">
        <v>61063.481067522691</v>
      </c>
      <c r="I29">
        <v>0</v>
      </c>
      <c r="J29">
        <v>34148.622546752653</v>
      </c>
      <c r="K29">
        <v>46937.897961029965</v>
      </c>
      <c r="L29">
        <v>142150.0015753053</v>
      </c>
    </row>
    <row r="30" spans="1:12" x14ac:dyDescent="0.25">
      <c r="A30" t="s">
        <v>334</v>
      </c>
      <c r="B30" t="s">
        <v>335</v>
      </c>
      <c r="C30">
        <v>23229.464405764236</v>
      </c>
      <c r="D30">
        <v>6120.5810297908465</v>
      </c>
      <c r="E30">
        <v>16960.893659854155</v>
      </c>
      <c r="F30">
        <v>23313.054423913203</v>
      </c>
      <c r="G30">
        <v>69623.993519322437</v>
      </c>
      <c r="H30">
        <v>20906.517965187813</v>
      </c>
      <c r="I30">
        <v>5615.8448386018226</v>
      </c>
      <c r="J30">
        <v>15264.804293868739</v>
      </c>
      <c r="K30">
        <v>20981.748981521883</v>
      </c>
      <c r="L30">
        <v>62768.916079180257</v>
      </c>
    </row>
    <row r="31" spans="1:12" x14ac:dyDescent="0.25">
      <c r="A31" t="s">
        <v>107</v>
      </c>
      <c r="B31" t="s">
        <v>108</v>
      </c>
      <c r="C31">
        <v>751086.0157863769</v>
      </c>
      <c r="D31">
        <v>0</v>
      </c>
      <c r="E31">
        <v>396743.88441739831</v>
      </c>
      <c r="F31">
        <v>545331.6290562175</v>
      </c>
      <c r="G31">
        <v>1693161.5292599928</v>
      </c>
      <c r="H31">
        <v>684031.73865480372</v>
      </c>
      <c r="I31">
        <v>0</v>
      </c>
      <c r="J31">
        <v>350148.07977908425</v>
      </c>
      <c r="K31">
        <v>474770.61683213071</v>
      </c>
      <c r="L31">
        <v>1508950.4352660188</v>
      </c>
    </row>
    <row r="32" spans="1:12" x14ac:dyDescent="0.25">
      <c r="A32" t="s">
        <v>266</v>
      </c>
      <c r="B32" t="s">
        <v>267</v>
      </c>
      <c r="C32">
        <v>1594229.5386622641</v>
      </c>
      <c r="D32">
        <v>0</v>
      </c>
      <c r="E32">
        <v>1001737.1521493235</v>
      </c>
      <c r="F32">
        <v>1376905.7936958857</v>
      </c>
      <c r="G32">
        <v>3972872.4845074732</v>
      </c>
      <c r="H32">
        <v>1355095.1078629245</v>
      </c>
      <c r="I32">
        <v>0</v>
      </c>
      <c r="J32">
        <v>851476.57932692498</v>
      </c>
      <c r="K32">
        <v>1170369.9246415028</v>
      </c>
      <c r="L32">
        <v>3376941.6118313521</v>
      </c>
    </row>
    <row r="33" spans="1:12" x14ac:dyDescent="0.25">
      <c r="A33" t="s">
        <v>336</v>
      </c>
      <c r="B33" t="s">
        <v>337</v>
      </c>
      <c r="C33">
        <v>662469.91083105397</v>
      </c>
      <c r="D33">
        <v>174549.90344218345</v>
      </c>
      <c r="E33">
        <v>349037.1197123953</v>
      </c>
      <c r="F33">
        <v>479757.8200187211</v>
      </c>
      <c r="G33">
        <v>1665814.7540043539</v>
      </c>
      <c r="H33">
        <v>746611.5165241122</v>
      </c>
      <c r="I33">
        <v>201000.44651495683</v>
      </c>
      <c r="J33">
        <v>418006.40023515519</v>
      </c>
      <c r="K33">
        <v>566780.65064538911</v>
      </c>
      <c r="L33">
        <v>1932399.0139196133</v>
      </c>
    </row>
    <row r="34" spans="1:12" x14ac:dyDescent="0.25">
      <c r="A34" t="s">
        <v>338</v>
      </c>
      <c r="B34" t="s">
        <v>339</v>
      </c>
      <c r="C34">
        <v>247222.93011732632</v>
      </c>
      <c r="D34">
        <v>0</v>
      </c>
      <c r="E34">
        <v>120173.68173369349</v>
      </c>
      <c r="F34">
        <v>165711.53512075311</v>
      </c>
      <c r="G34">
        <v>533108.14697177289</v>
      </c>
      <c r="H34">
        <v>348534.5961887883</v>
      </c>
      <c r="I34">
        <v>0</v>
      </c>
      <c r="J34">
        <v>168154.94609750045</v>
      </c>
      <c r="K34">
        <v>228003.61359243642</v>
      </c>
      <c r="L34">
        <v>744693.15587872523</v>
      </c>
    </row>
    <row r="35" spans="1:12" x14ac:dyDescent="0.25">
      <c r="A35" t="s">
        <v>268</v>
      </c>
      <c r="B35" t="s">
        <v>269</v>
      </c>
      <c r="C35">
        <v>753667.06738701742</v>
      </c>
      <c r="D35">
        <v>0</v>
      </c>
      <c r="E35">
        <v>398595.904624741</v>
      </c>
      <c r="F35">
        <v>547877.26425409422</v>
      </c>
      <c r="G35">
        <v>1700140.2362658526</v>
      </c>
      <c r="H35">
        <v>640617.00727896474</v>
      </c>
      <c r="I35">
        <v>0</v>
      </c>
      <c r="J35">
        <v>338806.51893102983</v>
      </c>
      <c r="K35">
        <v>465695.67461598007</v>
      </c>
      <c r="L35">
        <v>1445119.2008259746</v>
      </c>
    </row>
    <row r="36" spans="1:12" x14ac:dyDescent="0.25">
      <c r="A36" t="s">
        <v>340</v>
      </c>
      <c r="B36" t="s">
        <v>341</v>
      </c>
      <c r="C36">
        <v>155596.35784154371</v>
      </c>
      <c r="D36">
        <v>39518.379019392305</v>
      </c>
      <c r="E36">
        <v>87445.243673026634</v>
      </c>
      <c r="F36">
        <v>115225.9137046486</v>
      </c>
      <c r="G36">
        <v>397785.89423861128</v>
      </c>
      <c r="H36">
        <v>140036.72205738933</v>
      </c>
      <c r="I36">
        <v>35801.010846086596</v>
      </c>
      <c r="J36">
        <v>78700.719305723978</v>
      </c>
      <c r="K36">
        <v>103703.32233418374</v>
      </c>
      <c r="L36">
        <v>358241.77454338362</v>
      </c>
    </row>
    <row r="37" spans="1:12" x14ac:dyDescent="0.25">
      <c r="A37" t="s">
        <v>109</v>
      </c>
      <c r="B37" t="s">
        <v>110</v>
      </c>
      <c r="C37">
        <v>151969.38939565056</v>
      </c>
      <c r="D37">
        <v>39801.624122320078</v>
      </c>
      <c r="E37">
        <v>80540.048045916323</v>
      </c>
      <c r="F37">
        <v>111059.38345106077</v>
      </c>
      <c r="G37">
        <v>383370.44501494768</v>
      </c>
      <c r="H37">
        <v>132112.86439076255</v>
      </c>
      <c r="I37">
        <v>33831.380503972068</v>
      </c>
      <c r="J37">
        <v>68459.040839028879</v>
      </c>
      <c r="K37">
        <v>94400.475933401656</v>
      </c>
      <c r="L37">
        <v>328803.76166716515</v>
      </c>
    </row>
    <row r="38" spans="1:12" x14ac:dyDescent="0.25">
      <c r="A38" t="s">
        <v>342</v>
      </c>
      <c r="B38" t="s">
        <v>343</v>
      </c>
      <c r="C38">
        <v>521372.42332937499</v>
      </c>
      <c r="D38">
        <v>137373.04089086127</v>
      </c>
      <c r="E38">
        <v>302045.66694547463</v>
      </c>
      <c r="F38">
        <v>415167.22014915117</v>
      </c>
      <c r="G38">
        <v>1375958.3513148623</v>
      </c>
      <c r="H38">
        <v>469373.72974886751</v>
      </c>
      <c r="I38">
        <v>123635.73680177514</v>
      </c>
      <c r="J38">
        <v>271908.44802352751</v>
      </c>
      <c r="K38">
        <v>373743.36624498677</v>
      </c>
      <c r="L38">
        <v>1238661.2808191569</v>
      </c>
    </row>
    <row r="39" spans="1:12" x14ac:dyDescent="0.25">
      <c r="A39" t="s">
        <v>344</v>
      </c>
      <c r="B39" t="s">
        <v>345</v>
      </c>
      <c r="C39">
        <v>128192.22949847669</v>
      </c>
      <c r="D39">
        <v>23118.831461747723</v>
      </c>
      <c r="E39">
        <v>61322.446865344777</v>
      </c>
      <c r="F39">
        <v>84288.809885245253</v>
      </c>
      <c r="G39">
        <v>296922.31771081442</v>
      </c>
      <c r="H39">
        <v>137327.84587987163</v>
      </c>
      <c r="I39">
        <v>19651.006742485562</v>
      </c>
      <c r="J39">
        <v>66255.564796521372</v>
      </c>
      <c r="K39">
        <v>89836.835280810366</v>
      </c>
      <c r="L39">
        <v>313071.25269968895</v>
      </c>
    </row>
    <row r="40" spans="1:12" x14ac:dyDescent="0.25">
      <c r="A40" t="s">
        <v>346</v>
      </c>
      <c r="B40" t="s">
        <v>347</v>
      </c>
      <c r="C40">
        <v>1713818.262825272</v>
      </c>
      <c r="D40">
        <v>319964.62743058853</v>
      </c>
      <c r="E40">
        <v>1087547.4217561984</v>
      </c>
      <c r="F40">
        <v>1494853.5578641649</v>
      </c>
      <c r="G40">
        <v>4616183.8698762236</v>
      </c>
      <c r="H40">
        <v>1820028.5396990592</v>
      </c>
      <c r="I40">
        <v>489982.46216800873</v>
      </c>
      <c r="J40">
        <v>1172262.2239789579</v>
      </c>
      <c r="K40">
        <v>1589486.538148768</v>
      </c>
      <c r="L40">
        <v>5071759.7639947943</v>
      </c>
    </row>
    <row r="41" spans="1:12" x14ac:dyDescent="0.25">
      <c r="A41" t="s">
        <v>270</v>
      </c>
      <c r="B41" t="s">
        <v>271</v>
      </c>
      <c r="C41">
        <v>38715.774009607056</v>
      </c>
      <c r="D41">
        <v>0</v>
      </c>
      <c r="E41">
        <v>18520.202073426277</v>
      </c>
      <c r="F41">
        <v>25456.351978765349</v>
      </c>
      <c r="G41">
        <v>82692.328061798675</v>
      </c>
      <c r="H41">
        <v>53018.978472608695</v>
      </c>
      <c r="I41">
        <v>0</v>
      </c>
      <c r="J41">
        <v>25579.680079669637</v>
      </c>
      <c r="K41">
        <v>34683.841469173611</v>
      </c>
      <c r="L41">
        <v>113282.50002145194</v>
      </c>
    </row>
    <row r="42" spans="1:12" x14ac:dyDescent="0.25">
      <c r="A42" t="s">
        <v>348</v>
      </c>
      <c r="B42" t="s">
        <v>349</v>
      </c>
      <c r="C42">
        <v>186696.06577966068</v>
      </c>
      <c r="D42">
        <v>0</v>
      </c>
      <c r="E42">
        <v>89308.529998522266</v>
      </c>
      <c r="F42">
        <v>122756.18620871288</v>
      </c>
      <c r="G42">
        <v>398760.78198689583</v>
      </c>
      <c r="H42">
        <v>253795.76580330715</v>
      </c>
      <c r="I42">
        <v>0</v>
      </c>
      <c r="J42">
        <v>122446.99316825469</v>
      </c>
      <c r="K42">
        <v>166027.56899997863</v>
      </c>
      <c r="L42">
        <v>542270.32797154051</v>
      </c>
    </row>
    <row r="43" spans="1:12" x14ac:dyDescent="0.25">
      <c r="A43" t="s">
        <v>350</v>
      </c>
      <c r="B43" t="s">
        <v>351</v>
      </c>
      <c r="C43">
        <v>14625.959070295998</v>
      </c>
      <c r="D43">
        <v>0</v>
      </c>
      <c r="E43">
        <v>6996.5207832943697</v>
      </c>
      <c r="F43">
        <v>9616.8440808669056</v>
      </c>
      <c r="G43">
        <v>31239.323934457272</v>
      </c>
      <c r="H43">
        <v>0</v>
      </c>
      <c r="I43">
        <v>0</v>
      </c>
      <c r="J43">
        <v>0</v>
      </c>
      <c r="K43">
        <v>0</v>
      </c>
      <c r="L43">
        <v>0</v>
      </c>
    </row>
    <row r="44" spans="1:12" x14ac:dyDescent="0.25">
      <c r="A44" t="s">
        <v>352</v>
      </c>
      <c r="B44" t="s">
        <v>1387</v>
      </c>
      <c r="C44">
        <v>36995.072942513398</v>
      </c>
      <c r="D44">
        <v>9747.5920104076504</v>
      </c>
      <c r="E44">
        <v>21111.281233510137</v>
      </c>
      <c r="F44">
        <v>29017.837044772285</v>
      </c>
      <c r="G44">
        <v>96871.783231203473</v>
      </c>
      <c r="H44">
        <v>33295.565648262062</v>
      </c>
      <c r="I44">
        <v>8891.7543277862169</v>
      </c>
      <c r="J44">
        <v>19000.153110159124</v>
      </c>
      <c r="K44">
        <v>26116.053340295057</v>
      </c>
      <c r="L44">
        <v>87303.52642650246</v>
      </c>
    </row>
    <row r="45" spans="1:12" x14ac:dyDescent="0.25">
      <c r="A45" t="s">
        <v>353</v>
      </c>
      <c r="B45" t="s">
        <v>1388</v>
      </c>
      <c r="C45">
        <v>88119.434482081328</v>
      </c>
      <c r="D45">
        <v>22573.165743120931</v>
      </c>
      <c r="E45">
        <v>42048.386874260774</v>
      </c>
      <c r="F45">
        <v>56948.100454925217</v>
      </c>
      <c r="G45">
        <v>209689.08755438824</v>
      </c>
      <c r="H45">
        <v>91262.176059408361</v>
      </c>
      <c r="I45">
        <v>19187.19088165279</v>
      </c>
      <c r="J45">
        <v>44030.596858447738</v>
      </c>
      <c r="K45">
        <v>59701.694332184081</v>
      </c>
      <c r="L45">
        <v>214181.65813169297</v>
      </c>
    </row>
    <row r="46" spans="1:12" x14ac:dyDescent="0.25">
      <c r="A46" t="s">
        <v>354</v>
      </c>
      <c r="B46" t="s">
        <v>355</v>
      </c>
      <c r="C46">
        <v>275312.17073498358</v>
      </c>
      <c r="D46">
        <v>72540.21961233599</v>
      </c>
      <c r="E46">
        <v>139412.21575203945</v>
      </c>
      <c r="F46">
        <v>192240.19730086092</v>
      </c>
      <c r="G46">
        <v>679504.80340021988</v>
      </c>
      <c r="H46">
        <v>305076.41711287951</v>
      </c>
      <c r="I46">
        <v>82131.730764551612</v>
      </c>
      <c r="J46">
        <v>158991.4660149274</v>
      </c>
      <c r="K46">
        <v>215578.72440304828</v>
      </c>
      <c r="L46">
        <v>761778.33829540678</v>
      </c>
    </row>
    <row r="47" spans="1:12" x14ac:dyDescent="0.25">
      <c r="A47" t="s">
        <v>356</v>
      </c>
      <c r="B47" t="s">
        <v>357</v>
      </c>
      <c r="C47">
        <v>121309.42523010213</v>
      </c>
      <c r="D47">
        <v>31963.034266685547</v>
      </c>
      <c r="E47">
        <v>67119.434738345633</v>
      </c>
      <c r="F47">
        <v>92256.874333283035</v>
      </c>
      <c r="G47">
        <v>312648.76856841636</v>
      </c>
      <c r="H47">
        <v>103113.01144558682</v>
      </c>
      <c r="I47">
        <v>27168.579126682715</v>
      </c>
      <c r="J47">
        <v>57051.519527593788</v>
      </c>
      <c r="K47">
        <v>78418.343183290577</v>
      </c>
      <c r="L47">
        <v>265751.45328315388</v>
      </c>
    </row>
    <row r="48" spans="1:12" x14ac:dyDescent="0.25">
      <c r="A48" t="s">
        <v>111</v>
      </c>
      <c r="B48" t="s">
        <v>112</v>
      </c>
      <c r="C48">
        <v>50760.681479262581</v>
      </c>
      <c r="D48">
        <v>0</v>
      </c>
      <c r="E48">
        <v>24282.04271849223</v>
      </c>
      <c r="F48">
        <v>33376.105927714569</v>
      </c>
      <c r="G48">
        <v>108418.83012546938</v>
      </c>
      <c r="H48">
        <v>43146.579257373196</v>
      </c>
      <c r="I48">
        <v>0</v>
      </c>
      <c r="J48">
        <v>20639.736310718396</v>
      </c>
      <c r="K48">
        <v>28369.690038557383</v>
      </c>
      <c r="L48">
        <v>92156.005606648978</v>
      </c>
    </row>
    <row r="49" spans="1:12" x14ac:dyDescent="0.25">
      <c r="A49" t="s">
        <v>113</v>
      </c>
      <c r="B49" t="s">
        <v>114</v>
      </c>
      <c r="C49">
        <v>41296.825610247528</v>
      </c>
      <c r="D49">
        <v>10881.032941850397</v>
      </c>
      <c r="E49">
        <v>19754.882211654698</v>
      </c>
      <c r="F49">
        <v>27153.442110683045</v>
      </c>
      <c r="G49">
        <v>99086.182874435661</v>
      </c>
      <c r="H49">
        <v>35275.665261593349</v>
      </c>
      <c r="I49">
        <v>9294.5564237711951</v>
      </c>
      <c r="J49">
        <v>16898.860299525844</v>
      </c>
      <c r="K49">
        <v>23227.788450643457</v>
      </c>
      <c r="L49">
        <v>84696.870435533841</v>
      </c>
    </row>
    <row r="50" spans="1:12" x14ac:dyDescent="0.25">
      <c r="A50" t="s">
        <v>358</v>
      </c>
      <c r="B50" t="s">
        <v>359</v>
      </c>
      <c r="C50">
        <v>34414.021341872947</v>
      </c>
      <c r="D50">
        <v>9067.5274515419987</v>
      </c>
      <c r="E50">
        <v>16930.777753482525</v>
      </c>
      <c r="F50">
        <v>23271.659567112169</v>
      </c>
      <c r="G50">
        <v>83683.986114009633</v>
      </c>
      <c r="H50">
        <v>42589.015494390573</v>
      </c>
      <c r="I50">
        <v>11465.683212145384</v>
      </c>
      <c r="J50">
        <v>23806.379241621991</v>
      </c>
      <c r="K50">
        <v>32279.398374012282</v>
      </c>
      <c r="L50">
        <v>110140.47632217023</v>
      </c>
    </row>
    <row r="51" spans="1:12" x14ac:dyDescent="0.25">
      <c r="A51" t="s">
        <v>360</v>
      </c>
      <c r="B51" t="s">
        <v>361</v>
      </c>
      <c r="C51">
        <v>84467.834456753146</v>
      </c>
      <c r="D51">
        <v>0</v>
      </c>
      <c r="E51">
        <v>41059.341259011955</v>
      </c>
      <c r="F51">
        <v>56618.107832923997</v>
      </c>
      <c r="G51">
        <v>182145.2835486891</v>
      </c>
      <c r="H51">
        <v>95607.993966999245</v>
      </c>
      <c r="I51">
        <v>0</v>
      </c>
      <c r="J51">
        <v>46127.291946945261</v>
      </c>
      <c r="K51">
        <v>62544.632157526197</v>
      </c>
      <c r="L51">
        <v>204279.91807147069</v>
      </c>
    </row>
    <row r="52" spans="1:12" x14ac:dyDescent="0.25">
      <c r="A52" t="s">
        <v>362</v>
      </c>
      <c r="B52" t="s">
        <v>363</v>
      </c>
      <c r="C52">
        <v>57643.485747637176</v>
      </c>
      <c r="D52">
        <v>15188.108481332847</v>
      </c>
      <c r="E52">
        <v>31664.092374948425</v>
      </c>
      <c r="F52">
        <v>43522.866402272775</v>
      </c>
      <c r="G52">
        <v>148018.55300619121</v>
      </c>
      <c r="H52">
        <v>53888.14205412686</v>
      </c>
      <c r="I52">
        <v>14507.59916638803</v>
      </c>
      <c r="J52">
        <v>28740.364057776107</v>
      </c>
      <c r="K52">
        <v>39170.579762045498</v>
      </c>
      <c r="L52">
        <v>136306.68504033651</v>
      </c>
    </row>
    <row r="53" spans="1:12" x14ac:dyDescent="0.25">
      <c r="A53" t="s">
        <v>364</v>
      </c>
      <c r="B53" t="s">
        <v>365</v>
      </c>
      <c r="C53">
        <v>13047.876867303326</v>
      </c>
      <c r="D53">
        <v>3417.311162017379</v>
      </c>
      <c r="E53">
        <v>6808.6736096702216</v>
      </c>
      <c r="F53">
        <v>9388.7092391401129</v>
      </c>
      <c r="G53">
        <v>32662.570878131042</v>
      </c>
      <c r="H53">
        <v>14775.780885808976</v>
      </c>
      <c r="I53">
        <v>2904.7144877147721</v>
      </c>
      <c r="J53">
        <v>7128.7633008915391</v>
      </c>
      <c r="K53">
        <v>9665.9886061631387</v>
      </c>
      <c r="L53">
        <v>34475.247280578427</v>
      </c>
    </row>
    <row r="54" spans="1:12" x14ac:dyDescent="0.25">
      <c r="A54" t="s">
        <v>366</v>
      </c>
      <c r="B54" t="s">
        <v>367</v>
      </c>
      <c r="C54">
        <v>41986.318782638773</v>
      </c>
      <c r="D54">
        <v>10663.68957666142</v>
      </c>
      <c r="E54">
        <v>31701.278752995968</v>
      </c>
      <c r="F54">
        <v>41772.52708652999</v>
      </c>
      <c r="G54">
        <v>126123.81419882615</v>
      </c>
      <c r="H54">
        <v>47803.996983499623</v>
      </c>
      <c r="I54">
        <v>12869.644421795836</v>
      </c>
      <c r="J54">
        <v>39747.310879533376</v>
      </c>
      <c r="K54">
        <v>53893.927722238317</v>
      </c>
      <c r="L54">
        <v>154314.88000706714</v>
      </c>
    </row>
    <row r="55" spans="1:12" x14ac:dyDescent="0.25">
      <c r="A55" t="s">
        <v>368</v>
      </c>
      <c r="B55" t="s">
        <v>369</v>
      </c>
      <c r="C55">
        <v>73476.057869617842</v>
      </c>
      <c r="D55">
        <v>18661.456759157481</v>
      </c>
      <c r="E55">
        <v>56546.755740877394</v>
      </c>
      <c r="F55">
        <v>74511.21780435952</v>
      </c>
      <c r="G55">
        <v>223195.48817401222</v>
      </c>
      <c r="H55">
        <v>66128.452082656062</v>
      </c>
      <c r="I55">
        <v>17549.515120630695</v>
      </c>
      <c r="J55">
        <v>50892.080166789652</v>
      </c>
      <c r="K55">
        <v>67060.096023923572</v>
      </c>
      <c r="L55">
        <v>201630.14339399998</v>
      </c>
    </row>
    <row r="56" spans="1:12" x14ac:dyDescent="0.25">
      <c r="A56" t="s">
        <v>115</v>
      </c>
      <c r="B56" t="s">
        <v>116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</row>
    <row r="57" spans="1:12" x14ac:dyDescent="0.25">
      <c r="A57" t="s">
        <v>272</v>
      </c>
      <c r="B57" t="s">
        <v>273</v>
      </c>
      <c r="C57">
        <v>56998.619999272443</v>
      </c>
      <c r="D57">
        <v>14928.254023549607</v>
      </c>
      <c r="E57">
        <v>28593.491581728107</v>
      </c>
      <c r="F57">
        <v>39428.528077974399</v>
      </c>
      <c r="G57">
        <v>139948.89368252456</v>
      </c>
      <c r="H57">
        <v>48448.826999381577</v>
      </c>
      <c r="I57">
        <v>12689.015920017166</v>
      </c>
      <c r="J57">
        <v>24304.467844468891</v>
      </c>
      <c r="K57">
        <v>33514.248866278242</v>
      </c>
      <c r="L57">
        <v>118956.55963014587</v>
      </c>
    </row>
    <row r="58" spans="1:12" x14ac:dyDescent="0.25">
      <c r="A58" t="s">
        <v>370</v>
      </c>
      <c r="B58" t="s">
        <v>371</v>
      </c>
      <c r="C58">
        <v>69688.393217292716</v>
      </c>
      <c r="D58">
        <v>16123.689816514952</v>
      </c>
      <c r="E58">
        <v>33336.363732167294</v>
      </c>
      <c r="F58">
        <v>45821.433561777616</v>
      </c>
      <c r="G58">
        <v>164969.88032775256</v>
      </c>
      <c r="H58">
        <v>71271.413684490341</v>
      </c>
      <c r="I58">
        <v>13705.13634403771</v>
      </c>
      <c r="J58">
        <v>34385.799451359191</v>
      </c>
      <c r="K58">
        <v>46624.180335610443</v>
      </c>
      <c r="L58">
        <v>165986.52981549769</v>
      </c>
    </row>
    <row r="59" spans="1:12" x14ac:dyDescent="0.25">
      <c r="A59" t="s">
        <v>372</v>
      </c>
      <c r="B59" t="s">
        <v>373</v>
      </c>
      <c r="C59">
        <v>69359.766505138759</v>
      </c>
      <c r="D59">
        <v>18165.70670335554</v>
      </c>
      <c r="E59">
        <v>38523.59312048537</v>
      </c>
      <c r="F59">
        <v>53121.479364421146</v>
      </c>
      <c r="G59">
        <v>179170.54569340081</v>
      </c>
      <c r="H59">
        <v>80832.21308119029</v>
      </c>
      <c r="I59">
        <v>21761.398749582055</v>
      </c>
      <c r="J59">
        <v>42914.547029791407</v>
      </c>
      <c r="K59">
        <v>58188.426957132746</v>
      </c>
      <c r="L59">
        <v>203696.58581769647</v>
      </c>
    </row>
    <row r="60" spans="1:12" x14ac:dyDescent="0.25">
      <c r="A60" t="s">
        <v>374</v>
      </c>
      <c r="B60" t="s">
        <v>375</v>
      </c>
      <c r="C60">
        <v>290798.48033882648</v>
      </c>
      <c r="D60">
        <v>0</v>
      </c>
      <c r="E60">
        <v>139107.29557373511</v>
      </c>
      <c r="F60">
        <v>191205.48819605962</v>
      </c>
      <c r="G60">
        <v>621111.26410862117</v>
      </c>
      <c r="H60">
        <v>247178.7082880025</v>
      </c>
      <c r="I60">
        <v>0</v>
      </c>
      <c r="J60">
        <v>118241.20123767485</v>
      </c>
      <c r="K60">
        <v>162524.66496665069</v>
      </c>
      <c r="L60">
        <v>527944.57449232799</v>
      </c>
    </row>
    <row r="61" spans="1:12" x14ac:dyDescent="0.25">
      <c r="A61" t="s">
        <v>274</v>
      </c>
      <c r="B61" t="s">
        <v>275</v>
      </c>
      <c r="C61">
        <v>76571.19748566729</v>
      </c>
      <c r="D61">
        <v>0</v>
      </c>
      <c r="E61">
        <v>0</v>
      </c>
      <c r="F61">
        <v>0</v>
      </c>
      <c r="G61">
        <v>76571.19748566729</v>
      </c>
      <c r="H61">
        <v>88654.685314853836</v>
      </c>
      <c r="I61">
        <v>0</v>
      </c>
      <c r="J61">
        <v>0</v>
      </c>
      <c r="K61">
        <v>0</v>
      </c>
      <c r="L61">
        <v>88654.685314853836</v>
      </c>
    </row>
    <row r="62" spans="1:12" x14ac:dyDescent="0.25">
      <c r="A62" t="s">
        <v>376</v>
      </c>
      <c r="B62" t="s">
        <v>377</v>
      </c>
      <c r="C62">
        <v>0</v>
      </c>
      <c r="D62">
        <v>1453.183691881286</v>
      </c>
      <c r="E62">
        <v>0</v>
      </c>
      <c r="F62">
        <v>0</v>
      </c>
      <c r="G62">
        <v>1453.183691881286</v>
      </c>
      <c r="H62">
        <v>0</v>
      </c>
      <c r="I62">
        <v>1235.2061380990931</v>
      </c>
      <c r="J62">
        <v>0</v>
      </c>
      <c r="K62">
        <v>0</v>
      </c>
      <c r="L62">
        <v>1235.2061380990931</v>
      </c>
    </row>
    <row r="63" spans="1:12" x14ac:dyDescent="0.25">
      <c r="A63" t="s">
        <v>378</v>
      </c>
      <c r="B63" t="s">
        <v>379</v>
      </c>
      <c r="C63">
        <v>696883.93217292696</v>
      </c>
      <c r="D63">
        <v>183617.43089372537</v>
      </c>
      <c r="E63">
        <v>358369.55242720636</v>
      </c>
      <c r="F63">
        <v>492585.41720499872</v>
      </c>
      <c r="G63">
        <v>1731456.3326988574</v>
      </c>
      <c r="H63">
        <v>592351.34234698792</v>
      </c>
      <c r="I63">
        <v>156074.81625966655</v>
      </c>
      <c r="J63">
        <v>304614.11956312542</v>
      </c>
      <c r="K63">
        <v>418697.60462424892</v>
      </c>
      <c r="L63">
        <v>1471737.8827940291</v>
      </c>
    </row>
    <row r="64" spans="1:12" x14ac:dyDescent="0.25">
      <c r="A64" t="s">
        <v>380</v>
      </c>
      <c r="B64" t="s">
        <v>381</v>
      </c>
      <c r="C64">
        <v>361347.22408966586</v>
      </c>
      <c r="D64">
        <v>0</v>
      </c>
      <c r="E64">
        <v>172855.21935197857</v>
      </c>
      <c r="F64">
        <v>237592.61846847655</v>
      </c>
      <c r="G64">
        <v>771795.061910121</v>
      </c>
      <c r="H64">
        <v>425890.15494390571</v>
      </c>
      <c r="I64">
        <v>0</v>
      </c>
      <c r="J64">
        <v>205476.11867275616</v>
      </c>
      <c r="K64">
        <v>278607.90688352578</v>
      </c>
      <c r="L64">
        <v>909974.18050018768</v>
      </c>
    </row>
    <row r="65" spans="1:12" x14ac:dyDescent="0.25">
      <c r="A65" t="s">
        <v>382</v>
      </c>
      <c r="B65" t="s">
        <v>383</v>
      </c>
      <c r="C65">
        <v>548043.28986932652</v>
      </c>
      <c r="D65">
        <v>0</v>
      </c>
      <c r="E65">
        <v>262163.74935050082</v>
      </c>
      <c r="F65">
        <v>360348.80467718944</v>
      </c>
      <c r="G65">
        <v>1170555.8438970167</v>
      </c>
      <c r="H65">
        <v>770078.93322510284</v>
      </c>
      <c r="I65">
        <v>0</v>
      </c>
      <c r="J65">
        <v>412419.92390746059</v>
      </c>
      <c r="K65">
        <v>559205.87024479103</v>
      </c>
      <c r="L65">
        <v>1741704.7273773544</v>
      </c>
    </row>
    <row r="66" spans="1:12" x14ac:dyDescent="0.25">
      <c r="A66" t="s">
        <v>117</v>
      </c>
      <c r="B66" t="s">
        <v>118</v>
      </c>
      <c r="C66">
        <v>0</v>
      </c>
      <c r="D66">
        <v>0</v>
      </c>
      <c r="E66">
        <v>0</v>
      </c>
      <c r="F66">
        <v>0</v>
      </c>
      <c r="G66">
        <v>0</v>
      </c>
      <c r="H66">
        <v>18252.435211881668</v>
      </c>
      <c r="I66">
        <v>0</v>
      </c>
      <c r="J66">
        <v>8806.1193716895486</v>
      </c>
      <c r="K66">
        <v>11940.338866436818</v>
      </c>
      <c r="L66">
        <v>38998.893450008036</v>
      </c>
    </row>
    <row r="67" spans="1:12" x14ac:dyDescent="0.25">
      <c r="A67" t="s">
        <v>119</v>
      </c>
      <c r="B67" t="s">
        <v>120</v>
      </c>
      <c r="C67">
        <v>164326.95190744323</v>
      </c>
      <c r="D67">
        <v>0</v>
      </c>
      <c r="E67">
        <v>78607.968800542629</v>
      </c>
      <c r="F67">
        <v>108048.0717320929</v>
      </c>
      <c r="G67">
        <v>350982.99244007876</v>
      </c>
      <c r="H67">
        <v>139677.90912132675</v>
      </c>
      <c r="I67">
        <v>0</v>
      </c>
      <c r="J67">
        <v>66816.773480461226</v>
      </c>
      <c r="K67">
        <v>91840.860972278955</v>
      </c>
      <c r="L67">
        <v>298335.54357406695</v>
      </c>
    </row>
    <row r="68" spans="1:12" x14ac:dyDescent="0.25">
      <c r="A68" t="s">
        <v>121</v>
      </c>
      <c r="B68" t="s">
        <v>122</v>
      </c>
      <c r="C68">
        <v>1816199.9763173445</v>
      </c>
      <c r="D68">
        <v>0</v>
      </c>
      <c r="E68">
        <v>1161010.8899807895</v>
      </c>
      <c r="F68">
        <v>1595830.4207132678</v>
      </c>
      <c r="G68">
        <v>4573041.2870114017</v>
      </c>
      <c r="H68">
        <v>2048618.5616383385</v>
      </c>
      <c r="I68">
        <v>0</v>
      </c>
      <c r="J68">
        <v>1357610.069802139</v>
      </c>
      <c r="K68">
        <v>1840802.2419090094</v>
      </c>
      <c r="L68">
        <v>5247030.8733494869</v>
      </c>
    </row>
    <row r="69" spans="1:12" x14ac:dyDescent="0.25">
      <c r="A69" t="s">
        <v>384</v>
      </c>
      <c r="B69" t="s">
        <v>385</v>
      </c>
      <c r="C69">
        <v>340698.81128454203</v>
      </c>
      <c r="D69">
        <v>0</v>
      </c>
      <c r="E69">
        <v>162977.7782461512</v>
      </c>
      <c r="F69">
        <v>224015.89741313504</v>
      </c>
      <c r="G69">
        <v>727692.48694382829</v>
      </c>
      <c r="H69">
        <v>386777.79377558781</v>
      </c>
      <c r="I69">
        <v>0</v>
      </c>
      <c r="J69">
        <v>186605.86287627855</v>
      </c>
      <c r="K69">
        <v>253021.46645544688</v>
      </c>
      <c r="L69">
        <v>826405.12310731329</v>
      </c>
    </row>
    <row r="70" spans="1:12" x14ac:dyDescent="0.25">
      <c r="A70" t="s">
        <v>386</v>
      </c>
      <c r="B70" t="s">
        <v>387</v>
      </c>
      <c r="C70">
        <v>282194.97500335809</v>
      </c>
      <c r="D70">
        <v>74353.725102644399</v>
      </c>
      <c r="E70">
        <v>159867.2897299169</v>
      </c>
      <c r="F70">
        <v>219740.47481346581</v>
      </c>
      <c r="G70">
        <v>736156.46464938519</v>
      </c>
      <c r="H70">
        <v>253975.4775030223</v>
      </c>
      <c r="I70">
        <v>66918.352592379961</v>
      </c>
      <c r="J70">
        <v>143880.5607569252</v>
      </c>
      <c r="K70">
        <v>197766.42733211923</v>
      </c>
      <c r="L70">
        <v>662540.81818444666</v>
      </c>
    </row>
    <row r="71" spans="1:12" x14ac:dyDescent="0.25">
      <c r="A71" t="s">
        <v>388</v>
      </c>
      <c r="B71" t="s">
        <v>389</v>
      </c>
      <c r="C71">
        <v>16099.928160323327</v>
      </c>
      <c r="D71">
        <v>4186.1103992758553</v>
      </c>
      <c r="E71">
        <v>10866.384934651529</v>
      </c>
      <c r="F71">
        <v>14716.854244394846</v>
      </c>
      <c r="G71">
        <v>45869.277738645556</v>
      </c>
      <c r="H71">
        <v>19121.598793399851</v>
      </c>
      <c r="I71">
        <v>5147.8577687183342</v>
      </c>
      <c r="J71">
        <v>12395.346858934015</v>
      </c>
      <c r="K71">
        <v>16807.021982748694</v>
      </c>
      <c r="L71">
        <v>53471.825403800896</v>
      </c>
    </row>
    <row r="72" spans="1:12" x14ac:dyDescent="0.25">
      <c r="A72" t="s">
        <v>390</v>
      </c>
      <c r="B72" t="s">
        <v>391</v>
      </c>
      <c r="C72">
        <v>60224.537348277634</v>
      </c>
      <c r="D72">
        <v>15868.173040198501</v>
      </c>
      <c r="E72">
        <v>30891.244342424343</v>
      </c>
      <c r="F72">
        <v>42460.572834198923</v>
      </c>
      <c r="G72">
        <v>149444.52756509939</v>
      </c>
      <c r="H72">
        <v>60841.45070627224</v>
      </c>
      <c r="I72">
        <v>16379.54744592198</v>
      </c>
      <c r="J72">
        <v>31328.126102950628</v>
      </c>
      <c r="K72">
        <v>42478.238816779289</v>
      </c>
      <c r="L72">
        <v>151027.36307192413</v>
      </c>
    </row>
    <row r="73" spans="1:12" x14ac:dyDescent="0.25">
      <c r="A73" t="s">
        <v>123</v>
      </c>
      <c r="B73" t="s">
        <v>124</v>
      </c>
      <c r="C73">
        <v>258965.51059759385</v>
      </c>
      <c r="D73">
        <v>0</v>
      </c>
      <c r="E73">
        <v>123879.573868918</v>
      </c>
      <c r="F73">
        <v>170274.70990240821</v>
      </c>
      <c r="G73">
        <v>553119.79436892003</v>
      </c>
      <c r="H73">
        <v>252926.60222178895</v>
      </c>
      <c r="I73">
        <v>0</v>
      </c>
      <c r="J73">
        <v>122027.65415055519</v>
      </c>
      <c r="K73">
        <v>165458.98143491024</v>
      </c>
      <c r="L73">
        <v>540413.23780725442</v>
      </c>
    </row>
    <row r="74" spans="1:12" x14ac:dyDescent="0.25">
      <c r="A74" t="s">
        <v>392</v>
      </c>
      <c r="B74" t="s">
        <v>393</v>
      </c>
      <c r="C74">
        <v>400062.99809927295</v>
      </c>
      <c r="D74">
        <v>105410.00662417576</v>
      </c>
      <c r="E74">
        <v>195203.23852394748</v>
      </c>
      <c r="F74">
        <v>268310.37412871973</v>
      </c>
      <c r="G74">
        <v>968986.61737611587</v>
      </c>
      <c r="H74">
        <v>373740.34005281515</v>
      </c>
      <c r="I74">
        <v>89598.505630549393</v>
      </c>
      <c r="J74">
        <v>180315.777610786</v>
      </c>
      <c r="K74">
        <v>244492.65297942064</v>
      </c>
      <c r="L74">
        <v>888147.27627357119</v>
      </c>
    </row>
    <row r="75" spans="1:12" x14ac:dyDescent="0.25">
      <c r="A75" t="s">
        <v>394</v>
      </c>
      <c r="B75" t="s">
        <v>395</v>
      </c>
      <c r="C75">
        <v>27407.73587200031</v>
      </c>
      <c r="D75">
        <v>6961.0195847650912</v>
      </c>
      <c r="E75">
        <v>18432.836413721761</v>
      </c>
      <c r="F75">
        <v>24288.804384618092</v>
      </c>
      <c r="G75">
        <v>77090.396255105254</v>
      </c>
      <c r="H75">
        <v>23296.575491200263</v>
      </c>
      <c r="I75">
        <v>5916.8666470503276</v>
      </c>
      <c r="J75">
        <v>15667.910951663496</v>
      </c>
      <c r="K75">
        <v>20645.483726925377</v>
      </c>
      <c r="L75">
        <v>65526.836816839466</v>
      </c>
    </row>
    <row r="76" spans="1:12" x14ac:dyDescent="0.25">
      <c r="A76" t="s">
        <v>125</v>
      </c>
      <c r="B76" t="s">
        <v>126</v>
      </c>
      <c r="C76">
        <v>2020103.0527679417</v>
      </c>
      <c r="D76">
        <v>0</v>
      </c>
      <c r="E76">
        <v>1325017.5683421309</v>
      </c>
      <c r="F76">
        <v>1821260.5599030007</v>
      </c>
      <c r="G76">
        <v>5166381.1810130728</v>
      </c>
      <c r="H76">
        <v>2125104.956811938</v>
      </c>
      <c r="I76">
        <v>0</v>
      </c>
      <c r="J76">
        <v>1431413.7369172513</v>
      </c>
      <c r="K76">
        <v>1940873.6533610513</v>
      </c>
      <c r="L76">
        <v>5497392.3470902406</v>
      </c>
    </row>
    <row r="77" spans="1:12" x14ac:dyDescent="0.25">
      <c r="A77" t="s">
        <v>276</v>
      </c>
      <c r="B77" t="s">
        <v>277</v>
      </c>
      <c r="C77">
        <v>2277347.8622984411</v>
      </c>
      <c r="D77">
        <v>0</v>
      </c>
      <c r="E77">
        <v>1571130.4758956628</v>
      </c>
      <c r="F77">
        <v>2159547.1928652599</v>
      </c>
      <c r="G77">
        <v>6008025.5310593639</v>
      </c>
      <c r="H77">
        <v>2298937.673115572</v>
      </c>
      <c r="I77">
        <v>0</v>
      </c>
      <c r="J77">
        <v>1599149.3439970519</v>
      </c>
      <c r="K77">
        <v>2168308.6793884193</v>
      </c>
      <c r="L77">
        <v>6066395.6965010427</v>
      </c>
    </row>
    <row r="78" spans="1:12" x14ac:dyDescent="0.25">
      <c r="A78" t="s">
        <v>396</v>
      </c>
      <c r="B78" t="s">
        <v>397</v>
      </c>
      <c r="C78">
        <v>13904.48341118833</v>
      </c>
      <c r="D78">
        <v>3615.2771630109637</v>
      </c>
      <c r="E78">
        <v>10424.757619893451</v>
      </c>
      <c r="F78">
        <v>14375.049208215831</v>
      </c>
      <c r="G78">
        <v>42319.567402308574</v>
      </c>
      <c r="H78">
        <v>15644.944467327152</v>
      </c>
      <c r="I78">
        <v>4211.8836289513656</v>
      </c>
      <c r="J78">
        <v>12368.037405406334</v>
      </c>
      <c r="K78">
        <v>16769.992717573616</v>
      </c>
      <c r="L78">
        <v>48994.858219258465</v>
      </c>
    </row>
    <row r="79" spans="1:12" x14ac:dyDescent="0.25">
      <c r="A79" t="s">
        <v>398</v>
      </c>
      <c r="B79" t="s">
        <v>399</v>
      </c>
      <c r="C79">
        <v>3659070.8191746403</v>
      </c>
      <c r="D79">
        <v>964104.85628520336</v>
      </c>
      <c r="E79">
        <v>2893061.3438922218</v>
      </c>
      <c r="F79">
        <v>3976565.027438466</v>
      </c>
      <c r="G79">
        <v>11492802.046790531</v>
      </c>
      <c r="H79">
        <v>3686991.9128000988</v>
      </c>
      <c r="I79">
        <v>992600.57522287173</v>
      </c>
      <c r="J79">
        <v>2938518.1665292634</v>
      </c>
      <c r="K79">
        <v>3984377.3622169518</v>
      </c>
      <c r="L79">
        <v>11602488.016769186</v>
      </c>
    </row>
    <row r="80" spans="1:12" x14ac:dyDescent="0.25">
      <c r="A80" t="s">
        <v>127</v>
      </c>
      <c r="B80" t="s">
        <v>128</v>
      </c>
      <c r="C80">
        <v>708019.00264156493</v>
      </c>
      <c r="D80">
        <v>185434.09515999569</v>
      </c>
      <c r="E80">
        <v>400912.75489490537</v>
      </c>
      <c r="F80">
        <v>552832.09355562367</v>
      </c>
      <c r="G80">
        <v>1847197.9462520897</v>
      </c>
      <c r="H80">
        <v>682293.41149176715</v>
      </c>
      <c r="I80">
        <v>157618.98088599634</v>
      </c>
      <c r="J80">
        <v>348890.06272598583</v>
      </c>
      <c r="K80">
        <v>473064.85413692531</v>
      </c>
      <c r="L80">
        <v>1661867.3092406746</v>
      </c>
    </row>
    <row r="81" spans="1:12" x14ac:dyDescent="0.25">
      <c r="A81" t="s">
        <v>129</v>
      </c>
      <c r="B81" t="s">
        <v>130</v>
      </c>
      <c r="C81">
        <v>314027.94474459044</v>
      </c>
      <c r="D81">
        <v>0</v>
      </c>
      <c r="E81">
        <v>150219.41681779089</v>
      </c>
      <c r="F81">
        <v>206479.2993833189</v>
      </c>
      <c r="G81">
        <v>670726.66094570025</v>
      </c>
      <c r="H81">
        <v>345927.10544423369</v>
      </c>
      <c r="I81">
        <v>0</v>
      </c>
      <c r="J81">
        <v>166896.92904440194</v>
      </c>
      <c r="K81">
        <v>226297.85089723111</v>
      </c>
      <c r="L81">
        <v>739121.88538586674</v>
      </c>
    </row>
    <row r="82" spans="1:12" x14ac:dyDescent="0.25">
      <c r="A82" t="s">
        <v>400</v>
      </c>
      <c r="B82" t="s">
        <v>401</v>
      </c>
      <c r="C82">
        <v>123367.20827491388</v>
      </c>
      <c r="D82">
        <v>31332.816286980466</v>
      </c>
      <c r="E82">
        <v>55362.458950249391</v>
      </c>
      <c r="F82">
        <v>72950.679185382731</v>
      </c>
      <c r="G82">
        <v>283013.16269752651</v>
      </c>
      <c r="H82">
        <v>106907.12052673553</v>
      </c>
      <c r="I82">
        <v>26632.893843933394</v>
      </c>
      <c r="J82">
        <v>51578.69917703879</v>
      </c>
      <c r="K82">
        <v>69936.270503415653</v>
      </c>
      <c r="L82">
        <v>255054.98405112338</v>
      </c>
    </row>
    <row r="83" spans="1:12" x14ac:dyDescent="0.25">
      <c r="A83" t="s">
        <v>402</v>
      </c>
      <c r="B83" t="s">
        <v>403</v>
      </c>
      <c r="C83">
        <v>1082320.9712019039</v>
      </c>
      <c r="D83">
        <v>208730.02119749374</v>
      </c>
      <c r="E83">
        <v>634419.81102636911</v>
      </c>
      <c r="F83">
        <v>872021.47945037286</v>
      </c>
      <c r="G83">
        <v>2797492.2828761395</v>
      </c>
      <c r="H83">
        <v>1227258.9771036634</v>
      </c>
      <c r="I83">
        <v>330398.87133774039</v>
      </c>
      <c r="J83">
        <v>743278.40887236793</v>
      </c>
      <c r="K83">
        <v>1007821.4590837745</v>
      </c>
      <c r="L83">
        <v>3308757.7163975462</v>
      </c>
    </row>
    <row r="84" spans="1:12" x14ac:dyDescent="0.25">
      <c r="A84" t="s">
        <v>131</v>
      </c>
      <c r="B84" t="s">
        <v>132</v>
      </c>
      <c r="C84">
        <v>43017.526677341186</v>
      </c>
      <c r="D84">
        <v>0</v>
      </c>
      <c r="E84">
        <v>20578.002303806978</v>
      </c>
      <c r="F84">
        <v>28284.835531961493</v>
      </c>
      <c r="G84">
        <v>91880.364513109656</v>
      </c>
      <c r="H84">
        <v>36564.897675740009</v>
      </c>
      <c r="I84">
        <v>0</v>
      </c>
      <c r="J84">
        <v>0</v>
      </c>
      <c r="K84">
        <v>0</v>
      </c>
      <c r="L84">
        <v>36564.897675740009</v>
      </c>
    </row>
    <row r="85" spans="1:12" x14ac:dyDescent="0.25">
      <c r="A85" t="s">
        <v>404</v>
      </c>
      <c r="B85" t="s">
        <v>405</v>
      </c>
      <c r="C85">
        <v>30112.268674138817</v>
      </c>
      <c r="D85">
        <v>7934.0865200992503</v>
      </c>
      <c r="E85">
        <v>21236.61155654148</v>
      </c>
      <c r="F85">
        <v>29190.105835579689</v>
      </c>
      <c r="G85">
        <v>88473.072586359238</v>
      </c>
      <c r="H85">
        <v>28682.398190099782</v>
      </c>
      <c r="I85">
        <v>7721.7866530775009</v>
      </c>
      <c r="J85">
        <v>19112.950400887334</v>
      </c>
      <c r="K85">
        <v>26271.095252021722</v>
      </c>
      <c r="L85">
        <v>81788.23049608634</v>
      </c>
    </row>
    <row r="86" spans="1:12" x14ac:dyDescent="0.25">
      <c r="A86" t="s">
        <v>133</v>
      </c>
      <c r="B86" t="s">
        <v>134</v>
      </c>
      <c r="C86">
        <v>11634.02024081536</v>
      </c>
      <c r="D86">
        <v>3047.0142868761773</v>
      </c>
      <c r="E86">
        <v>7943.5333803979074</v>
      </c>
      <c r="F86">
        <v>10953.605579511985</v>
      </c>
      <c r="G86">
        <v>33578.173487601431</v>
      </c>
      <c r="H86">
        <v>10470.618216733825</v>
      </c>
      <c r="I86">
        <v>2742.3128581885594</v>
      </c>
      <c r="J86">
        <v>7149.1800423581171</v>
      </c>
      <c r="K86">
        <v>9858.245021560786</v>
      </c>
      <c r="L86">
        <v>30220.356138841289</v>
      </c>
    </row>
    <row r="87" spans="1:12" x14ac:dyDescent="0.25">
      <c r="A87" t="s">
        <v>406</v>
      </c>
      <c r="B87" t="s">
        <v>407</v>
      </c>
      <c r="C87">
        <v>189277.11738030115</v>
      </c>
      <c r="D87">
        <v>49871.400983481006</v>
      </c>
      <c r="E87">
        <v>113302.23013886208</v>
      </c>
      <c r="F87">
        <v>156236.25920459378</v>
      </c>
      <c r="G87">
        <v>508687.00770723802</v>
      </c>
      <c r="H87">
        <v>170349.40564227104</v>
      </c>
      <c r="I87">
        <v>44884.260885132906</v>
      </c>
      <c r="J87">
        <v>101972.00712497588</v>
      </c>
      <c r="K87">
        <v>140612.63328413441</v>
      </c>
      <c r="L87">
        <v>457818.30693651421</v>
      </c>
    </row>
    <row r="88" spans="1:12" x14ac:dyDescent="0.25">
      <c r="A88" t="s">
        <v>408</v>
      </c>
      <c r="B88" t="s">
        <v>409</v>
      </c>
      <c r="C88">
        <v>97219.610290791054</v>
      </c>
      <c r="D88">
        <v>25615.765050606151</v>
      </c>
      <c r="E88">
        <v>48732.351761822662</v>
      </c>
      <c r="F88">
        <v>66983.496955573952</v>
      </c>
      <c r="G88">
        <v>238551.2240587938</v>
      </c>
      <c r="H88">
        <v>99084.648293071965</v>
      </c>
      <c r="I88">
        <v>26675.262983358647</v>
      </c>
      <c r="J88">
        <v>50730.292476429167</v>
      </c>
      <c r="K88">
        <v>68785.904141769221</v>
      </c>
      <c r="L88">
        <v>245276.10789462901</v>
      </c>
    </row>
    <row r="89" spans="1:12" x14ac:dyDescent="0.25">
      <c r="A89" t="s">
        <v>410</v>
      </c>
      <c r="B89" t="s">
        <v>411</v>
      </c>
      <c r="C89">
        <v>574714.15640927781</v>
      </c>
      <c r="D89">
        <v>151427.7084407513</v>
      </c>
      <c r="E89">
        <v>301638.86041793058</v>
      </c>
      <c r="F89">
        <v>414608.05723551963</v>
      </c>
      <c r="G89">
        <v>1442388.7825034794</v>
      </c>
      <c r="H89">
        <v>713583.30042642192</v>
      </c>
      <c r="I89">
        <v>192108.69218717064</v>
      </c>
      <c r="J89">
        <v>419520.21408905042</v>
      </c>
      <c r="K89">
        <v>568833.25175528601</v>
      </c>
      <c r="L89">
        <v>1894045.4584579291</v>
      </c>
    </row>
    <row r="90" spans="1:12" x14ac:dyDescent="0.25">
      <c r="A90" t="s">
        <v>412</v>
      </c>
      <c r="B90" t="s">
        <v>413</v>
      </c>
      <c r="C90">
        <v>319190.04794587148</v>
      </c>
      <c r="D90">
        <v>84101.31711305202</v>
      </c>
      <c r="E90">
        <v>197093.95566462239</v>
      </c>
      <c r="F90">
        <v>270909.19895981409</v>
      </c>
      <c r="G90">
        <v>871294.51968335989</v>
      </c>
      <c r="H90">
        <v>287271.04315128434</v>
      </c>
      <c r="I90">
        <v>75691.185401746814</v>
      </c>
      <c r="J90">
        <v>177384.56009816015</v>
      </c>
      <c r="K90">
        <v>243818.27906383268</v>
      </c>
      <c r="L90">
        <v>784165.06771502399</v>
      </c>
    </row>
    <row r="91" spans="1:12" x14ac:dyDescent="0.25">
      <c r="A91" t="s">
        <v>135</v>
      </c>
      <c r="B91" t="s">
        <v>136</v>
      </c>
      <c r="C91">
        <v>186696.06577966068</v>
      </c>
      <c r="D91">
        <v>0</v>
      </c>
      <c r="E91">
        <v>89308.529998522266</v>
      </c>
      <c r="F91">
        <v>122756.18620871288</v>
      </c>
      <c r="G91">
        <v>398760.78198689583</v>
      </c>
      <c r="H91">
        <v>158767.5620964035</v>
      </c>
      <c r="I91">
        <v>0</v>
      </c>
      <c r="J91">
        <v>76319.701221309413</v>
      </c>
      <c r="K91">
        <v>104392.66802553463</v>
      </c>
      <c r="L91">
        <v>339479.93134324753</v>
      </c>
    </row>
    <row r="92" spans="1:12" x14ac:dyDescent="0.25">
      <c r="A92" t="s">
        <v>414</v>
      </c>
      <c r="B92" t="s">
        <v>415</v>
      </c>
      <c r="C92">
        <v>32963.057348976843</v>
      </c>
      <c r="D92">
        <v>6737.4880259950523</v>
      </c>
      <c r="E92">
        <v>16023.15756449248</v>
      </c>
      <c r="F92">
        <v>22094.871349433746</v>
      </c>
      <c r="G92">
        <v>77818.574288898119</v>
      </c>
      <c r="H92">
        <v>30420.72535313612</v>
      </c>
      <c r="I92">
        <v>5726.8648220957939</v>
      </c>
      <c r="J92">
        <v>14676.865619482582</v>
      </c>
      <c r="K92">
        <v>19900.564777394698</v>
      </c>
      <c r="L92">
        <v>70725.020572109192</v>
      </c>
    </row>
    <row r="93" spans="1:12" x14ac:dyDescent="0.25">
      <c r="A93" t="s">
        <v>416</v>
      </c>
      <c r="B93" t="s">
        <v>417</v>
      </c>
      <c r="C93">
        <v>36995.072942513398</v>
      </c>
      <c r="D93">
        <v>9747.5920104076504</v>
      </c>
      <c r="E93">
        <v>22487.548316589902</v>
      </c>
      <c r="F93">
        <v>30909.540987567634</v>
      </c>
      <c r="G93">
        <v>100139.75425707857</v>
      </c>
      <c r="H93">
        <v>33295.565648262062</v>
      </c>
      <c r="I93">
        <v>8772.8328093668861</v>
      </c>
      <c r="J93">
        <v>20238.793484930913</v>
      </c>
      <c r="K93">
        <v>27818.586888810871</v>
      </c>
      <c r="L93">
        <v>90125.778831370728</v>
      </c>
    </row>
    <row r="94" spans="1:12" x14ac:dyDescent="0.25">
      <c r="A94" t="s">
        <v>137</v>
      </c>
      <c r="B94" t="s">
        <v>138</v>
      </c>
      <c r="C94">
        <v>13765.608536749176</v>
      </c>
      <c r="D94">
        <v>0</v>
      </c>
      <c r="E94">
        <v>6584.9607372182309</v>
      </c>
      <c r="F94">
        <v>9051.1473702276762</v>
      </c>
      <c r="G94">
        <v>29401.716644195083</v>
      </c>
      <c r="H94">
        <v>11700.767256236799</v>
      </c>
      <c r="I94">
        <v>0</v>
      </c>
      <c r="J94">
        <v>5597.2166266354961</v>
      </c>
      <c r="K94">
        <v>7693.4752646935249</v>
      </c>
      <c r="L94">
        <v>24991.459147565816</v>
      </c>
    </row>
    <row r="95" spans="1:12" x14ac:dyDescent="0.25">
      <c r="A95" t="s">
        <v>139</v>
      </c>
      <c r="B95" t="s">
        <v>140</v>
      </c>
      <c r="C95">
        <v>48757.855662028225</v>
      </c>
      <c r="D95">
        <v>0</v>
      </c>
      <c r="E95">
        <v>23700.920564145108</v>
      </c>
      <c r="F95">
        <v>32681.99720437076</v>
      </c>
      <c r="G95">
        <v>105140.7734305441</v>
      </c>
      <c r="H95">
        <v>41444.177312723994</v>
      </c>
      <c r="I95">
        <v>0</v>
      </c>
      <c r="J95">
        <v>20145.782479523343</v>
      </c>
      <c r="K95">
        <v>27779.697623715147</v>
      </c>
      <c r="L95">
        <v>89369.657415962487</v>
      </c>
    </row>
    <row r="96" spans="1:12" x14ac:dyDescent="0.25">
      <c r="A96" t="s">
        <v>418</v>
      </c>
      <c r="B96" t="s">
        <v>419</v>
      </c>
      <c r="C96">
        <v>20888.346748971675</v>
      </c>
      <c r="D96">
        <v>5431.1376224050373</v>
      </c>
      <c r="E96">
        <v>13000.348189112901</v>
      </c>
      <c r="F96">
        <v>17606.980663407961</v>
      </c>
      <c r="G96">
        <v>56926.813223897567</v>
      </c>
      <c r="H96">
        <v>21729.089537954373</v>
      </c>
      <c r="I96">
        <v>5849.8383735435636</v>
      </c>
      <c r="J96">
        <v>11700.313370201611</v>
      </c>
      <c r="K96">
        <v>15846.282597067166</v>
      </c>
      <c r="L96">
        <v>55125.523878766719</v>
      </c>
    </row>
    <row r="97" spans="1:12" x14ac:dyDescent="0.25">
      <c r="A97" t="s">
        <v>420</v>
      </c>
      <c r="B97" t="s">
        <v>421</v>
      </c>
      <c r="C97">
        <v>202182.37538350347</v>
      </c>
      <c r="D97">
        <v>53271.723777809246</v>
      </c>
      <c r="E97">
        <v>108082.58230836826</v>
      </c>
      <c r="F97">
        <v>148561.45991860051</v>
      </c>
      <c r="G97">
        <v>512098.14138828148</v>
      </c>
      <c r="H97">
        <v>171855.01907597794</v>
      </c>
      <c r="I97">
        <v>45280.96521113786</v>
      </c>
      <c r="J97">
        <v>91870.194962113019</v>
      </c>
      <c r="K97">
        <v>126277.24093081043</v>
      </c>
      <c r="L97">
        <v>435283.42018003925</v>
      </c>
    </row>
    <row r="98" spans="1:12" x14ac:dyDescent="0.25">
      <c r="A98" t="s">
        <v>57</v>
      </c>
      <c r="B98" t="s">
        <v>17</v>
      </c>
      <c r="C98">
        <v>2596937.9161652727</v>
      </c>
      <c r="D98">
        <v>684250.34118658223</v>
      </c>
      <c r="E98">
        <v>1895154.9630996815</v>
      </c>
      <c r="F98">
        <v>2613058.4321100381</v>
      </c>
      <c r="G98">
        <v>7789401.6525615752</v>
      </c>
      <c r="H98">
        <v>2880587.6453223322</v>
      </c>
      <c r="I98">
        <v>775502.90897040756</v>
      </c>
      <c r="J98">
        <v>2177791.4133343347</v>
      </c>
      <c r="K98">
        <v>2952897.4521088358</v>
      </c>
      <c r="L98">
        <v>8786779.4197359104</v>
      </c>
    </row>
    <row r="99" spans="1:12" x14ac:dyDescent="0.25">
      <c r="A99" t="s">
        <v>141</v>
      </c>
      <c r="B99" t="s">
        <v>142</v>
      </c>
      <c r="C99">
        <v>101636.0934926786</v>
      </c>
      <c r="D99">
        <v>0</v>
      </c>
      <c r="E99">
        <v>0</v>
      </c>
      <c r="F99">
        <v>0</v>
      </c>
      <c r="G99">
        <v>101636.0934926786</v>
      </c>
      <c r="H99">
        <v>92131.339640926584</v>
      </c>
      <c r="I99">
        <v>0</v>
      </c>
      <c r="J99">
        <v>0</v>
      </c>
      <c r="K99">
        <v>0</v>
      </c>
      <c r="L99">
        <v>92131.339640926584</v>
      </c>
    </row>
    <row r="100" spans="1:12" x14ac:dyDescent="0.25">
      <c r="A100" t="s">
        <v>422</v>
      </c>
      <c r="B100" t="s">
        <v>423</v>
      </c>
      <c r="C100">
        <v>101797.67710713435</v>
      </c>
      <c r="D100">
        <v>26749.205982048908</v>
      </c>
      <c r="E100">
        <v>57685.134492198405</v>
      </c>
      <c r="F100">
        <v>79543.973792301535</v>
      </c>
      <c r="G100">
        <v>265775.99137368321</v>
      </c>
      <c r="H100">
        <v>122552.06499406269</v>
      </c>
      <c r="I100">
        <v>32993.088426785696</v>
      </c>
      <c r="J100">
        <v>68976.068607748675</v>
      </c>
      <c r="K100">
        <v>93525.603967948206</v>
      </c>
      <c r="L100">
        <v>318046.82599654526</v>
      </c>
    </row>
    <row r="101" spans="1:12" x14ac:dyDescent="0.25">
      <c r="A101" t="s">
        <v>424</v>
      </c>
      <c r="B101" t="s">
        <v>425</v>
      </c>
      <c r="C101">
        <v>430175.2667734116</v>
      </c>
      <c r="D101">
        <v>113344.093144275</v>
      </c>
      <c r="E101">
        <v>303180.72897455021</v>
      </c>
      <c r="F101">
        <v>416727.38339225843</v>
      </c>
      <c r="G101">
        <v>1263427.4722844954</v>
      </c>
      <c r="H101">
        <v>387157.74009607045</v>
      </c>
      <c r="I101">
        <v>102009.6838298475</v>
      </c>
      <c r="J101">
        <v>272862.65607709519</v>
      </c>
      <c r="K101">
        <v>375054.64505303261</v>
      </c>
      <c r="L101">
        <v>1137084.7250560457</v>
      </c>
    </row>
    <row r="102" spans="1:12" x14ac:dyDescent="0.25">
      <c r="A102" t="s">
        <v>74</v>
      </c>
      <c r="B102" t="s">
        <v>41</v>
      </c>
      <c r="C102">
        <v>64396.362361819156</v>
      </c>
      <c r="D102">
        <v>16865.763689402575</v>
      </c>
      <c r="E102">
        <v>39718.924816680737</v>
      </c>
      <c r="F102">
        <v>54769.762478472476</v>
      </c>
      <c r="G102">
        <v>175750.81334637495</v>
      </c>
      <c r="H102">
        <v>71155.350346935753</v>
      </c>
      <c r="I102">
        <v>19156.223651956443</v>
      </c>
      <c r="J102">
        <v>41576.182652716219</v>
      </c>
      <c r="K102">
        <v>56373.72021577054</v>
      </c>
      <c r="L102">
        <v>188261.47686737895</v>
      </c>
    </row>
    <row r="103" spans="1:12" x14ac:dyDescent="0.25">
      <c r="A103" t="s">
        <v>1420</v>
      </c>
      <c r="B103" t="s">
        <v>1424</v>
      </c>
      <c r="C103">
        <v>29246.750870120228</v>
      </c>
      <c r="D103">
        <v>0</v>
      </c>
      <c r="E103">
        <v>19092.552458220234</v>
      </c>
      <c r="F103">
        <v>26243.057911709915</v>
      </c>
      <c r="G103">
        <v>74582.361240050377</v>
      </c>
      <c r="H103">
        <v>53845.390156402173</v>
      </c>
      <c r="I103">
        <v>0</v>
      </c>
      <c r="J103">
        <v>35887.620691544231</v>
      </c>
      <c r="K103">
        <v>48660.520494962759</v>
      </c>
      <c r="L103">
        <v>138393.53134290915</v>
      </c>
    </row>
    <row r="104" spans="1:12" x14ac:dyDescent="0.25">
      <c r="A104" t="s">
        <v>75</v>
      </c>
      <c r="B104" t="s">
        <v>45</v>
      </c>
      <c r="C104">
        <v>48493.602144418648</v>
      </c>
      <c r="D104">
        <v>12700.742778300097</v>
      </c>
      <c r="E104">
        <v>29910.287895488211</v>
      </c>
      <c r="F104">
        <v>41244.302842020392</v>
      </c>
      <c r="G104">
        <v>132348.93566022735</v>
      </c>
      <c r="H104">
        <v>52363.58126421379</v>
      </c>
      <c r="I104">
        <v>14097.161619243896</v>
      </c>
      <c r="J104">
        <v>30596.122545619022</v>
      </c>
      <c r="K104">
        <v>41485.70508460261</v>
      </c>
      <c r="L104">
        <v>138542.57051367933</v>
      </c>
    </row>
    <row r="105" spans="1:12" x14ac:dyDescent="0.25">
      <c r="A105" t="s">
        <v>79</v>
      </c>
      <c r="B105" t="s">
        <v>1397</v>
      </c>
      <c r="C105">
        <v>40042.388156361791</v>
      </c>
      <c r="D105">
        <v>0</v>
      </c>
      <c r="E105">
        <v>31905.156636666343</v>
      </c>
      <c r="F105">
        <v>43854.213580422482</v>
      </c>
      <c r="G105">
        <v>115801.75837345062</v>
      </c>
      <c r="H105">
        <v>38989.15230063488</v>
      </c>
      <c r="I105">
        <v>0</v>
      </c>
      <c r="J105">
        <v>31381.641280378411</v>
      </c>
      <c r="K105">
        <v>42550.800784885192</v>
      </c>
      <c r="L105">
        <v>112921.59436589849</v>
      </c>
    </row>
    <row r="106" spans="1:12" x14ac:dyDescent="0.25">
      <c r="A106" t="s">
        <v>426</v>
      </c>
      <c r="B106" t="s">
        <v>427</v>
      </c>
      <c r="C106">
        <v>38715.774009607056</v>
      </c>
      <c r="D106">
        <v>10200.968382984745</v>
      </c>
      <c r="E106">
        <v>24312.673074921437</v>
      </c>
      <c r="F106">
        <v>33418.207905403884</v>
      </c>
      <c r="G106">
        <v>106647.62337291712</v>
      </c>
      <c r="H106">
        <v>51280.651309572335</v>
      </c>
      <c r="I106">
        <v>13805.618561562811</v>
      </c>
      <c r="J106">
        <v>38382.247058691646</v>
      </c>
      <c r="K106">
        <v>52043.01883636025</v>
      </c>
      <c r="L106">
        <v>155511.53576618704</v>
      </c>
    </row>
    <row r="107" spans="1:12" x14ac:dyDescent="0.25">
      <c r="A107" t="s">
        <v>428</v>
      </c>
      <c r="B107" t="s">
        <v>429</v>
      </c>
      <c r="C107">
        <v>0</v>
      </c>
      <c r="D107">
        <v>2283.3329450595575</v>
      </c>
      <c r="E107">
        <v>0</v>
      </c>
      <c r="F107">
        <v>0</v>
      </c>
      <c r="G107">
        <v>2283.3329450595575</v>
      </c>
      <c r="H107">
        <v>0</v>
      </c>
      <c r="I107">
        <v>1940.8330033006239</v>
      </c>
      <c r="J107">
        <v>0</v>
      </c>
      <c r="K107">
        <v>0</v>
      </c>
      <c r="L107">
        <v>1940.8330033006239</v>
      </c>
    </row>
    <row r="108" spans="1:12" x14ac:dyDescent="0.25">
      <c r="A108" t="s">
        <v>143</v>
      </c>
      <c r="B108" t="s">
        <v>144</v>
      </c>
      <c r="C108">
        <v>736460.05671608075</v>
      </c>
      <c r="D108">
        <v>0</v>
      </c>
      <c r="E108">
        <v>0</v>
      </c>
      <c r="F108">
        <v>0</v>
      </c>
      <c r="G108">
        <v>736460.05671608075</v>
      </c>
      <c r="H108">
        <v>809191.29439342103</v>
      </c>
      <c r="I108">
        <v>0</v>
      </c>
      <c r="J108">
        <v>0</v>
      </c>
      <c r="K108">
        <v>0</v>
      </c>
      <c r="L108">
        <v>809191.29439342103</v>
      </c>
    </row>
    <row r="109" spans="1:12" x14ac:dyDescent="0.25">
      <c r="A109" t="s">
        <v>145</v>
      </c>
      <c r="B109" t="s">
        <v>146</v>
      </c>
      <c r="C109">
        <v>18927.711738030121</v>
      </c>
      <c r="D109">
        <v>4987.140098348098</v>
      </c>
      <c r="E109">
        <v>16860.586187624245</v>
      </c>
      <c r="F109">
        <v>23175.179993112652</v>
      </c>
      <c r="G109">
        <v>63950.618017115114</v>
      </c>
      <c r="H109">
        <v>0</v>
      </c>
      <c r="I109">
        <v>4239.0690835958831</v>
      </c>
      <c r="J109">
        <v>0</v>
      </c>
      <c r="K109">
        <v>0</v>
      </c>
      <c r="L109">
        <v>4239.0690835958831</v>
      </c>
    </row>
    <row r="110" spans="1:12" x14ac:dyDescent="0.25">
      <c r="A110" t="s">
        <v>147</v>
      </c>
      <c r="B110" t="s">
        <v>148</v>
      </c>
      <c r="C110">
        <v>98079.960824337875</v>
      </c>
      <c r="D110">
        <v>0</v>
      </c>
      <c r="E110">
        <v>46917.845252679894</v>
      </c>
      <c r="F110">
        <v>64489.425012872205</v>
      </c>
      <c r="G110">
        <v>209487.23108988997</v>
      </c>
      <c r="H110">
        <v>92131.339640926584</v>
      </c>
      <c r="I110">
        <v>0</v>
      </c>
      <c r="J110">
        <v>44449.935876147254</v>
      </c>
      <c r="K110">
        <v>60270.28189725252</v>
      </c>
      <c r="L110">
        <v>196851.55741432635</v>
      </c>
    </row>
    <row r="111" spans="1:12" x14ac:dyDescent="0.25">
      <c r="A111" t="s">
        <v>430</v>
      </c>
      <c r="B111" t="s">
        <v>431</v>
      </c>
      <c r="C111">
        <v>26670.866539951527</v>
      </c>
      <c r="D111">
        <v>7027.3337749450511</v>
      </c>
      <c r="E111">
        <v>19913.116760369812</v>
      </c>
      <c r="F111">
        <v>27370.938353506051</v>
      </c>
      <c r="G111">
        <v>80982.255428772434</v>
      </c>
      <c r="H111">
        <v>24003.779885956374</v>
      </c>
      <c r="I111">
        <v>6324.6003974505466</v>
      </c>
      <c r="J111">
        <v>17921.805084332831</v>
      </c>
      <c r="K111">
        <v>24633.844518155445</v>
      </c>
      <c r="L111">
        <v>72884.029885895201</v>
      </c>
    </row>
    <row r="112" spans="1:12" x14ac:dyDescent="0.25">
      <c r="A112" t="s">
        <v>432</v>
      </c>
      <c r="B112" t="s">
        <v>433</v>
      </c>
      <c r="C112">
        <v>798405.29513145238</v>
      </c>
      <c r="D112">
        <v>210366.63687577451</v>
      </c>
      <c r="E112">
        <v>430697.58821867983</v>
      </c>
      <c r="F112">
        <v>592001.60768395406</v>
      </c>
      <c r="G112">
        <v>2031471.1279098608</v>
      </c>
      <c r="H112">
        <v>790069.69560002128</v>
      </c>
      <c r="I112">
        <v>212700.12326204393</v>
      </c>
      <c r="J112">
        <v>426887.12001809344</v>
      </c>
      <c r="K112">
        <v>578822.14123965148</v>
      </c>
      <c r="L112">
        <v>2008479.0801198101</v>
      </c>
    </row>
    <row r="113" spans="1:12" x14ac:dyDescent="0.25">
      <c r="A113" t="s">
        <v>434</v>
      </c>
      <c r="B113" t="s">
        <v>435</v>
      </c>
      <c r="C113">
        <v>2441674.8142058849</v>
      </c>
      <c r="D113">
        <v>464490.35096860031</v>
      </c>
      <c r="E113">
        <v>1728346.4134967471</v>
      </c>
      <c r="F113">
        <v>2375643.3363294457</v>
      </c>
      <c r="G113">
        <v>7010154.9150006771</v>
      </c>
      <c r="H113">
        <v>2625743.1797664068</v>
      </c>
      <c r="I113">
        <v>394816.79832331027</v>
      </c>
      <c r="J113">
        <v>1914492.2853070782</v>
      </c>
      <c r="K113">
        <v>2595886.5283198711</v>
      </c>
      <c r="L113">
        <v>7530938.7917166669</v>
      </c>
    </row>
    <row r="114" spans="1:12" x14ac:dyDescent="0.25">
      <c r="A114" t="s">
        <v>436</v>
      </c>
      <c r="B114" t="s">
        <v>437</v>
      </c>
      <c r="C114">
        <v>3695205.541583606</v>
      </c>
      <c r="D114">
        <v>0</v>
      </c>
      <c r="E114">
        <v>2927632.3877626183</v>
      </c>
      <c r="F114">
        <v>4024083.5511321621</v>
      </c>
      <c r="G114">
        <v>10646921.480478387</v>
      </c>
      <c r="H114">
        <v>3869516.2649189155</v>
      </c>
      <c r="I114">
        <v>0</v>
      </c>
      <c r="J114">
        <v>3114640.5539630535</v>
      </c>
      <c r="K114">
        <v>4223184.1395456903</v>
      </c>
      <c r="L114">
        <v>11207340.95842766</v>
      </c>
    </row>
    <row r="115" spans="1:12" x14ac:dyDescent="0.25">
      <c r="A115" t="s">
        <v>438</v>
      </c>
      <c r="B115" t="s">
        <v>439</v>
      </c>
      <c r="C115">
        <v>128192.22949847669</v>
      </c>
      <c r="D115">
        <v>33776.539756993938</v>
      </c>
      <c r="E115">
        <v>65710.615719978538</v>
      </c>
      <c r="F115">
        <v>90610.580017159838</v>
      </c>
      <c r="G115">
        <v>318289.96499260899</v>
      </c>
      <c r="H115">
        <v>128636.21006468989</v>
      </c>
      <c r="I115">
        <v>34631.043171377889</v>
      </c>
      <c r="J115">
        <v>62206.028869548194</v>
      </c>
      <c r="K115">
        <v>84346.013594322896</v>
      </c>
      <c r="L115">
        <v>309819.2956999389</v>
      </c>
    </row>
    <row r="116" spans="1:12" x14ac:dyDescent="0.25">
      <c r="A116" t="s">
        <v>440</v>
      </c>
      <c r="B116" t="s">
        <v>1389</v>
      </c>
      <c r="C116">
        <v>215087.6333867058</v>
      </c>
      <c r="D116">
        <v>49281.224125934845</v>
      </c>
      <c r="E116">
        <v>102890.01151903483</v>
      </c>
      <c r="F116">
        <v>141424.17765980749</v>
      </c>
      <c r="G116">
        <v>508683.046691483</v>
      </c>
      <c r="H116">
        <v>182824.48837869993</v>
      </c>
      <c r="I116">
        <v>41889.040507044614</v>
      </c>
      <c r="J116">
        <v>87456.509791179604</v>
      </c>
      <c r="K116">
        <v>120210.55101083637</v>
      </c>
      <c r="L116">
        <v>432380.58968776051</v>
      </c>
    </row>
    <row r="117" spans="1:12" x14ac:dyDescent="0.25">
      <c r="A117" t="s">
        <v>278</v>
      </c>
      <c r="B117" t="s">
        <v>279</v>
      </c>
      <c r="C117">
        <v>49900.330945715774</v>
      </c>
      <c r="D117">
        <v>0</v>
      </c>
      <c r="E117">
        <v>23870.482672416088</v>
      </c>
      <c r="F117">
        <v>32810.409217075343</v>
      </c>
      <c r="G117">
        <v>106581.2228352072</v>
      </c>
      <c r="H117">
        <v>61710.614287790435</v>
      </c>
      <c r="I117">
        <v>0</v>
      </c>
      <c r="J117">
        <v>29773.070256664665</v>
      </c>
      <c r="K117">
        <v>40369.717119857829</v>
      </c>
      <c r="L117">
        <v>131853.40166431293</v>
      </c>
    </row>
    <row r="118" spans="1:12" x14ac:dyDescent="0.25">
      <c r="A118" t="s">
        <v>441</v>
      </c>
      <c r="B118" t="s">
        <v>442</v>
      </c>
      <c r="C118">
        <v>12044.907469655527</v>
      </c>
      <c r="D118">
        <v>3173.6346080397011</v>
      </c>
      <c r="E118">
        <v>6509.9850655167284</v>
      </c>
      <c r="F118">
        <v>8976.8375509252</v>
      </c>
      <c r="G118">
        <v>30705.364694137155</v>
      </c>
      <c r="H118">
        <v>0</v>
      </c>
      <c r="I118">
        <v>2697.5894168337459</v>
      </c>
      <c r="J118">
        <v>0</v>
      </c>
      <c r="K118">
        <v>0</v>
      </c>
      <c r="L118">
        <v>2697.5894168337459</v>
      </c>
    </row>
    <row r="119" spans="1:12" x14ac:dyDescent="0.25">
      <c r="A119" t="s">
        <v>149</v>
      </c>
      <c r="B119" t="s">
        <v>150</v>
      </c>
      <c r="C119">
        <v>108404.16722689974</v>
      </c>
      <c r="D119">
        <v>0</v>
      </c>
      <c r="E119">
        <v>52075.262084600537</v>
      </c>
      <c r="F119">
        <v>71808.331885659689</v>
      </c>
      <c r="G119">
        <v>232287.76119715997</v>
      </c>
      <c r="H119">
        <v>92143.542142864768</v>
      </c>
      <c r="I119">
        <v>0</v>
      </c>
      <c r="J119">
        <v>0</v>
      </c>
      <c r="K119">
        <v>0</v>
      </c>
      <c r="L119">
        <v>92143.542142864768</v>
      </c>
    </row>
    <row r="120" spans="1:12" x14ac:dyDescent="0.25">
      <c r="A120" t="s">
        <v>280</v>
      </c>
      <c r="B120" t="s">
        <v>281</v>
      </c>
      <c r="C120">
        <v>99616.298311981445</v>
      </c>
      <c r="D120">
        <v>26090.059831377272</v>
      </c>
      <c r="E120">
        <v>60910.260330525867</v>
      </c>
      <c r="F120">
        <v>83991.20837741789</v>
      </c>
      <c r="G120">
        <v>270607.82685130247</v>
      </c>
      <c r="H120">
        <v>84673.853565184225</v>
      </c>
      <c r="I120">
        <v>22176.550856670681</v>
      </c>
      <c r="J120">
        <v>51773.721280946986</v>
      </c>
      <c r="K120">
        <v>71392.5271208052</v>
      </c>
      <c r="L120">
        <v>230016.65282360709</v>
      </c>
    </row>
    <row r="121" spans="1:12" x14ac:dyDescent="0.25">
      <c r="A121" t="s">
        <v>443</v>
      </c>
      <c r="B121" t="s">
        <v>444</v>
      </c>
      <c r="C121">
        <v>15486.309603842823</v>
      </c>
      <c r="D121">
        <v>4146.9903909238847</v>
      </c>
      <c r="E121">
        <v>8780.2426009906594</v>
      </c>
      <c r="F121">
        <v>12068.60190961286</v>
      </c>
      <c r="G121">
        <v>40482.144505370226</v>
      </c>
      <c r="H121">
        <v>14775.780885808976</v>
      </c>
      <c r="I121">
        <v>3977.8900940096232</v>
      </c>
      <c r="J121">
        <v>8065.3569969233795</v>
      </c>
      <c r="K121">
        <v>10935.928932743454</v>
      </c>
      <c r="L121">
        <v>37754.956909485431</v>
      </c>
    </row>
    <row r="122" spans="1:12" x14ac:dyDescent="0.25">
      <c r="A122" t="s">
        <v>282</v>
      </c>
      <c r="B122" t="s">
        <v>283</v>
      </c>
      <c r="C122">
        <v>140237.1369681322</v>
      </c>
      <c r="D122">
        <v>0</v>
      </c>
      <c r="E122">
        <v>67084.287510410722</v>
      </c>
      <c r="F122">
        <v>92208.563834194458</v>
      </c>
      <c r="G122">
        <v>299529.98831273738</v>
      </c>
      <c r="H122">
        <v>145150.31811353518</v>
      </c>
      <c r="I122">
        <v>0</v>
      </c>
      <c r="J122">
        <v>70029.615955816902</v>
      </c>
      <c r="K122">
        <v>94954.123366426138</v>
      </c>
      <c r="L122">
        <v>310134.0574357782</v>
      </c>
    </row>
    <row r="123" spans="1:12" x14ac:dyDescent="0.25">
      <c r="A123" t="s">
        <v>445</v>
      </c>
      <c r="B123" t="s">
        <v>446</v>
      </c>
      <c r="C123">
        <v>34414.021341872947</v>
      </c>
      <c r="D123">
        <v>9067.5274515419987</v>
      </c>
      <c r="E123">
        <v>20913.238539338301</v>
      </c>
      <c r="F123">
        <v>28745.623787612669</v>
      </c>
      <c r="G123">
        <v>93140.411120365912</v>
      </c>
      <c r="H123">
        <v>30972.619207685653</v>
      </c>
      <c r="I123">
        <v>8160.7747063877987</v>
      </c>
      <c r="J123">
        <v>18821.91468540447</v>
      </c>
      <c r="K123">
        <v>25871.061408851401</v>
      </c>
      <c r="L123">
        <v>83826.370008329322</v>
      </c>
    </row>
    <row r="124" spans="1:12" x14ac:dyDescent="0.25">
      <c r="A124" t="s">
        <v>151</v>
      </c>
      <c r="B124" t="s">
        <v>152</v>
      </c>
      <c r="C124">
        <v>500724.01052425127</v>
      </c>
      <c r="D124">
        <v>0</v>
      </c>
      <c r="E124">
        <v>239527.94681631314</v>
      </c>
      <c r="F124">
        <v>329235.48559203197</v>
      </c>
      <c r="G124">
        <v>1069487.4429325964</v>
      </c>
      <c r="H124">
        <v>590162.07185084093</v>
      </c>
      <c r="I124">
        <v>0</v>
      </c>
      <c r="J124">
        <v>284731.1930179621</v>
      </c>
      <c r="K124">
        <v>386070.95668145712</v>
      </c>
      <c r="L124">
        <v>1260964.2215502602</v>
      </c>
    </row>
    <row r="125" spans="1:12" x14ac:dyDescent="0.25">
      <c r="A125" t="s">
        <v>153</v>
      </c>
      <c r="B125" t="s">
        <v>154</v>
      </c>
      <c r="C125">
        <v>1218256.3555023018</v>
      </c>
      <c r="D125">
        <v>0</v>
      </c>
      <c r="E125">
        <v>0</v>
      </c>
      <c r="F125">
        <v>0</v>
      </c>
      <c r="G125">
        <v>1218256.3555023018</v>
      </c>
      <c r="H125">
        <v>1264633.0111089444</v>
      </c>
      <c r="I125">
        <v>0</v>
      </c>
      <c r="J125">
        <v>0</v>
      </c>
      <c r="K125">
        <v>0</v>
      </c>
      <c r="L125">
        <v>1264633.0111089444</v>
      </c>
    </row>
    <row r="126" spans="1:12" x14ac:dyDescent="0.25">
      <c r="A126" t="s">
        <v>155</v>
      </c>
      <c r="B126" t="s">
        <v>156</v>
      </c>
      <c r="C126">
        <v>307145.14047621604</v>
      </c>
      <c r="D126">
        <v>0</v>
      </c>
      <c r="E126">
        <v>146926.93644918178</v>
      </c>
      <c r="F126">
        <v>201953.72569820503</v>
      </c>
      <c r="G126">
        <v>656025.80262360291</v>
      </c>
      <c r="H126">
        <v>292908.12697162497</v>
      </c>
      <c r="I126">
        <v>0</v>
      </c>
      <c r="J126">
        <v>141317.24896473228</v>
      </c>
      <c r="K126">
        <v>191614.0094280575</v>
      </c>
      <c r="L126">
        <v>625839.38536441477</v>
      </c>
    </row>
    <row r="127" spans="1:12" x14ac:dyDescent="0.25">
      <c r="A127" t="s">
        <v>157</v>
      </c>
      <c r="B127" t="s">
        <v>158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8691.6358151817476</v>
      </c>
      <c r="I127">
        <v>2339.9353494174252</v>
      </c>
      <c r="J127">
        <v>7653.5660815424662</v>
      </c>
      <c r="K127">
        <v>10377.575943846263</v>
      </c>
      <c r="L127">
        <v>29062.713189987902</v>
      </c>
    </row>
    <row r="128" spans="1:12" x14ac:dyDescent="0.25">
      <c r="A128" t="s">
        <v>159</v>
      </c>
      <c r="B128" t="s">
        <v>160</v>
      </c>
      <c r="C128">
        <v>66246.9910831054</v>
      </c>
      <c r="D128">
        <v>0</v>
      </c>
      <c r="E128">
        <v>31690.123547862735</v>
      </c>
      <c r="F128">
        <v>43558.646719220698</v>
      </c>
      <c r="G128">
        <v>141495.76135018884</v>
      </c>
      <c r="H128">
        <v>56309.942420639585</v>
      </c>
      <c r="I128">
        <v>0</v>
      </c>
      <c r="J128">
        <v>0</v>
      </c>
      <c r="K128">
        <v>0</v>
      </c>
      <c r="L128">
        <v>56309.942420639585</v>
      </c>
    </row>
    <row r="129" spans="1:12" x14ac:dyDescent="0.25">
      <c r="A129" t="s">
        <v>447</v>
      </c>
      <c r="B129" t="s">
        <v>448</v>
      </c>
      <c r="C129">
        <v>69688.393217292716</v>
      </c>
      <c r="D129">
        <v>18361.743089372536</v>
      </c>
      <c r="E129">
        <v>47625.224370874421</v>
      </c>
      <c r="F129">
        <v>65461.730376701147</v>
      </c>
      <c r="G129">
        <v>201137.09105424082</v>
      </c>
      <c r="H129">
        <v>62719.553895563447</v>
      </c>
      <c r="I129">
        <v>16525.568780435282</v>
      </c>
      <c r="J129">
        <v>42862.701933786979</v>
      </c>
      <c r="K129">
        <v>58915.557339031031</v>
      </c>
      <c r="L129">
        <v>181023.38194881676</v>
      </c>
    </row>
    <row r="130" spans="1:12" x14ac:dyDescent="0.25">
      <c r="A130" t="s">
        <v>449</v>
      </c>
      <c r="B130" t="s">
        <v>450</v>
      </c>
      <c r="C130">
        <v>1164054.2718888524</v>
      </c>
      <c r="D130">
        <v>306709.11604840821</v>
      </c>
      <c r="E130">
        <v>693067.11759221891</v>
      </c>
      <c r="F130">
        <v>952633.26071646321</v>
      </c>
      <c r="G130">
        <v>3116463.7662459426</v>
      </c>
      <c r="H130">
        <v>1180324.1437016819</v>
      </c>
      <c r="I130">
        <v>317763.22045088641</v>
      </c>
      <c r="J130">
        <v>709311.9484387082</v>
      </c>
      <c r="K130">
        <v>961765.86631323246</v>
      </c>
      <c r="L130">
        <v>3169165.1789045092</v>
      </c>
    </row>
    <row r="131" spans="1:12" x14ac:dyDescent="0.25">
      <c r="A131" t="s">
        <v>451</v>
      </c>
      <c r="B131" t="s">
        <v>452</v>
      </c>
      <c r="C131">
        <v>49039.980412168938</v>
      </c>
      <c r="D131">
        <v>12921.226618447352</v>
      </c>
      <c r="E131">
        <v>28981.183879583838</v>
      </c>
      <c r="F131">
        <v>39835.160257704461</v>
      </c>
      <c r="G131">
        <v>130777.5511679046</v>
      </c>
      <c r="H131">
        <v>55626.469217163227</v>
      </c>
      <c r="I131">
        <v>14975.58623627152</v>
      </c>
      <c r="J131">
        <v>36630.322027071219</v>
      </c>
      <c r="K131">
        <v>49667.559492328277</v>
      </c>
      <c r="L131">
        <v>156899.93697283423</v>
      </c>
    </row>
    <row r="132" spans="1:12" x14ac:dyDescent="0.25">
      <c r="A132" t="s">
        <v>453</v>
      </c>
      <c r="B132" t="s">
        <v>454</v>
      </c>
      <c r="C132">
        <v>41446.1971079047</v>
      </c>
      <c r="D132">
        <v>10854.988396996381</v>
      </c>
      <c r="E132">
        <v>23320.887004640317</v>
      </c>
      <c r="F132">
        <v>32157.95613618995</v>
      </c>
      <c r="G132">
        <v>107780.02864573135</v>
      </c>
      <c r="H132">
        <v>42589.015494390573</v>
      </c>
      <c r="I132">
        <v>11465.683212145384</v>
      </c>
      <c r="J132">
        <v>22238.386786640007</v>
      </c>
      <c r="K132">
        <v>30153.335750708444</v>
      </c>
      <c r="L132">
        <v>106446.42124388441</v>
      </c>
    </row>
    <row r="133" spans="1:12" x14ac:dyDescent="0.25">
      <c r="A133" t="s">
        <v>76</v>
      </c>
      <c r="B133" t="s">
        <v>30</v>
      </c>
      <c r="C133">
        <v>0</v>
      </c>
      <c r="D133">
        <v>1985.2836676261206</v>
      </c>
      <c r="E133">
        <v>0</v>
      </c>
      <c r="F133">
        <v>0</v>
      </c>
      <c r="G133">
        <v>1985.2836676261206</v>
      </c>
      <c r="H133">
        <v>0</v>
      </c>
      <c r="I133">
        <v>1875.9511433204098</v>
      </c>
      <c r="J133">
        <v>0</v>
      </c>
      <c r="K133">
        <v>0</v>
      </c>
      <c r="L133">
        <v>1875.9511433204098</v>
      </c>
    </row>
    <row r="134" spans="1:12" x14ac:dyDescent="0.25">
      <c r="A134" t="s">
        <v>455</v>
      </c>
      <c r="B134" t="s">
        <v>456</v>
      </c>
      <c r="C134">
        <v>71623.720276266133</v>
      </c>
      <c r="D134">
        <v>18190.999866069473</v>
      </c>
      <c r="E134">
        <v>43381.81107452741</v>
      </c>
      <c r="F134">
        <v>57163.873176635258</v>
      </c>
      <c r="G134">
        <v>190360.40439349826</v>
      </c>
      <c r="H134">
        <v>78224.722336635765</v>
      </c>
      <c r="I134">
        <v>21059.418144756826</v>
      </c>
      <c r="J134">
        <v>45563.993844469514</v>
      </c>
      <c r="K134">
        <v>61780.848481369801</v>
      </c>
      <c r="L134">
        <v>206628.98280723189</v>
      </c>
    </row>
    <row r="135" spans="1:12" x14ac:dyDescent="0.25">
      <c r="A135" t="s">
        <v>161</v>
      </c>
      <c r="B135" t="s">
        <v>162</v>
      </c>
      <c r="C135">
        <v>288426.75180354732</v>
      </c>
      <c r="D135">
        <v>0</v>
      </c>
      <c r="E135">
        <v>140202.62868930915</v>
      </c>
      <c r="F135">
        <v>193330.12430754534</v>
      </c>
      <c r="G135">
        <v>621959.50480040186</v>
      </c>
      <c r="H135">
        <v>302468.92636832502</v>
      </c>
      <c r="I135">
        <v>0</v>
      </c>
      <c r="J135">
        <v>145929.97815942677</v>
      </c>
      <c r="K135">
        <v>197868.47264381015</v>
      </c>
      <c r="L135">
        <v>646267.37717156194</v>
      </c>
    </row>
    <row r="136" spans="1:12" x14ac:dyDescent="0.25">
      <c r="A136" t="s">
        <v>457</v>
      </c>
      <c r="B136" t="s">
        <v>458</v>
      </c>
      <c r="C136">
        <v>164326.95190744323</v>
      </c>
      <c r="D136">
        <v>43297.443581113053</v>
      </c>
      <c r="E136">
        <v>106939.86526243553</v>
      </c>
      <c r="F136">
        <v>146990.77471667511</v>
      </c>
      <c r="G136">
        <v>461555.03546766692</v>
      </c>
      <c r="H136">
        <v>147894.2567166989</v>
      </c>
      <c r="I136">
        <v>38967.699223001749</v>
      </c>
      <c r="J136">
        <v>96245.878736191982</v>
      </c>
      <c r="K136">
        <v>132291.69724500761</v>
      </c>
      <c r="L136">
        <v>415399.53192090022</v>
      </c>
    </row>
    <row r="137" spans="1:12" x14ac:dyDescent="0.25">
      <c r="A137" t="s">
        <v>459</v>
      </c>
      <c r="B137" t="s">
        <v>460</v>
      </c>
      <c r="C137">
        <v>19632.409156375907</v>
      </c>
      <c r="D137">
        <v>5141.8366091035523</v>
      </c>
      <c r="E137">
        <v>15187.479207103177</v>
      </c>
      <c r="F137">
        <v>20942.526331187182</v>
      </c>
      <c r="G137">
        <v>60904.251303769823</v>
      </c>
      <c r="H137">
        <v>16687.547782919519</v>
      </c>
      <c r="I137">
        <v>4370.5611177380197</v>
      </c>
      <c r="J137">
        <v>12909.3573260377</v>
      </c>
      <c r="K137">
        <v>17801.147381509105</v>
      </c>
      <c r="L137">
        <v>51768.613608204338</v>
      </c>
    </row>
    <row r="138" spans="1:12" x14ac:dyDescent="0.25">
      <c r="A138" t="s">
        <v>284</v>
      </c>
      <c r="B138" t="s">
        <v>285</v>
      </c>
      <c r="C138">
        <v>103242.06402561882</v>
      </c>
      <c r="D138">
        <v>27202.582354626004</v>
      </c>
      <c r="E138">
        <v>57140.317723135166</v>
      </c>
      <c r="F138">
        <v>78540.397905578109</v>
      </c>
      <c r="G138">
        <v>266125.36200895812</v>
      </c>
      <c r="H138">
        <v>92917.857623056945</v>
      </c>
      <c r="I138">
        <v>24482.324119163404</v>
      </c>
      <c r="J138">
        <v>51426.28595082165</v>
      </c>
      <c r="K138">
        <v>70686.358115020295</v>
      </c>
      <c r="L138">
        <v>239512.82580806231</v>
      </c>
    </row>
    <row r="139" spans="1:12" x14ac:dyDescent="0.25">
      <c r="A139" t="s">
        <v>461</v>
      </c>
      <c r="B139" t="s">
        <v>462</v>
      </c>
      <c r="C139">
        <v>41368.872918188186</v>
      </c>
      <c r="D139">
        <v>10506.870612298748</v>
      </c>
      <c r="E139">
        <v>22525.324704684172</v>
      </c>
      <c r="F139">
        <v>29681.44419948291</v>
      </c>
      <c r="G139">
        <v>104082.51243465403</v>
      </c>
      <c r="H139">
        <v>35163.541980459959</v>
      </c>
      <c r="I139">
        <v>8930.8400204539357</v>
      </c>
      <c r="J139">
        <v>19146.525998981546</v>
      </c>
      <c r="K139">
        <v>25229.227569560473</v>
      </c>
      <c r="L139">
        <v>88470.135569455917</v>
      </c>
    </row>
    <row r="140" spans="1:12" x14ac:dyDescent="0.25">
      <c r="A140" t="s">
        <v>463</v>
      </c>
      <c r="B140" t="s">
        <v>464</v>
      </c>
      <c r="C140">
        <v>125611.17789783623</v>
      </c>
      <c r="D140">
        <v>33096.47519812829</v>
      </c>
      <c r="E140">
        <v>75763.265762064344</v>
      </c>
      <c r="F140">
        <v>104137.97606815456</v>
      </c>
      <c r="G140">
        <v>338608.89492618339</v>
      </c>
      <c r="H140">
        <v>113050.06010805261</v>
      </c>
      <c r="I140">
        <v>29786.827678315462</v>
      </c>
      <c r="J140">
        <v>68186.939185857918</v>
      </c>
      <c r="K140">
        <v>93724.178461339106</v>
      </c>
      <c r="L140">
        <v>304748.00543356512</v>
      </c>
    </row>
    <row r="141" spans="1:12" x14ac:dyDescent="0.25">
      <c r="A141" t="s">
        <v>163</v>
      </c>
      <c r="B141" t="s">
        <v>164</v>
      </c>
      <c r="C141">
        <v>1294827.5529879692</v>
      </c>
      <c r="D141">
        <v>0</v>
      </c>
      <c r="E141">
        <v>786902.80809757882</v>
      </c>
      <c r="F141">
        <v>1081612.1107422076</v>
      </c>
      <c r="G141">
        <v>3163342.4718277557</v>
      </c>
      <c r="H141">
        <v>1255941.3752937629</v>
      </c>
      <c r="I141">
        <v>0</v>
      </c>
      <c r="J141">
        <v>764035.69024849357</v>
      </c>
      <c r="K141">
        <v>1035966.5435546614</v>
      </c>
      <c r="L141">
        <v>3055943.6090969178</v>
      </c>
    </row>
    <row r="142" spans="1:12" x14ac:dyDescent="0.25">
      <c r="A142" t="s">
        <v>465</v>
      </c>
      <c r="B142" t="s">
        <v>466</v>
      </c>
      <c r="C142">
        <v>64526.290016011735</v>
      </c>
      <c r="D142">
        <v>0</v>
      </c>
      <c r="E142">
        <v>30867.003455710452</v>
      </c>
      <c r="F142">
        <v>42427.253297942247</v>
      </c>
      <c r="G142">
        <v>137820.54676966445</v>
      </c>
      <c r="H142">
        <v>54847.346513609977</v>
      </c>
      <c r="I142">
        <v>0</v>
      </c>
      <c r="J142">
        <v>26236.952937353883</v>
      </c>
      <c r="K142">
        <v>36063.165303250906</v>
      </c>
      <c r="L142">
        <v>117147.46475421476</v>
      </c>
    </row>
    <row r="143" spans="1:12" x14ac:dyDescent="0.25">
      <c r="A143" t="s">
        <v>165</v>
      </c>
      <c r="B143" t="s">
        <v>166</v>
      </c>
      <c r="C143">
        <v>887881.75062032172</v>
      </c>
      <c r="D143">
        <v>0</v>
      </c>
      <c r="E143">
        <v>494900.95540655777</v>
      </c>
      <c r="F143">
        <v>680250.2945436741</v>
      </c>
      <c r="G143">
        <v>2063033.0005705538</v>
      </c>
      <c r="H143">
        <v>777032.24187724851</v>
      </c>
      <c r="I143">
        <v>0</v>
      </c>
      <c r="J143">
        <v>420665.8120955741</v>
      </c>
      <c r="K143">
        <v>578212.75036212301</v>
      </c>
      <c r="L143">
        <v>1775910.8043349455</v>
      </c>
    </row>
    <row r="144" spans="1:12" x14ac:dyDescent="0.25">
      <c r="A144" t="s">
        <v>167</v>
      </c>
      <c r="B144" t="s">
        <v>168</v>
      </c>
      <c r="C144">
        <v>180673.61204483293</v>
      </c>
      <c r="D144">
        <v>0</v>
      </c>
      <c r="E144">
        <v>86427.609675989283</v>
      </c>
      <c r="F144">
        <v>118796.30923423827</v>
      </c>
      <c r="G144">
        <v>385897.5309550605</v>
      </c>
      <c r="H144">
        <v>153572.57023810799</v>
      </c>
      <c r="I144">
        <v>0</v>
      </c>
      <c r="J144">
        <v>73463.468224590892</v>
      </c>
      <c r="K144">
        <v>100976.86284910253</v>
      </c>
      <c r="L144">
        <v>328012.9013118014</v>
      </c>
    </row>
    <row r="145" spans="1:12" x14ac:dyDescent="0.25">
      <c r="A145" t="s">
        <v>169</v>
      </c>
      <c r="B145" t="s">
        <v>170</v>
      </c>
      <c r="C145">
        <v>126358.38650441123</v>
      </c>
      <c r="D145">
        <v>0</v>
      </c>
      <c r="E145">
        <v>0</v>
      </c>
      <c r="F145">
        <v>0</v>
      </c>
      <c r="G145">
        <v>126358.38650441123</v>
      </c>
      <c r="H145">
        <v>132112.86439076255</v>
      </c>
      <c r="I145">
        <v>0</v>
      </c>
      <c r="J145">
        <v>0</v>
      </c>
      <c r="K145">
        <v>0</v>
      </c>
      <c r="L145">
        <v>132112.86439076255</v>
      </c>
    </row>
    <row r="146" spans="1:12" x14ac:dyDescent="0.25">
      <c r="A146" t="s">
        <v>171</v>
      </c>
      <c r="B146" t="s">
        <v>172</v>
      </c>
      <c r="C146">
        <v>178952.91097773926</v>
      </c>
      <c r="D146">
        <v>0</v>
      </c>
      <c r="E146">
        <v>85604.489583837028</v>
      </c>
      <c r="F146">
        <v>117664.91581295978</v>
      </c>
      <c r="G146">
        <v>382222.31637453608</v>
      </c>
      <c r="H146">
        <v>187739.33360792574</v>
      </c>
      <c r="I146">
        <v>0</v>
      </c>
      <c r="J146">
        <v>90577.227823092529</v>
      </c>
      <c r="K146">
        <v>122814.91405477871</v>
      </c>
      <c r="L146">
        <v>401131.47548579698</v>
      </c>
    </row>
    <row r="147" spans="1:12" x14ac:dyDescent="0.25">
      <c r="A147" t="s">
        <v>467</v>
      </c>
      <c r="B147" t="s">
        <v>468</v>
      </c>
      <c r="C147">
        <v>71150.931113684783</v>
      </c>
      <c r="D147">
        <v>18499.812526317153</v>
      </c>
      <c r="E147">
        <v>34128.880920257703</v>
      </c>
      <c r="F147">
        <v>46491.291797766848</v>
      </c>
      <c r="G147">
        <v>170270.91635802647</v>
      </c>
      <c r="H147">
        <v>112122.1020158446</v>
      </c>
      <c r="I147">
        <v>30185.166007484779</v>
      </c>
      <c r="J147">
        <v>54094.733283235808</v>
      </c>
      <c r="K147">
        <v>73347.795893826187</v>
      </c>
      <c r="L147">
        <v>269749.79720039136</v>
      </c>
    </row>
    <row r="148" spans="1:12" x14ac:dyDescent="0.25">
      <c r="A148" t="s">
        <v>469</v>
      </c>
      <c r="B148" t="s">
        <v>470</v>
      </c>
      <c r="C148">
        <v>15486.309603842823</v>
      </c>
      <c r="D148">
        <v>4080.3873531938998</v>
      </c>
      <c r="E148">
        <v>9911.2096076078942</v>
      </c>
      <c r="F148">
        <v>13623.136470449468</v>
      </c>
      <c r="G148">
        <v>43101.043035094088</v>
      </c>
      <c r="H148">
        <v>13937.678643458541</v>
      </c>
      <c r="I148">
        <v>3672.3486178745097</v>
      </c>
      <c r="J148">
        <v>8920.0886468471053</v>
      </c>
      <c r="K148">
        <v>12260.822823404522</v>
      </c>
      <c r="L148">
        <v>38790.938731584683</v>
      </c>
    </row>
    <row r="149" spans="1:12" x14ac:dyDescent="0.25">
      <c r="A149" t="s">
        <v>173</v>
      </c>
      <c r="B149" t="s">
        <v>174</v>
      </c>
      <c r="C149">
        <v>374252.48209286825</v>
      </c>
      <c r="D149">
        <v>0</v>
      </c>
      <c r="E149">
        <v>179028.6200431207</v>
      </c>
      <c r="F149">
        <v>246078.06912806502</v>
      </c>
      <c r="G149">
        <v>799359.1712640539</v>
      </c>
      <c r="H149">
        <v>402422.73824291507</v>
      </c>
      <c r="I149">
        <v>0</v>
      </c>
      <c r="J149">
        <v>194153.96519486964</v>
      </c>
      <c r="K149">
        <v>263256.04262667848</v>
      </c>
      <c r="L149">
        <v>859832.74606446316</v>
      </c>
    </row>
    <row r="150" spans="1:12" x14ac:dyDescent="0.25">
      <c r="A150" t="s">
        <v>471</v>
      </c>
      <c r="B150" t="s">
        <v>472</v>
      </c>
      <c r="C150">
        <v>183254.6636454734</v>
      </c>
      <c r="D150">
        <v>48284.583679461124</v>
      </c>
      <c r="E150">
        <v>89255.891468629154</v>
      </c>
      <c r="F150">
        <v>122683.83359942214</v>
      </c>
      <c r="G150">
        <v>443478.97239298583</v>
      </c>
      <c r="H150">
        <v>155766.46409865239</v>
      </c>
      <c r="I150">
        <v>41041.896127541957</v>
      </c>
      <c r="J150">
        <v>75867.507748334785</v>
      </c>
      <c r="K150">
        <v>104281.25855950882</v>
      </c>
      <c r="L150">
        <v>376957.12653403799</v>
      </c>
    </row>
    <row r="151" spans="1:12" x14ac:dyDescent="0.25">
      <c r="A151" t="s">
        <v>473</v>
      </c>
      <c r="B151" t="s">
        <v>474</v>
      </c>
      <c r="C151">
        <v>45324.203854843152</v>
      </c>
      <c r="D151">
        <v>11870.659825955108</v>
      </c>
      <c r="E151">
        <v>25605.606656467629</v>
      </c>
      <c r="F151">
        <v>35308.432974070725</v>
      </c>
      <c r="G151">
        <v>118108.90331133662</v>
      </c>
      <c r="H151">
        <v>38525.573276616677</v>
      </c>
      <c r="I151">
        <v>10090.060852061843</v>
      </c>
      <c r="J151">
        <v>21764.765657997483</v>
      </c>
      <c r="K151">
        <v>30012.168027960117</v>
      </c>
      <c r="L151">
        <v>100392.56781463612</v>
      </c>
    </row>
    <row r="152" spans="1:12" x14ac:dyDescent="0.25">
      <c r="A152" t="s">
        <v>475</v>
      </c>
      <c r="B152" t="s">
        <v>476</v>
      </c>
      <c r="C152">
        <v>1185563.0352275227</v>
      </c>
      <c r="D152">
        <v>261034.05197684217</v>
      </c>
      <c r="E152">
        <v>708500.61932007421</v>
      </c>
      <c r="F152">
        <v>973846.88736543432</v>
      </c>
      <c r="G152">
        <v>3128944.5938898735</v>
      </c>
      <c r="H152">
        <v>1420213.2922006983</v>
      </c>
      <c r="I152">
        <v>382345.43609480723</v>
      </c>
      <c r="J152">
        <v>882918.30176630197</v>
      </c>
      <c r="K152">
        <v>1197161.1182515584</v>
      </c>
      <c r="L152">
        <v>3882638.1483133659</v>
      </c>
    </row>
    <row r="153" spans="1:12" x14ac:dyDescent="0.25">
      <c r="A153" t="s">
        <v>477</v>
      </c>
      <c r="B153" t="s">
        <v>478</v>
      </c>
      <c r="C153">
        <v>106683.46615980611</v>
      </c>
      <c r="D153">
        <v>28109.335099780204</v>
      </c>
      <c r="E153">
        <v>55693.066821108448</v>
      </c>
      <c r="F153">
        <v>76551.125422615267</v>
      </c>
      <c r="G153">
        <v>267036.99350331002</v>
      </c>
      <c r="H153">
        <v>90680.946235835188</v>
      </c>
      <c r="I153">
        <v>23892.934834813172</v>
      </c>
      <c r="J153">
        <v>47339.106797942179</v>
      </c>
      <c r="K153">
        <v>65068.456609222972</v>
      </c>
      <c r="L153">
        <v>226981.44447781352</v>
      </c>
    </row>
    <row r="154" spans="1:12" x14ac:dyDescent="0.25">
      <c r="A154" t="s">
        <v>479</v>
      </c>
      <c r="B154" t="s">
        <v>480</v>
      </c>
      <c r="C154">
        <v>228853.24192345503</v>
      </c>
      <c r="D154">
        <v>60299.057552754297</v>
      </c>
      <c r="E154">
        <v>157582.37008810914</v>
      </c>
      <c r="F154">
        <v>216599.81153050347</v>
      </c>
      <c r="G154">
        <v>663334.48109482194</v>
      </c>
      <c r="H154">
        <v>194525.25563493677</v>
      </c>
      <c r="I154">
        <v>51254.198919841154</v>
      </c>
      <c r="J154">
        <v>133945.01457489276</v>
      </c>
      <c r="K154">
        <v>184109.83980092793</v>
      </c>
      <c r="L154">
        <v>563834.30893059855</v>
      </c>
    </row>
    <row r="155" spans="1:12" x14ac:dyDescent="0.25">
      <c r="A155" t="s">
        <v>481</v>
      </c>
      <c r="B155" t="s">
        <v>482</v>
      </c>
      <c r="C155">
        <v>291173.67324929539</v>
      </c>
      <c r="D155">
        <v>76259.99645765101</v>
      </c>
      <c r="E155">
        <v>150916.49630401793</v>
      </c>
      <c r="F155">
        <v>208103.83701985318</v>
      </c>
      <c r="G155">
        <v>726454.00303081749</v>
      </c>
      <c r="H155">
        <v>247497.62226190107</v>
      </c>
      <c r="I155">
        <v>64820.996989003354</v>
      </c>
      <c r="J155">
        <v>128279.02185841523</v>
      </c>
      <c r="K155">
        <v>176888.26146687521</v>
      </c>
      <c r="L155">
        <v>617485.90257619484</v>
      </c>
    </row>
    <row r="156" spans="1:12" x14ac:dyDescent="0.25">
      <c r="A156" t="s">
        <v>175</v>
      </c>
      <c r="B156" t="s">
        <v>176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</row>
    <row r="157" spans="1:12" x14ac:dyDescent="0.25">
      <c r="A157" t="s">
        <v>483</v>
      </c>
      <c r="B157" t="s">
        <v>484</v>
      </c>
      <c r="C157">
        <v>801846.69726563944</v>
      </c>
      <c r="D157">
        <v>155521.93077018767</v>
      </c>
      <c r="E157">
        <v>433166.94849513663</v>
      </c>
      <c r="F157">
        <v>595395.7879477893</v>
      </c>
      <c r="G157">
        <v>1985931.3644787529</v>
      </c>
      <c r="H157">
        <v>788331.36843698495</v>
      </c>
      <c r="I157">
        <v>132193.6411546595</v>
      </c>
      <c r="J157">
        <v>425629.10296499496</v>
      </c>
      <c r="K157">
        <v>577116.37854444631</v>
      </c>
      <c r="L157">
        <v>1923270.4911010857</v>
      </c>
    </row>
    <row r="158" spans="1:12" x14ac:dyDescent="0.25">
      <c r="A158" t="s">
        <v>286</v>
      </c>
      <c r="B158" t="s">
        <v>287</v>
      </c>
      <c r="C158">
        <v>1996873.5883621771</v>
      </c>
      <c r="D158">
        <v>0</v>
      </c>
      <c r="E158">
        <v>1302793.325854019</v>
      </c>
      <c r="F158">
        <v>1790712.9375284822</v>
      </c>
      <c r="G158">
        <v>5090379.8517446779</v>
      </c>
      <c r="H158">
        <v>2138142.4105347102</v>
      </c>
      <c r="I158">
        <v>0</v>
      </c>
      <c r="J158">
        <v>1443993.9074482364</v>
      </c>
      <c r="K158">
        <v>1957931.2803131046</v>
      </c>
      <c r="L158">
        <v>5540067.5982960509</v>
      </c>
    </row>
    <row r="159" spans="1:12" x14ac:dyDescent="0.25">
      <c r="A159" t="s">
        <v>485</v>
      </c>
      <c r="B159" t="s">
        <v>486</v>
      </c>
      <c r="C159">
        <v>188416.76684675436</v>
      </c>
      <c r="D159">
        <v>0</v>
      </c>
      <c r="E159">
        <v>90131.65009067455</v>
      </c>
      <c r="F159">
        <v>123887.57962999133</v>
      </c>
      <c r="G159">
        <v>402435.9965674202</v>
      </c>
      <c r="H159">
        <v>160154.25181974118</v>
      </c>
      <c r="I159">
        <v>0</v>
      </c>
      <c r="J159">
        <v>76611.902577073372</v>
      </c>
      <c r="K159">
        <v>105304.44268549263</v>
      </c>
      <c r="L159">
        <v>342070.59708230721</v>
      </c>
    </row>
    <row r="160" spans="1:12" x14ac:dyDescent="0.25">
      <c r="A160" t="s">
        <v>487</v>
      </c>
      <c r="B160" t="s">
        <v>488</v>
      </c>
      <c r="C160">
        <v>65538.829396048022</v>
      </c>
      <c r="D160">
        <v>16645.558652458367</v>
      </c>
      <c r="E160">
        <v>29372.545979747349</v>
      </c>
      <c r="F160">
        <v>39780.615224872839</v>
      </c>
      <c r="G160">
        <v>151337.54925312658</v>
      </c>
      <c r="H160">
        <v>76486.395173599405</v>
      </c>
      <c r="I160">
        <v>14148.724854589611</v>
      </c>
      <c r="J160">
        <v>36901.833557556216</v>
      </c>
      <c r="K160">
        <v>50035.705726020962</v>
      </c>
      <c r="L160">
        <v>177572.65931176621</v>
      </c>
    </row>
    <row r="161" spans="1:12" x14ac:dyDescent="0.25">
      <c r="A161" t="s">
        <v>489</v>
      </c>
      <c r="B161" t="s">
        <v>490</v>
      </c>
      <c r="C161">
        <v>33290.802631173603</v>
      </c>
      <c r="D161">
        <v>0</v>
      </c>
      <c r="E161">
        <v>16023.157564492476</v>
      </c>
      <c r="F161">
        <v>22094.871349433746</v>
      </c>
      <c r="G161">
        <v>71408.83154509982</v>
      </c>
      <c r="H161">
        <v>34766.54326072699</v>
      </c>
      <c r="I161">
        <v>0</v>
      </c>
      <c r="J161">
        <v>16773.560707980087</v>
      </c>
      <c r="K161">
        <v>22743.5026027368</v>
      </c>
      <c r="L161">
        <v>74283.606571443874</v>
      </c>
    </row>
    <row r="162" spans="1:12" x14ac:dyDescent="0.25">
      <c r="A162" t="s">
        <v>491</v>
      </c>
      <c r="B162" t="s">
        <v>492</v>
      </c>
      <c r="C162">
        <v>60008.823143023299</v>
      </c>
      <c r="D162">
        <v>15602.775124573644</v>
      </c>
      <c r="E162">
        <v>40531.760618726796</v>
      </c>
      <c r="F162">
        <v>55711.636435643173</v>
      </c>
      <c r="G162">
        <v>171854.99532196691</v>
      </c>
      <c r="H162">
        <v>60841.45070627224</v>
      </c>
      <c r="I162">
        <v>16379.54744592198</v>
      </c>
      <c r="J162">
        <v>44224.310517674036</v>
      </c>
      <c r="K162">
        <v>59964.353357867432</v>
      </c>
      <c r="L162">
        <v>181409.6620277357</v>
      </c>
    </row>
    <row r="163" spans="1:12" x14ac:dyDescent="0.25">
      <c r="A163" t="s">
        <v>493</v>
      </c>
      <c r="B163" t="s">
        <v>494</v>
      </c>
      <c r="C163">
        <v>234875.69565828278</v>
      </c>
      <c r="D163">
        <v>61885.874856774142</v>
      </c>
      <c r="E163">
        <v>143377.85888625012</v>
      </c>
      <c r="F163">
        <v>197708.55611312875</v>
      </c>
      <c r="G163">
        <v>637847.9855144358</v>
      </c>
      <c r="H163">
        <v>241627.47566205272</v>
      </c>
      <c r="I163">
        <v>65050.202713804443</v>
      </c>
      <c r="J163">
        <v>133938.76927880064</v>
      </c>
      <c r="K163">
        <v>181609.42692689612</v>
      </c>
      <c r="L163">
        <v>622225.87458155397</v>
      </c>
    </row>
    <row r="164" spans="1:12" x14ac:dyDescent="0.25">
      <c r="A164" t="s">
        <v>495</v>
      </c>
      <c r="B164" t="s">
        <v>496</v>
      </c>
      <c r="C164">
        <v>183425.79488940752</v>
      </c>
      <c r="D164">
        <v>47692.177246744221</v>
      </c>
      <c r="E164">
        <v>85401.938378745821</v>
      </c>
      <c r="F164">
        <v>115663.84652000164</v>
      </c>
      <c r="G164">
        <v>432183.7570348992</v>
      </c>
      <c r="H164">
        <v>155911.9256559964</v>
      </c>
      <c r="I164">
        <v>40538.350659732583</v>
      </c>
      <c r="J164">
        <v>72591.647621933953</v>
      </c>
      <c r="K164">
        <v>98314.269542001392</v>
      </c>
      <c r="L164">
        <v>367356.19347966439</v>
      </c>
    </row>
    <row r="165" spans="1:12" x14ac:dyDescent="0.25">
      <c r="A165" t="s">
        <v>177</v>
      </c>
      <c r="B165" t="s">
        <v>178</v>
      </c>
      <c r="C165">
        <v>207392.56915397925</v>
      </c>
      <c r="D165">
        <v>0</v>
      </c>
      <c r="E165">
        <v>100812.36634326512</v>
      </c>
      <c r="F165">
        <v>139013.56557352067</v>
      </c>
      <c r="G165">
        <v>447218.50107076502</v>
      </c>
      <c r="H165">
        <v>216421.7317980256</v>
      </c>
      <c r="I165">
        <v>0</v>
      </c>
      <c r="J165">
        <v>104415.41540717609</v>
      </c>
      <c r="K165">
        <v>141578.30370203656</v>
      </c>
      <c r="L165">
        <v>462415.45090723824</v>
      </c>
    </row>
    <row r="166" spans="1:12" x14ac:dyDescent="0.25">
      <c r="A166" t="s">
        <v>497</v>
      </c>
      <c r="B166" t="s">
        <v>498</v>
      </c>
      <c r="C166">
        <v>137656.08536749179</v>
      </c>
      <c r="D166">
        <v>36270.109806167995</v>
      </c>
      <c r="E166">
        <v>82838.590005181162</v>
      </c>
      <c r="F166">
        <v>113863.13692669111</v>
      </c>
      <c r="G166">
        <v>370627.92210553202</v>
      </c>
      <c r="H166">
        <v>123890.47683074261</v>
      </c>
      <c r="I166">
        <v>32643.098825551195</v>
      </c>
      <c r="J166">
        <v>74554.731004663045</v>
      </c>
      <c r="K166">
        <v>102476.823234022</v>
      </c>
      <c r="L166">
        <v>333565.12989497883</v>
      </c>
    </row>
    <row r="167" spans="1:12" x14ac:dyDescent="0.25">
      <c r="A167" t="s">
        <v>499</v>
      </c>
      <c r="B167" t="s">
        <v>500</v>
      </c>
      <c r="C167">
        <v>356185.12088838493</v>
      </c>
      <c r="D167">
        <v>93848.909123459685</v>
      </c>
      <c r="E167">
        <v>191846.51363214594</v>
      </c>
      <c r="F167">
        <v>263696.49518707505</v>
      </c>
      <c r="G167">
        <v>905577.03883106564</v>
      </c>
      <c r="H167">
        <v>302757.35275512718</v>
      </c>
      <c r="I167">
        <v>79771.572754940731</v>
      </c>
      <c r="J167">
        <v>163069.53658732405</v>
      </c>
      <c r="K167">
        <v>224142.02090901378</v>
      </c>
      <c r="L167">
        <v>769740.48300640576</v>
      </c>
    </row>
    <row r="168" spans="1:12" x14ac:dyDescent="0.25">
      <c r="A168" t="s">
        <v>179</v>
      </c>
      <c r="B168" t="s">
        <v>180</v>
      </c>
      <c r="C168">
        <v>492120.50518878293</v>
      </c>
      <c r="D168">
        <v>0</v>
      </c>
      <c r="E168">
        <v>235412.3463555518</v>
      </c>
      <c r="F168">
        <v>323578.51848563948</v>
      </c>
      <c r="G168">
        <v>1051111.3700299743</v>
      </c>
      <c r="H168">
        <v>433712.62717756949</v>
      </c>
      <c r="I168">
        <v>0</v>
      </c>
      <c r="J168">
        <v>209250.16983205176</v>
      </c>
      <c r="K168">
        <v>283725.19496914151</v>
      </c>
      <c r="L168">
        <v>926687.99197876279</v>
      </c>
    </row>
    <row r="169" spans="1:12" x14ac:dyDescent="0.25">
      <c r="A169" t="s">
        <v>501</v>
      </c>
      <c r="B169" t="s">
        <v>502</v>
      </c>
      <c r="C169">
        <v>295100.23300656042</v>
      </c>
      <c r="D169">
        <v>72303.109848999302</v>
      </c>
      <c r="E169">
        <v>141165.09580411582</v>
      </c>
      <c r="F169">
        <v>194033.97174925587</v>
      </c>
      <c r="G169">
        <v>702602.41040893144</v>
      </c>
      <c r="H169">
        <v>323328.85232476116</v>
      </c>
      <c r="I169">
        <v>87045.594998328219</v>
      </c>
      <c r="J169">
        <v>155994.1145842149</v>
      </c>
      <c r="K169">
        <v>211514.5742054522</v>
      </c>
      <c r="L169">
        <v>777883.13611275645</v>
      </c>
    </row>
    <row r="170" spans="1:12" x14ac:dyDescent="0.25">
      <c r="A170" t="s">
        <v>503</v>
      </c>
      <c r="B170" t="s">
        <v>504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8691.6358151817476</v>
      </c>
      <c r="I170">
        <v>2339.9353494174252</v>
      </c>
      <c r="J170">
        <v>4839.4448346137633</v>
      </c>
      <c r="K170">
        <v>6561.870082806864</v>
      </c>
      <c r="L170">
        <v>22432.886082019799</v>
      </c>
    </row>
    <row r="171" spans="1:12" x14ac:dyDescent="0.25">
      <c r="A171" t="s">
        <v>181</v>
      </c>
      <c r="B171" t="s">
        <v>182</v>
      </c>
      <c r="C171">
        <v>1296548.2540550628</v>
      </c>
      <c r="D171">
        <v>0</v>
      </c>
      <c r="E171">
        <v>798988.07563776523</v>
      </c>
      <c r="F171">
        <v>1101751.5536431181</v>
      </c>
      <c r="G171">
        <v>3197287.8833359461</v>
      </c>
      <c r="H171">
        <v>1397615.0390812259</v>
      </c>
      <c r="I171">
        <v>0</v>
      </c>
      <c r="J171">
        <v>866564.08007602161</v>
      </c>
      <c r="K171">
        <v>1174986.2032138899</v>
      </c>
      <c r="L171">
        <v>3439165.3223711373</v>
      </c>
    </row>
    <row r="172" spans="1:12" x14ac:dyDescent="0.25">
      <c r="A172" t="s">
        <v>505</v>
      </c>
      <c r="B172" t="s">
        <v>506</v>
      </c>
      <c r="C172">
        <v>60224.537348277634</v>
      </c>
      <c r="D172">
        <v>15868.173040198501</v>
      </c>
      <c r="E172">
        <v>46507.571331747757</v>
      </c>
      <c r="F172">
        <v>63925.496104453719</v>
      </c>
      <c r="G172">
        <v>186525.77782467761</v>
      </c>
      <c r="H172">
        <v>54202.083613449875</v>
      </c>
      <c r="I172">
        <v>14281.355736178652</v>
      </c>
      <c r="J172">
        <v>41856.814198572982</v>
      </c>
      <c r="K172">
        <v>57532.946494008349</v>
      </c>
      <c r="L172">
        <v>167873.20004220985</v>
      </c>
    </row>
    <row r="173" spans="1:12" x14ac:dyDescent="0.25">
      <c r="A173" t="s">
        <v>183</v>
      </c>
      <c r="B173" t="s">
        <v>184</v>
      </c>
      <c r="C173">
        <v>872395.4410164787</v>
      </c>
      <c r="D173">
        <v>0</v>
      </c>
      <c r="E173">
        <v>0</v>
      </c>
      <c r="F173">
        <v>0</v>
      </c>
      <c r="G173">
        <v>872395.4410164787</v>
      </c>
      <c r="H173">
        <v>909145.1062680115</v>
      </c>
      <c r="I173">
        <v>0</v>
      </c>
      <c r="J173">
        <v>0</v>
      </c>
      <c r="K173">
        <v>0</v>
      </c>
      <c r="L173">
        <v>909145.1062680115</v>
      </c>
    </row>
    <row r="174" spans="1:12" x14ac:dyDescent="0.25">
      <c r="A174" t="s">
        <v>185</v>
      </c>
      <c r="B174" t="s">
        <v>186</v>
      </c>
      <c r="C174">
        <v>384569.00240472978</v>
      </c>
      <c r="D174">
        <v>0</v>
      </c>
      <c r="E174">
        <v>186936.83825241221</v>
      </c>
      <c r="F174">
        <v>257773.49907672699</v>
      </c>
      <c r="G174">
        <v>829279.33973386895</v>
      </c>
      <c r="H174">
        <v>499769.05937295075</v>
      </c>
      <c r="I174">
        <v>0</v>
      </c>
      <c r="J174">
        <v>241119.93517721377</v>
      </c>
      <c r="K174">
        <v>326937.84991434147</v>
      </c>
      <c r="L174">
        <v>1067826.844464506</v>
      </c>
    </row>
    <row r="175" spans="1:12" x14ac:dyDescent="0.25">
      <c r="A175" t="s">
        <v>187</v>
      </c>
      <c r="B175" t="s">
        <v>188</v>
      </c>
      <c r="C175">
        <v>14625.959070295998</v>
      </c>
      <c r="D175">
        <v>0</v>
      </c>
      <c r="E175">
        <v>6996.5207832943697</v>
      </c>
      <c r="F175">
        <v>9616.8440808669056</v>
      </c>
      <c r="G175">
        <v>31239.323934457272</v>
      </c>
      <c r="H175">
        <v>0</v>
      </c>
      <c r="I175">
        <v>0</v>
      </c>
      <c r="J175">
        <v>0</v>
      </c>
      <c r="K175">
        <v>0</v>
      </c>
      <c r="L175">
        <v>0</v>
      </c>
    </row>
    <row r="176" spans="1:12" x14ac:dyDescent="0.25">
      <c r="A176" t="s">
        <v>507</v>
      </c>
      <c r="B176" t="s">
        <v>508</v>
      </c>
      <c r="C176">
        <v>96359.259757244217</v>
      </c>
      <c r="D176">
        <v>25389.076864317609</v>
      </c>
      <c r="E176">
        <v>62884.831690261322</v>
      </c>
      <c r="F176">
        <v>86436.336023009426</v>
      </c>
      <c r="G176">
        <v>271069.5043348326</v>
      </c>
      <c r="H176">
        <v>86723.333781519803</v>
      </c>
      <c r="I176">
        <v>22850.169177885848</v>
      </c>
      <c r="J176">
        <v>56596.348521235188</v>
      </c>
      <c r="K176">
        <v>77792.702420708491</v>
      </c>
      <c r="L176">
        <v>243962.55390134934</v>
      </c>
    </row>
    <row r="177" spans="1:12" x14ac:dyDescent="0.25">
      <c r="A177" t="s">
        <v>509</v>
      </c>
      <c r="B177" t="s">
        <v>510</v>
      </c>
      <c r="C177">
        <v>166047.6529745369</v>
      </c>
      <c r="D177">
        <v>43750.819953690137</v>
      </c>
      <c r="E177">
        <v>88653.346983171388</v>
      </c>
      <c r="F177">
        <v>121855.62533021074</v>
      </c>
      <c r="G177">
        <v>420307.44524160918</v>
      </c>
      <c r="H177">
        <v>170356.06197756229</v>
      </c>
      <c r="I177">
        <v>45862.732848581538</v>
      </c>
      <c r="J177">
        <v>93706.52427572415</v>
      </c>
      <c r="K177">
        <v>127057.9703297235</v>
      </c>
      <c r="L177">
        <v>436983.28943159146</v>
      </c>
    </row>
    <row r="178" spans="1:12" x14ac:dyDescent="0.25">
      <c r="A178" t="s">
        <v>511</v>
      </c>
      <c r="B178" t="s">
        <v>512</v>
      </c>
      <c r="C178">
        <v>169489.05510872419</v>
      </c>
      <c r="D178">
        <v>44657.572698844357</v>
      </c>
      <c r="E178">
        <v>125910.41691628068</v>
      </c>
      <c r="F178">
        <v>173066.14032105749</v>
      </c>
      <c r="G178">
        <v>513123.18504490668</v>
      </c>
      <c r="H178">
        <v>152540.14959785176</v>
      </c>
      <c r="I178">
        <v>40191.815428959919</v>
      </c>
      <c r="J178">
        <v>113319.37522465261</v>
      </c>
      <c r="K178">
        <v>155759.52628895175</v>
      </c>
      <c r="L178">
        <v>461810.86654041603</v>
      </c>
    </row>
    <row r="179" spans="1:12" x14ac:dyDescent="0.25">
      <c r="A179" t="s">
        <v>288</v>
      </c>
      <c r="B179" t="s">
        <v>289</v>
      </c>
      <c r="C179">
        <v>28155.944818917713</v>
      </c>
      <c r="D179">
        <v>0</v>
      </c>
      <c r="E179">
        <v>13686.447086337319</v>
      </c>
      <c r="F179">
        <v>18872.702610974666</v>
      </c>
      <c r="G179">
        <v>60715.094516229699</v>
      </c>
      <c r="H179">
        <v>39112.361168317882</v>
      </c>
      <c r="I179">
        <v>0</v>
      </c>
      <c r="J179">
        <v>18870.255796477602</v>
      </c>
      <c r="K179">
        <v>25586.440428078899</v>
      </c>
      <c r="L179">
        <v>83569.057392874383</v>
      </c>
    </row>
    <row r="180" spans="1:12" x14ac:dyDescent="0.25">
      <c r="A180" t="s">
        <v>513</v>
      </c>
      <c r="B180" t="s">
        <v>514</v>
      </c>
      <c r="C180">
        <v>189540.06334198822</v>
      </c>
      <c r="D180">
        <v>49281.936064202098</v>
      </c>
      <c r="E180">
        <v>119657.10538548001</v>
      </c>
      <c r="F180">
        <v>162057.22416926097</v>
      </c>
      <c r="G180">
        <v>520536.32896093128</v>
      </c>
      <c r="H180">
        <v>170586.05700778941</v>
      </c>
      <c r="I180">
        <v>44353.742457781889</v>
      </c>
      <c r="J180">
        <v>107691.39484693202</v>
      </c>
      <c r="K180">
        <v>145851.50175233488</v>
      </c>
      <c r="L180">
        <v>468482.69606483821</v>
      </c>
    </row>
    <row r="181" spans="1:12" x14ac:dyDescent="0.25">
      <c r="A181" t="s">
        <v>189</v>
      </c>
      <c r="B181" t="s">
        <v>190</v>
      </c>
      <c r="C181">
        <v>938642.43209958449</v>
      </c>
      <c r="D181">
        <v>0</v>
      </c>
      <c r="E181">
        <v>531324.01948429598</v>
      </c>
      <c r="F181">
        <v>730314.45343524578</v>
      </c>
      <c r="G181">
        <v>2200280.9050191264</v>
      </c>
      <c r="H181">
        <v>797429.69839450764</v>
      </c>
      <c r="I181">
        <v>0</v>
      </c>
      <c r="J181">
        <v>451389.72852461907</v>
      </c>
      <c r="K181">
        <v>620443.32795966254</v>
      </c>
      <c r="L181">
        <v>1869262.7548787892</v>
      </c>
    </row>
    <row r="182" spans="1:12" x14ac:dyDescent="0.25">
      <c r="A182" t="s">
        <v>515</v>
      </c>
      <c r="B182" t="s">
        <v>516</v>
      </c>
      <c r="C182">
        <v>362248.38360727491</v>
      </c>
      <c r="D182">
        <v>94187.483983706727</v>
      </c>
      <c r="E182">
        <v>234856.15125787447</v>
      </c>
      <c r="F182">
        <v>318076.68946457456</v>
      </c>
      <c r="G182">
        <v>1009368.7083134307</v>
      </c>
      <c r="H182">
        <v>341581.28753664275</v>
      </c>
      <c r="I182">
        <v>91959.45923210484</v>
      </c>
      <c r="J182">
        <v>211370.53613208703</v>
      </c>
      <c r="K182">
        <v>286269.02051811712</v>
      </c>
      <c r="L182">
        <v>931180.30341895169</v>
      </c>
    </row>
    <row r="183" spans="1:12" x14ac:dyDescent="0.25">
      <c r="A183" t="s">
        <v>517</v>
      </c>
      <c r="B183" t="s">
        <v>518</v>
      </c>
      <c r="C183">
        <v>110985.21882754021</v>
      </c>
      <c r="D183">
        <v>26259.338402870399</v>
      </c>
      <c r="E183">
        <v>53091.245943821988</v>
      </c>
      <c r="F183">
        <v>72974.875672460665</v>
      </c>
      <c r="G183">
        <v>263310.67884669325</v>
      </c>
      <c r="H183">
        <v>101692.13903762648</v>
      </c>
      <c r="I183">
        <v>22320.43764243984</v>
      </c>
      <c r="J183">
        <v>49062.665070841795</v>
      </c>
      <c r="K183">
        <v>66524.745113005134</v>
      </c>
      <c r="L183">
        <v>239599.98686391325</v>
      </c>
    </row>
    <row r="184" spans="1:12" x14ac:dyDescent="0.25">
      <c r="A184" t="s">
        <v>519</v>
      </c>
      <c r="B184" t="s">
        <v>520</v>
      </c>
      <c r="C184">
        <v>16346.660137389648</v>
      </c>
      <c r="D184">
        <v>4307.0755394824473</v>
      </c>
      <c r="E184">
        <v>12429.010501487892</v>
      </c>
      <c r="F184">
        <v>17083.89923712708</v>
      </c>
      <c r="G184">
        <v>50166.645415487066</v>
      </c>
      <c r="H184">
        <v>20859.925956436204</v>
      </c>
      <c r="I184">
        <v>5615.8448386018226</v>
      </c>
      <c r="J184">
        <v>19264.801394755621</v>
      </c>
      <c r="K184">
        <v>26121.410253362646</v>
      </c>
      <c r="L184">
        <v>71861.982443156288</v>
      </c>
    </row>
    <row r="185" spans="1:12" x14ac:dyDescent="0.25">
      <c r="A185" t="s">
        <v>521</v>
      </c>
      <c r="B185" t="s">
        <v>522</v>
      </c>
      <c r="C185">
        <v>67967.692150199073</v>
      </c>
      <c r="D185">
        <v>0</v>
      </c>
      <c r="E185">
        <v>32513.243640015011</v>
      </c>
      <c r="F185">
        <v>44690.040140499143</v>
      </c>
      <c r="G185">
        <v>145170.97593071323</v>
      </c>
      <c r="H185">
        <v>73009.740847526671</v>
      </c>
      <c r="I185">
        <v>0</v>
      </c>
      <c r="J185">
        <v>35224.477486758195</v>
      </c>
      <c r="K185">
        <v>47761.355465747271</v>
      </c>
      <c r="L185">
        <v>155995.57380003214</v>
      </c>
    </row>
    <row r="186" spans="1:12" x14ac:dyDescent="0.25">
      <c r="A186" t="s">
        <v>290</v>
      </c>
      <c r="B186" t="s">
        <v>291</v>
      </c>
      <c r="C186">
        <v>18927.711738030121</v>
      </c>
      <c r="D186">
        <v>0</v>
      </c>
      <c r="E186">
        <v>9054.3210136750695</v>
      </c>
      <c r="F186">
        <v>12445.327634063058</v>
      </c>
      <c r="G186">
        <v>40427.360385768246</v>
      </c>
      <c r="H186">
        <v>16088.554977325603</v>
      </c>
      <c r="I186">
        <v>0</v>
      </c>
      <c r="J186">
        <v>7696.1728616238088</v>
      </c>
      <c r="K186">
        <v>10578.5284889536</v>
      </c>
      <c r="L186">
        <v>34363.256327903007</v>
      </c>
    </row>
    <row r="187" spans="1:12" x14ac:dyDescent="0.25">
      <c r="A187" t="s">
        <v>523</v>
      </c>
      <c r="B187" t="s">
        <v>524</v>
      </c>
      <c r="C187">
        <v>30972.619207685646</v>
      </c>
      <c r="D187">
        <v>8160.7747063877996</v>
      </c>
      <c r="E187">
        <v>22149.173935707247</v>
      </c>
      <c r="F187">
        <v>30444.439294497824</v>
      </c>
      <c r="G187">
        <v>91727.007144278527</v>
      </c>
      <c r="H187">
        <v>39112.361168317882</v>
      </c>
      <c r="I187">
        <v>10529.709072378413</v>
      </c>
      <c r="J187">
        <v>33587.482796413766</v>
      </c>
      <c r="K187">
        <v>45541.731758611437</v>
      </c>
      <c r="L187">
        <v>128771.2847957215</v>
      </c>
    </row>
    <row r="188" spans="1:12" x14ac:dyDescent="0.25">
      <c r="A188" t="s">
        <v>525</v>
      </c>
      <c r="B188" t="s">
        <v>526</v>
      </c>
      <c r="C188">
        <v>51145.731377996824</v>
      </c>
      <c r="D188">
        <v>13298.300207800568</v>
      </c>
      <c r="E188">
        <v>25741.675201066904</v>
      </c>
      <c r="F188">
        <v>34863.15681055926</v>
      </c>
      <c r="G188">
        <v>125048.86359742355</v>
      </c>
      <c r="H188">
        <v>43473.871671297296</v>
      </c>
      <c r="I188">
        <v>11303.555176630483</v>
      </c>
      <c r="J188">
        <v>21880.423920906869</v>
      </c>
      <c r="K188">
        <v>29633.683288975371</v>
      </c>
      <c r="L188">
        <v>106291.53405781001</v>
      </c>
    </row>
    <row r="189" spans="1:12" x14ac:dyDescent="0.25">
      <c r="A189" t="s">
        <v>527</v>
      </c>
      <c r="B189" t="s">
        <v>528</v>
      </c>
      <c r="C189">
        <v>221699.26327839165</v>
      </c>
      <c r="D189">
        <v>57643.585876897057</v>
      </c>
      <c r="E189">
        <v>195219.57189374111</v>
      </c>
      <c r="F189">
        <v>264395.0129220672</v>
      </c>
      <c r="G189">
        <v>738957.43397109699</v>
      </c>
      <c r="H189">
        <v>199529.33695055248</v>
      </c>
      <c r="I189">
        <v>51879.227289207352</v>
      </c>
      <c r="J189">
        <v>175697.61470436701</v>
      </c>
      <c r="K189">
        <v>237955.51162986047</v>
      </c>
      <c r="L189">
        <v>665061.69057398732</v>
      </c>
    </row>
    <row r="190" spans="1:12" x14ac:dyDescent="0.25">
      <c r="A190" t="s">
        <v>292</v>
      </c>
      <c r="B190" t="s">
        <v>293</v>
      </c>
      <c r="C190">
        <v>148840.64230360044</v>
      </c>
      <c r="D190">
        <v>0</v>
      </c>
      <c r="E190">
        <v>71199.887971172124</v>
      </c>
      <c r="F190">
        <v>97865.530940586759</v>
      </c>
      <c r="G190">
        <v>317906.06121535931</v>
      </c>
      <c r="H190">
        <v>146888.64527657157</v>
      </c>
      <c r="I190">
        <v>0</v>
      </c>
      <c r="J190">
        <v>70868.293991215905</v>
      </c>
      <c r="K190">
        <v>96091.298496562973</v>
      </c>
      <c r="L190">
        <v>313848.23776435043</v>
      </c>
    </row>
    <row r="191" spans="1:12" x14ac:dyDescent="0.25">
      <c r="A191" t="s">
        <v>529</v>
      </c>
      <c r="B191" t="s">
        <v>530</v>
      </c>
      <c r="C191">
        <v>652959.38601576176</v>
      </c>
      <c r="D191">
        <v>171013.67685092546</v>
      </c>
      <c r="E191">
        <v>362946.4858778714</v>
      </c>
      <c r="F191">
        <v>500479.12715852086</v>
      </c>
      <c r="G191">
        <v>1687398.6759030796</v>
      </c>
      <c r="H191">
        <v>784854.71411091217</v>
      </c>
      <c r="I191">
        <v>211296.16205239348</v>
      </c>
      <c r="J191">
        <v>440397.55222594301</v>
      </c>
      <c r="K191">
        <v>597141.12284605182</v>
      </c>
      <c r="L191">
        <v>2033689.5512353005</v>
      </c>
    </row>
    <row r="192" spans="1:12" x14ac:dyDescent="0.25">
      <c r="A192" t="s">
        <v>531</v>
      </c>
      <c r="B192" t="s">
        <v>532</v>
      </c>
      <c r="C192">
        <v>9513.5939129183298</v>
      </c>
      <c r="D192">
        <v>2473.6106904811863</v>
      </c>
      <c r="E192">
        <v>5079.7004827414748</v>
      </c>
      <c r="F192">
        <v>6879.6763651632755</v>
      </c>
      <c r="G192">
        <v>23946.581451304268</v>
      </c>
      <c r="H192">
        <v>0</v>
      </c>
      <c r="I192">
        <v>2102.5690869090085</v>
      </c>
      <c r="J192">
        <v>0</v>
      </c>
      <c r="K192">
        <v>0</v>
      </c>
      <c r="L192">
        <v>2102.5690869090085</v>
      </c>
    </row>
    <row r="193" spans="1:12" x14ac:dyDescent="0.25">
      <c r="A193" t="s">
        <v>533</v>
      </c>
      <c r="B193" t="s">
        <v>534</v>
      </c>
      <c r="C193">
        <v>15794.798313051404</v>
      </c>
      <c r="D193">
        <v>0</v>
      </c>
      <c r="E193">
        <v>0</v>
      </c>
      <c r="F193">
        <v>0</v>
      </c>
      <c r="G193">
        <v>15794.798313051404</v>
      </c>
      <c r="H193">
        <v>13425.578566093693</v>
      </c>
      <c r="I193">
        <v>0</v>
      </c>
      <c r="J193">
        <v>0</v>
      </c>
      <c r="K193">
        <v>0</v>
      </c>
      <c r="L193">
        <v>13425.578566093693</v>
      </c>
    </row>
    <row r="194" spans="1:12" x14ac:dyDescent="0.25">
      <c r="A194" t="s">
        <v>651</v>
      </c>
      <c r="B194" t="s">
        <v>652</v>
      </c>
      <c r="C194">
        <v>866900.40070897446</v>
      </c>
      <c r="D194">
        <v>214313.73646299259</v>
      </c>
      <c r="E194">
        <v>412754.15017507272</v>
      </c>
      <c r="F194">
        <v>548377.30802943988</v>
      </c>
      <c r="G194">
        <v>2042345.5953764794</v>
      </c>
      <c r="H194">
        <v>823555.38067352574</v>
      </c>
      <c r="I194">
        <v>203598.04963984294</v>
      </c>
      <c r="J194">
        <v>392116.44266631908</v>
      </c>
      <c r="K194">
        <v>520958.44262796786</v>
      </c>
      <c r="L194">
        <v>1940228.3156076556</v>
      </c>
    </row>
    <row r="195" spans="1:12" x14ac:dyDescent="0.25">
      <c r="A195" t="s">
        <v>535</v>
      </c>
      <c r="B195" t="s">
        <v>536</v>
      </c>
      <c r="C195">
        <v>2082908.6417168598</v>
      </c>
      <c r="D195">
        <v>431199.23366368335</v>
      </c>
      <c r="E195">
        <v>1385105.3350692478</v>
      </c>
      <c r="F195">
        <v>1903852.279656328</v>
      </c>
      <c r="G195">
        <v>5803065.4901061188</v>
      </c>
      <c r="H195">
        <v>2774370.1522060158</v>
      </c>
      <c r="I195">
        <v>746907.36353404226</v>
      </c>
      <c r="J195">
        <v>2057906.229360308</v>
      </c>
      <c r="K195">
        <v>2790343.4755732715</v>
      </c>
      <c r="L195">
        <v>8369527.2206736375</v>
      </c>
    </row>
    <row r="196" spans="1:12" x14ac:dyDescent="0.25">
      <c r="A196" t="s">
        <v>537</v>
      </c>
      <c r="B196" t="s">
        <v>538</v>
      </c>
      <c r="C196">
        <v>44387.736841564809</v>
      </c>
      <c r="D196">
        <v>11541.167447610704</v>
      </c>
      <c r="E196">
        <v>27961.209980039668</v>
      </c>
      <c r="F196">
        <v>37869.176754537511</v>
      </c>
      <c r="G196">
        <v>121759.29102375268</v>
      </c>
      <c r="H196">
        <v>37729.576315330087</v>
      </c>
      <c r="I196">
        <v>9809.9923304690983</v>
      </c>
      <c r="J196">
        <v>23767.028483033719</v>
      </c>
      <c r="K196">
        <v>32188.800241356883</v>
      </c>
      <c r="L196">
        <v>103495.39737018978</v>
      </c>
    </row>
    <row r="197" spans="1:12" x14ac:dyDescent="0.25">
      <c r="A197" t="s">
        <v>191</v>
      </c>
      <c r="B197" t="s">
        <v>192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</row>
    <row r="198" spans="1:12" x14ac:dyDescent="0.25">
      <c r="A198" t="s">
        <v>294</v>
      </c>
      <c r="B198" t="s">
        <v>295</v>
      </c>
      <c r="C198">
        <v>28068.715943930685</v>
      </c>
      <c r="D198">
        <v>0</v>
      </c>
      <c r="E198">
        <v>12757.7724962539</v>
      </c>
      <c r="F198">
        <v>17278.449037065977</v>
      </c>
      <c r="G198">
        <v>58104.937477250562</v>
      </c>
      <c r="H198">
        <v>23858.408552341083</v>
      </c>
      <c r="I198">
        <v>0</v>
      </c>
      <c r="J198">
        <v>10844.106621815814</v>
      </c>
      <c r="K198">
        <v>14686.681681506079</v>
      </c>
      <c r="L198">
        <v>49389.19685566298</v>
      </c>
    </row>
    <row r="199" spans="1:12" x14ac:dyDescent="0.25">
      <c r="A199" t="s">
        <v>193</v>
      </c>
      <c r="B199" t="s">
        <v>194</v>
      </c>
      <c r="C199">
        <v>459427.18491400371</v>
      </c>
      <c r="D199">
        <v>0</v>
      </c>
      <c r="E199">
        <v>0</v>
      </c>
      <c r="F199">
        <v>0</v>
      </c>
      <c r="G199">
        <v>459427.18491400371</v>
      </c>
      <c r="H199">
        <v>454572.55313400575</v>
      </c>
      <c r="I199">
        <v>0</v>
      </c>
      <c r="J199">
        <v>0</v>
      </c>
      <c r="K199">
        <v>0</v>
      </c>
      <c r="L199">
        <v>454572.55313400575</v>
      </c>
    </row>
    <row r="200" spans="1:12" x14ac:dyDescent="0.25">
      <c r="A200" t="s">
        <v>83</v>
      </c>
      <c r="B200" t="s">
        <v>1398</v>
      </c>
      <c r="C200">
        <v>16501.837971525518</v>
      </c>
      <c r="D200">
        <v>0</v>
      </c>
      <c r="E200">
        <v>9506.4184457192769</v>
      </c>
      <c r="F200">
        <v>13108.720407113116</v>
      </c>
      <c r="G200">
        <v>39116.976824357916</v>
      </c>
      <c r="H200">
        <v>20470.243692138225</v>
      </c>
      <c r="I200">
        <v>0</v>
      </c>
      <c r="J200">
        <v>11689.466183766552</v>
      </c>
      <c r="K200">
        <v>15849.908627248995</v>
      </c>
      <c r="L200">
        <v>48009.618503153775</v>
      </c>
    </row>
    <row r="201" spans="1:12" x14ac:dyDescent="0.25">
      <c r="A201" t="s">
        <v>539</v>
      </c>
      <c r="B201" t="s">
        <v>540</v>
      </c>
      <c r="C201">
        <v>170995.85999781726</v>
      </c>
      <c r="D201">
        <v>44784.762070648816</v>
      </c>
      <c r="E201">
        <v>86794.640474281914</v>
      </c>
      <c r="F201">
        <v>119684.0514973964</v>
      </c>
      <c r="G201">
        <v>422259.31404014444</v>
      </c>
      <c r="H201">
        <v>146888.64527657157</v>
      </c>
      <c r="I201">
        <v>38067.047760051493</v>
      </c>
      <c r="J201">
        <v>73775.444403139627</v>
      </c>
      <c r="K201">
        <v>101731.44377278694</v>
      </c>
      <c r="L201">
        <v>360462.58121254964</v>
      </c>
    </row>
    <row r="202" spans="1:12" x14ac:dyDescent="0.25">
      <c r="A202" t="s">
        <v>541</v>
      </c>
      <c r="B202" t="s">
        <v>542</v>
      </c>
      <c r="C202">
        <v>55922.78468054354</v>
      </c>
      <c r="D202">
        <v>14734.732108755747</v>
      </c>
      <c r="E202">
        <v>28684.726889394035</v>
      </c>
      <c r="F202">
        <v>39427.674774613268</v>
      </c>
      <c r="G202">
        <v>138769.9184533066</v>
      </c>
      <c r="H202">
        <v>51280.651309572335</v>
      </c>
      <c r="I202">
        <v>13805.618561562811</v>
      </c>
      <c r="J202">
        <v>25816.25420045463</v>
      </c>
      <c r="K202">
        <v>35484.907297151942</v>
      </c>
      <c r="L202">
        <v>126387.43136874173</v>
      </c>
    </row>
    <row r="203" spans="1:12" x14ac:dyDescent="0.25">
      <c r="A203" t="s">
        <v>543</v>
      </c>
      <c r="B203" t="s">
        <v>544</v>
      </c>
      <c r="C203">
        <v>511908.56746036001</v>
      </c>
      <c r="D203">
        <v>127771.50605062442</v>
      </c>
      <c r="E203">
        <v>244878.22741530291</v>
      </c>
      <c r="F203">
        <v>336589.54283034179</v>
      </c>
      <c r="G203">
        <v>1221147.8437566292</v>
      </c>
      <c r="H203">
        <v>527582.2939815321</v>
      </c>
      <c r="I203">
        <v>108605.78014303076</v>
      </c>
      <c r="J203">
        <v>254538.78374359789</v>
      </c>
      <c r="K203">
        <v>345132.65199653088</v>
      </c>
      <c r="L203">
        <v>1235859.5098646916</v>
      </c>
    </row>
    <row r="204" spans="1:12" x14ac:dyDescent="0.25">
      <c r="A204" t="s">
        <v>545</v>
      </c>
      <c r="B204" t="s">
        <v>546</v>
      </c>
      <c r="C204">
        <v>184730.46722655772</v>
      </c>
      <c r="D204">
        <v>48381.931714877639</v>
      </c>
      <c r="E204">
        <v>103432.00238795746</v>
      </c>
      <c r="F204">
        <v>142625.86989973413</v>
      </c>
      <c r="G204">
        <v>479170.27122912696</v>
      </c>
      <c r="H204">
        <v>196430.96942310754</v>
      </c>
      <c r="I204">
        <v>52882.538896833801</v>
      </c>
      <c r="J204">
        <v>101903.88919541935</v>
      </c>
      <c r="K204">
        <v>138172.89062795055</v>
      </c>
      <c r="L204">
        <v>489390.28814331128</v>
      </c>
    </row>
    <row r="205" spans="1:12" x14ac:dyDescent="0.25">
      <c r="A205" t="s">
        <v>547</v>
      </c>
      <c r="B205" t="s">
        <v>548</v>
      </c>
      <c r="C205">
        <v>39576.124543153885</v>
      </c>
      <c r="D205">
        <v>0</v>
      </c>
      <c r="E205">
        <v>18931.762119502415</v>
      </c>
      <c r="F205">
        <v>26022.048689404583</v>
      </c>
      <c r="G205">
        <v>84529.935352060886</v>
      </c>
      <c r="H205">
        <v>59972.287124754082</v>
      </c>
      <c r="I205">
        <v>16145.553910980238</v>
      </c>
      <c r="J205">
        <v>33681.26796772227</v>
      </c>
      <c r="K205">
        <v>45668.896367538982</v>
      </c>
      <c r="L205">
        <v>155468.00537099558</v>
      </c>
    </row>
    <row r="206" spans="1:12" x14ac:dyDescent="0.25">
      <c r="A206" t="s">
        <v>77</v>
      </c>
      <c r="B206" t="s">
        <v>34</v>
      </c>
      <c r="C206">
        <v>55061.668497709215</v>
      </c>
      <c r="D206">
        <v>14507.842186498488</v>
      </c>
      <c r="E206">
        <v>46405.322580160318</v>
      </c>
      <c r="F206">
        <v>63784.953350142547</v>
      </c>
      <c r="G206">
        <v>179759.78661451058</v>
      </c>
      <c r="H206">
        <v>22630.807135887768</v>
      </c>
      <c r="I206">
        <v>5962.8447055541583</v>
      </c>
      <c r="J206">
        <v>19072.976428855545</v>
      </c>
      <c r="K206">
        <v>26216.150306065094</v>
      </c>
      <c r="L206">
        <v>73882.778576362558</v>
      </c>
    </row>
    <row r="207" spans="1:12" x14ac:dyDescent="0.25">
      <c r="A207" t="s">
        <v>549</v>
      </c>
      <c r="B207" t="s">
        <v>550</v>
      </c>
      <c r="C207">
        <v>308968.76715279772</v>
      </c>
      <c r="D207">
        <v>78471.919361589447</v>
      </c>
      <c r="E207">
        <v>138284.17548158282</v>
      </c>
      <c r="F207">
        <v>190074.09477478123</v>
      </c>
      <c r="G207">
        <v>715798.95677075116</v>
      </c>
      <c r="H207">
        <v>311160.56218350661</v>
      </c>
      <c r="I207">
        <v>66701.131457351032</v>
      </c>
      <c r="J207">
        <v>150123.36833642187</v>
      </c>
      <c r="K207">
        <v>203554.34829449432</v>
      </c>
      <c r="L207">
        <v>731539.41027177381</v>
      </c>
    </row>
    <row r="208" spans="1:12" x14ac:dyDescent="0.25">
      <c r="A208" t="s">
        <v>58</v>
      </c>
      <c r="B208" t="s">
        <v>1425</v>
      </c>
      <c r="C208">
        <v>283055.32553690486</v>
      </c>
      <c r="D208">
        <v>0</v>
      </c>
      <c r="E208">
        <v>135403.25515904985</v>
      </c>
      <c r="F208">
        <v>186114.21780030662</v>
      </c>
      <c r="G208">
        <v>604572.79849626136</v>
      </c>
      <c r="H208">
        <v>364179.54065611539</v>
      </c>
      <c r="I208">
        <v>0</v>
      </c>
      <c r="J208">
        <v>175703.04841609151</v>
      </c>
      <c r="K208">
        <v>238238.18976366794</v>
      </c>
      <c r="L208">
        <v>778120.77883587475</v>
      </c>
    </row>
    <row r="209" spans="1:12" x14ac:dyDescent="0.25">
      <c r="A209" t="s">
        <v>195</v>
      </c>
      <c r="B209" t="s">
        <v>196</v>
      </c>
      <c r="C209">
        <v>1587346.7343938893</v>
      </c>
      <c r="D209">
        <v>0</v>
      </c>
      <c r="E209">
        <v>996798.43159640976</v>
      </c>
      <c r="F209">
        <v>1370117.4331682152</v>
      </c>
      <c r="G209">
        <v>3954262.5991585143</v>
      </c>
      <c r="H209">
        <v>1818290.212536023</v>
      </c>
      <c r="I209">
        <v>0</v>
      </c>
      <c r="J209">
        <v>1171004.2069258597</v>
      </c>
      <c r="K209">
        <v>1587780.7754535626</v>
      </c>
      <c r="L209">
        <v>4577075.1949154455</v>
      </c>
    </row>
    <row r="210" spans="1:12" x14ac:dyDescent="0.25">
      <c r="A210" t="s">
        <v>551</v>
      </c>
      <c r="B210" t="s">
        <v>552</v>
      </c>
      <c r="C210">
        <v>9463.8558690150603</v>
      </c>
      <c r="D210">
        <v>2620.9095432834765</v>
      </c>
      <c r="E210">
        <v>8011.4278569181315</v>
      </c>
      <c r="F210">
        <v>11011.852169303249</v>
      </c>
      <c r="G210">
        <v>31108.045438519915</v>
      </c>
      <c r="H210">
        <v>0</v>
      </c>
      <c r="I210">
        <v>2358.8185889551291</v>
      </c>
      <c r="J210">
        <v>0</v>
      </c>
      <c r="K210">
        <v>0</v>
      </c>
      <c r="L210">
        <v>2358.8185889551291</v>
      </c>
    </row>
    <row r="211" spans="1:12" x14ac:dyDescent="0.25">
      <c r="A211" t="s">
        <v>553</v>
      </c>
      <c r="B211" t="s">
        <v>554</v>
      </c>
      <c r="C211">
        <v>24950.165472857887</v>
      </c>
      <c r="D211">
        <v>5091.6915210047209</v>
      </c>
      <c r="E211">
        <v>11935.241336208044</v>
      </c>
      <c r="F211">
        <v>16405.204608537671</v>
      </c>
      <c r="G211">
        <v>58382.302938608329</v>
      </c>
      <c r="H211">
        <v>26944.07102706343</v>
      </c>
      <c r="I211">
        <v>7253.7995831940152</v>
      </c>
      <c r="J211">
        <v>13292.187216087945</v>
      </c>
      <c r="K211">
        <v>18023.060208160528</v>
      </c>
      <c r="L211">
        <v>65513.118034505911</v>
      </c>
    </row>
    <row r="212" spans="1:12" x14ac:dyDescent="0.25">
      <c r="A212" t="s">
        <v>555</v>
      </c>
      <c r="B212" t="s">
        <v>556</v>
      </c>
      <c r="C212">
        <v>246621.62681949825</v>
      </c>
      <c r="D212">
        <v>64123.600207089214</v>
      </c>
      <c r="E212">
        <v>159884.36766561729</v>
      </c>
      <c r="F212">
        <v>216538.89026043261</v>
      </c>
      <c r="G212">
        <v>687168.48495263734</v>
      </c>
      <c r="H212">
        <v>221959.46413754844</v>
      </c>
      <c r="I212">
        <v>57711.240186380295</v>
      </c>
      <c r="J212">
        <v>143895.93089905556</v>
      </c>
      <c r="K212">
        <v>194885.00123438935</v>
      </c>
      <c r="L212">
        <v>618451.63645737362</v>
      </c>
    </row>
    <row r="213" spans="1:12" x14ac:dyDescent="0.25">
      <c r="A213" t="s">
        <v>557</v>
      </c>
      <c r="B213" t="s">
        <v>558</v>
      </c>
      <c r="C213">
        <v>402644.04969991342</v>
      </c>
      <c r="D213">
        <v>96516.264455430864</v>
      </c>
      <c r="E213">
        <v>192610.10156363333</v>
      </c>
      <c r="F213">
        <v>264746.0605791597</v>
      </c>
      <c r="G213">
        <v>956516.47629813734</v>
      </c>
      <c r="H213">
        <v>383301.13944951503</v>
      </c>
      <c r="I213">
        <v>82038.824787116231</v>
      </c>
      <c r="J213">
        <v>184928.50680548057</v>
      </c>
      <c r="K213">
        <v>250747.11619517318</v>
      </c>
      <c r="L213">
        <v>901015.58723728498</v>
      </c>
    </row>
    <row r="214" spans="1:12" x14ac:dyDescent="0.25">
      <c r="A214" t="s">
        <v>69</v>
      </c>
      <c r="B214" t="s">
        <v>16</v>
      </c>
      <c r="C214">
        <v>49429.968712509522</v>
      </c>
      <c r="D214">
        <v>13023.982108251608</v>
      </c>
      <c r="E214">
        <v>36072.271866129835</v>
      </c>
      <c r="F214">
        <v>49736.805696874522</v>
      </c>
      <c r="G214">
        <v>148263.02838376549</v>
      </c>
      <c r="H214">
        <v>59730.120273985282</v>
      </c>
      <c r="I214">
        <v>16080.358499366084</v>
      </c>
      <c r="J214">
        <v>45157.363380816882</v>
      </c>
      <c r="K214">
        <v>61229.492620235556</v>
      </c>
      <c r="L214">
        <v>182197.3347744038</v>
      </c>
    </row>
    <row r="215" spans="1:12" x14ac:dyDescent="0.25">
      <c r="A215" t="s">
        <v>197</v>
      </c>
      <c r="B215" t="s">
        <v>198</v>
      </c>
      <c r="C215">
        <v>110563.58819135977</v>
      </c>
      <c r="D215">
        <v>28957.215636042005</v>
      </c>
      <c r="E215">
        <v>53744.340997568514</v>
      </c>
      <c r="F215">
        <v>74109.880984559015</v>
      </c>
      <c r="G215">
        <v>267375.0258095293</v>
      </c>
      <c r="H215">
        <v>93979.049962655801</v>
      </c>
      <c r="I215">
        <v>24613.633290635702</v>
      </c>
      <c r="J215">
        <v>45682.689847933238</v>
      </c>
      <c r="K215">
        <v>62993.39883687516</v>
      </c>
      <c r="L215">
        <v>227268.7719380999</v>
      </c>
    </row>
    <row r="216" spans="1:12" x14ac:dyDescent="0.25">
      <c r="A216" t="s">
        <v>71</v>
      </c>
      <c r="B216" t="s">
        <v>22</v>
      </c>
      <c r="C216">
        <v>47951.391656929336</v>
      </c>
      <c r="D216">
        <v>11519.321880756779</v>
      </c>
      <c r="E216">
        <v>40386.296278302019</v>
      </c>
      <c r="F216">
        <v>55511.693074575538</v>
      </c>
      <c r="G216">
        <v>155368.70289056367</v>
      </c>
      <c r="H216">
        <v>21155.195516185922</v>
      </c>
      <c r="I216">
        <v>5695.3363975162511</v>
      </c>
      <c r="J216">
        <v>18151.436812413038</v>
      </c>
      <c r="K216">
        <v>24611.783840870714</v>
      </c>
      <c r="L216">
        <v>69613.752566985931</v>
      </c>
    </row>
    <row r="217" spans="1:12" x14ac:dyDescent="0.25">
      <c r="A217" t="s">
        <v>559</v>
      </c>
      <c r="B217" t="s">
        <v>560</v>
      </c>
      <c r="C217">
        <v>95498.909223697439</v>
      </c>
      <c r="D217">
        <v>25162.38867802906</v>
      </c>
      <c r="E217">
        <v>49696.431169756048</v>
      </c>
      <c r="F217">
        <v>68308.641500246391</v>
      </c>
      <c r="G217">
        <v>238666.37057172894</v>
      </c>
      <c r="H217">
        <v>104299.62978218101</v>
      </c>
      <c r="I217">
        <v>28079.224193009097</v>
      </c>
      <c r="J217">
        <v>57926.338722710592</v>
      </c>
      <c r="K217">
        <v>78543.1226227476</v>
      </c>
      <c r="L217">
        <v>268848.31532064831</v>
      </c>
    </row>
    <row r="218" spans="1:12" x14ac:dyDescent="0.25">
      <c r="A218" t="s">
        <v>561</v>
      </c>
      <c r="B218" t="s">
        <v>562</v>
      </c>
      <c r="C218">
        <v>110124.86829399341</v>
      </c>
      <c r="D218">
        <v>22403.442692420776</v>
      </c>
      <c r="E218">
        <v>52679.685897745847</v>
      </c>
      <c r="F218">
        <v>72409.17896182141</v>
      </c>
      <c r="G218">
        <v>257617.17584598146</v>
      </c>
      <c r="H218">
        <v>93606.138049894391</v>
      </c>
      <c r="I218">
        <v>19042.926288557661</v>
      </c>
      <c r="J218">
        <v>44777.733013083969</v>
      </c>
      <c r="K218">
        <v>61547.802117548199</v>
      </c>
      <c r="L218">
        <v>218974.59946908423</v>
      </c>
    </row>
    <row r="219" spans="1:12" x14ac:dyDescent="0.25">
      <c r="A219" t="s">
        <v>563</v>
      </c>
      <c r="B219" t="s">
        <v>1426</v>
      </c>
      <c r="C219">
        <v>1970207.8890926982</v>
      </c>
      <c r="D219">
        <v>0</v>
      </c>
      <c r="E219">
        <v>1286170.1336722556</v>
      </c>
      <c r="F219">
        <v>1767864.0598806071</v>
      </c>
      <c r="G219">
        <v>5024242.0826455606</v>
      </c>
      <c r="H219">
        <v>2020848.0789274818</v>
      </c>
      <c r="I219">
        <v>0</v>
      </c>
      <c r="J219">
        <v>1346882.7901725648</v>
      </c>
      <c r="K219">
        <v>1826256.9753181522</v>
      </c>
      <c r="L219">
        <v>5193987.8444181988</v>
      </c>
    </row>
    <row r="220" spans="1:12" x14ac:dyDescent="0.25">
      <c r="A220" t="s">
        <v>564</v>
      </c>
      <c r="B220" t="s">
        <v>565</v>
      </c>
      <c r="C220">
        <v>76571.19748566729</v>
      </c>
      <c r="D220">
        <v>20175.248579680941</v>
      </c>
      <c r="E220">
        <v>49806.863019119402</v>
      </c>
      <c r="F220">
        <v>68460.432070128634</v>
      </c>
      <c r="G220">
        <v>215013.74115459627</v>
      </c>
      <c r="H220">
        <v>82570.54024422665</v>
      </c>
      <c r="I220">
        <v>22229.385819465544</v>
      </c>
      <c r="J220">
        <v>55141.770393054278</v>
      </c>
      <c r="K220">
        <v>74767.487970356407</v>
      </c>
      <c r="L220">
        <v>234709.18442710291</v>
      </c>
    </row>
    <row r="221" spans="1:12" x14ac:dyDescent="0.25">
      <c r="A221" t="s">
        <v>199</v>
      </c>
      <c r="B221" t="s">
        <v>200</v>
      </c>
      <c r="C221">
        <v>1156311.1170869307</v>
      </c>
      <c r="D221">
        <v>0</v>
      </c>
      <c r="E221">
        <v>687511.05697019096</v>
      </c>
      <c r="F221">
        <v>944996.35512283375</v>
      </c>
      <c r="G221">
        <v>2788818.5291799554</v>
      </c>
      <c r="H221">
        <v>1318521.1531630708</v>
      </c>
      <c r="I221">
        <v>0</v>
      </c>
      <c r="J221">
        <v>809324.30416003952</v>
      </c>
      <c r="K221">
        <v>1097374.0005820503</v>
      </c>
      <c r="L221">
        <v>3225219.4579051603</v>
      </c>
    </row>
    <row r="222" spans="1:12" x14ac:dyDescent="0.25">
      <c r="A222" t="s">
        <v>201</v>
      </c>
      <c r="B222" t="s">
        <v>202</v>
      </c>
      <c r="C222">
        <v>181983.54578080957</v>
      </c>
      <c r="D222">
        <v>0</v>
      </c>
      <c r="E222">
        <v>0</v>
      </c>
      <c r="F222">
        <v>0</v>
      </c>
      <c r="G222">
        <v>181983.54578080957</v>
      </c>
      <c r="H222">
        <v>154686.01391368813</v>
      </c>
      <c r="I222">
        <v>0</v>
      </c>
      <c r="J222">
        <v>0</v>
      </c>
      <c r="K222">
        <v>0</v>
      </c>
      <c r="L222">
        <v>154686.01391368813</v>
      </c>
    </row>
    <row r="223" spans="1:12" x14ac:dyDescent="0.25">
      <c r="A223" t="s">
        <v>203</v>
      </c>
      <c r="B223" t="s">
        <v>204</v>
      </c>
      <c r="C223">
        <v>50760.681479262581</v>
      </c>
      <c r="D223">
        <v>0</v>
      </c>
      <c r="E223">
        <v>24282.04271849223</v>
      </c>
      <c r="F223">
        <v>33376.105927714569</v>
      </c>
      <c r="G223">
        <v>108418.83012546938</v>
      </c>
      <c r="H223">
        <v>43146.579257373196</v>
      </c>
      <c r="I223">
        <v>0</v>
      </c>
      <c r="J223">
        <v>20639.736310718396</v>
      </c>
      <c r="K223">
        <v>28369.690038557383</v>
      </c>
      <c r="L223">
        <v>92156.005606648978</v>
      </c>
    </row>
    <row r="224" spans="1:12" x14ac:dyDescent="0.25">
      <c r="A224" t="s">
        <v>296</v>
      </c>
      <c r="B224" t="s">
        <v>297</v>
      </c>
      <c r="C224">
        <v>234875.69565828278</v>
      </c>
      <c r="D224">
        <v>0</v>
      </c>
      <c r="E224">
        <v>112355.89257878606</v>
      </c>
      <c r="F224">
        <v>154435.20200450975</v>
      </c>
      <c r="G224">
        <v>501666.79024157859</v>
      </c>
      <c r="H224">
        <v>210337.58672739839</v>
      </c>
      <c r="I224">
        <v>0</v>
      </c>
      <c r="J224">
        <v>101480.04228327957</v>
      </c>
      <c r="K224">
        <v>137598.19074655767</v>
      </c>
      <c r="L224">
        <v>449415.81975723564</v>
      </c>
    </row>
    <row r="225" spans="1:12" x14ac:dyDescent="0.25">
      <c r="A225" t="s">
        <v>205</v>
      </c>
      <c r="B225" t="s">
        <v>206</v>
      </c>
      <c r="C225">
        <v>143526.64554033664</v>
      </c>
      <c r="D225">
        <v>0</v>
      </c>
      <c r="E225">
        <v>0</v>
      </c>
      <c r="F225">
        <v>0</v>
      </c>
      <c r="G225">
        <v>143526.64554033664</v>
      </c>
      <c r="H225">
        <v>121997.64870928614</v>
      </c>
      <c r="I225">
        <v>0</v>
      </c>
      <c r="J225">
        <v>0</v>
      </c>
      <c r="K225">
        <v>0</v>
      </c>
      <c r="L225">
        <v>121997.64870928614</v>
      </c>
    </row>
    <row r="226" spans="1:12" x14ac:dyDescent="0.25">
      <c r="A226" t="s">
        <v>566</v>
      </c>
      <c r="B226" t="s">
        <v>567</v>
      </c>
      <c r="C226">
        <v>249969.85156307442</v>
      </c>
      <c r="D226">
        <v>58523.670500309971</v>
      </c>
      <c r="E226">
        <v>121508.94486406796</v>
      </c>
      <c r="F226">
        <v>167552.77439987258</v>
      </c>
      <c r="G226">
        <v>597555.24132732488</v>
      </c>
      <c r="H226">
        <v>223375.04045017101</v>
      </c>
      <c r="I226">
        <v>49745.119925263476</v>
      </c>
      <c r="J226">
        <v>107770.12754877211</v>
      </c>
      <c r="K226">
        <v>146127.0042225839</v>
      </c>
      <c r="L226">
        <v>527017.29214679054</v>
      </c>
    </row>
    <row r="227" spans="1:12" x14ac:dyDescent="0.25">
      <c r="A227" t="s">
        <v>298</v>
      </c>
      <c r="B227" t="s">
        <v>299</v>
      </c>
      <c r="C227">
        <v>0</v>
      </c>
      <c r="D227">
        <v>1798.5848221144099</v>
      </c>
      <c r="E227">
        <v>0</v>
      </c>
      <c r="F227">
        <v>0</v>
      </c>
      <c r="G227">
        <v>1798.5848221144099</v>
      </c>
      <c r="H227">
        <v>0</v>
      </c>
      <c r="I227">
        <v>1528.7970987972483</v>
      </c>
      <c r="J227">
        <v>0</v>
      </c>
      <c r="K227">
        <v>0</v>
      </c>
      <c r="L227">
        <v>1528.7970987972483</v>
      </c>
    </row>
    <row r="228" spans="1:12" x14ac:dyDescent="0.25">
      <c r="A228" t="s">
        <v>1422</v>
      </c>
      <c r="B228" t="s">
        <v>1427</v>
      </c>
      <c r="C228">
        <v>9792.4416189972235</v>
      </c>
      <c r="D228">
        <v>0</v>
      </c>
      <c r="E228">
        <v>6934.1809321263581</v>
      </c>
      <c r="F228">
        <v>9531.1568304068405</v>
      </c>
      <c r="G228">
        <v>26257.779381530425</v>
      </c>
      <c r="H228">
        <v>14458.77322316798</v>
      </c>
      <c r="I228">
        <v>0</v>
      </c>
      <c r="J228">
        <v>10214.411201123148</v>
      </c>
      <c r="K228">
        <v>13849.861206132873</v>
      </c>
      <c r="L228">
        <v>38523.045630424</v>
      </c>
    </row>
    <row r="229" spans="1:12" x14ac:dyDescent="0.25">
      <c r="A229" t="s">
        <v>568</v>
      </c>
      <c r="B229" t="s">
        <v>569</v>
      </c>
      <c r="C229">
        <v>28391.56760704517</v>
      </c>
      <c r="D229">
        <v>6834.6223240347581</v>
      </c>
      <c r="E229">
        <v>13581.4815205126</v>
      </c>
      <c r="F229">
        <v>18667.991451094585</v>
      </c>
      <c r="G229">
        <v>67475.662902687109</v>
      </c>
      <c r="H229">
        <v>40850.688331354235</v>
      </c>
      <c r="I229">
        <v>10997.696142261901</v>
      </c>
      <c r="J229">
        <v>22387.692443891916</v>
      </c>
      <c r="K229">
        <v>30355.781353251044</v>
      </c>
      <c r="L229">
        <v>104591.8582707591</v>
      </c>
    </row>
    <row r="230" spans="1:12" x14ac:dyDescent="0.25">
      <c r="A230" t="s">
        <v>570</v>
      </c>
      <c r="B230" t="s">
        <v>571</v>
      </c>
      <c r="C230">
        <v>242587.61963302392</v>
      </c>
      <c r="D230">
        <v>61612.428665154868</v>
      </c>
      <c r="E230">
        <v>123006.16527041039</v>
      </c>
      <c r="F230">
        <v>162084.26198210713</v>
      </c>
      <c r="G230">
        <v>589290.47555069625</v>
      </c>
      <c r="H230">
        <v>206860.93240132564</v>
      </c>
      <c r="I230">
        <v>52370.564365381637</v>
      </c>
      <c r="J230">
        <v>104555.24047984883</v>
      </c>
      <c r="K230">
        <v>137771.62268479104</v>
      </c>
      <c r="L230">
        <v>501558.35993134713</v>
      </c>
    </row>
    <row r="231" spans="1:12" x14ac:dyDescent="0.25">
      <c r="A231" t="s">
        <v>207</v>
      </c>
      <c r="B231" t="s">
        <v>208</v>
      </c>
      <c r="C231">
        <v>82407.643372442079</v>
      </c>
      <c r="D231">
        <v>0</v>
      </c>
      <c r="E231">
        <v>40057.893911231185</v>
      </c>
      <c r="F231">
        <v>55237.178373584364</v>
      </c>
      <c r="G231">
        <v>177702.71565725765</v>
      </c>
      <c r="H231">
        <v>74748.068010563045</v>
      </c>
      <c r="I231">
        <v>0</v>
      </c>
      <c r="J231">
        <v>36063.155522157191</v>
      </c>
      <c r="K231">
        <v>48898.530595884105</v>
      </c>
      <c r="L231">
        <v>159709.75412860434</v>
      </c>
    </row>
    <row r="232" spans="1:12" x14ac:dyDescent="0.25">
      <c r="A232" t="s">
        <v>572</v>
      </c>
      <c r="B232" t="s">
        <v>573</v>
      </c>
      <c r="C232">
        <v>15996.777831121119</v>
      </c>
      <c r="D232">
        <v>4189.6446444547455</v>
      </c>
      <c r="E232">
        <v>8982.2051151823744</v>
      </c>
      <c r="F232">
        <v>12385.864999166692</v>
      </c>
      <c r="G232">
        <v>41554.492589924928</v>
      </c>
      <c r="H232">
        <v>13597.261156452951</v>
      </c>
      <c r="I232">
        <v>3561.1979477865334</v>
      </c>
      <c r="J232">
        <v>7634.8743479050181</v>
      </c>
      <c r="K232">
        <v>10527.985249291687</v>
      </c>
      <c r="L232">
        <v>35321.31870143619</v>
      </c>
    </row>
    <row r="233" spans="1:12" x14ac:dyDescent="0.25">
      <c r="A233" t="s">
        <v>82</v>
      </c>
      <c r="B233" t="s">
        <v>51</v>
      </c>
      <c r="C233">
        <v>18831.618498071577</v>
      </c>
      <c r="D233">
        <v>0</v>
      </c>
      <c r="E233">
        <v>13334.963331012223</v>
      </c>
      <c r="F233">
        <v>18329.14775078238</v>
      </c>
      <c r="G233">
        <v>50495.72957986618</v>
      </c>
      <c r="H233">
        <v>17392.437355404956</v>
      </c>
      <c r="I233">
        <v>0</v>
      </c>
      <c r="J233">
        <v>12286.900430336536</v>
      </c>
      <c r="K233">
        <v>16659.97797259461</v>
      </c>
      <c r="L233">
        <v>46339.315758336103</v>
      </c>
    </row>
    <row r="234" spans="1:12" x14ac:dyDescent="0.25">
      <c r="A234" t="s">
        <v>81</v>
      </c>
      <c r="B234" t="s">
        <v>47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</row>
    <row r="235" spans="1:12" x14ac:dyDescent="0.25">
      <c r="A235" t="s">
        <v>59</v>
      </c>
      <c r="B235" t="s">
        <v>23</v>
      </c>
      <c r="C235">
        <v>5126158.996638692</v>
      </c>
      <c r="D235">
        <v>1231452.7994660432</v>
      </c>
      <c r="E235">
        <v>4317425.8108944101</v>
      </c>
      <c r="F235">
        <v>5934379.6924350541</v>
      </c>
      <c r="G235">
        <v>16609417.299434198</v>
      </c>
      <c r="H235">
        <v>5651174.959548437</v>
      </c>
      <c r="I235">
        <v>1521391.8685470673</v>
      </c>
      <c r="J235">
        <v>4848782.6602997938</v>
      </c>
      <c r="K235">
        <v>6574531.3696076497</v>
      </c>
      <c r="L235">
        <v>18595880.858002946</v>
      </c>
    </row>
    <row r="236" spans="1:12" x14ac:dyDescent="0.25">
      <c r="A236" t="s">
        <v>300</v>
      </c>
      <c r="B236" t="s">
        <v>301</v>
      </c>
      <c r="C236">
        <v>529115.57813129621</v>
      </c>
      <c r="D236">
        <v>0</v>
      </c>
      <c r="E236">
        <v>253109.42833682575</v>
      </c>
      <c r="F236">
        <v>347903.4770431263</v>
      </c>
      <c r="G236">
        <v>1130128.4835112481</v>
      </c>
      <c r="H236">
        <v>497161.5686283962</v>
      </c>
      <c r="I236">
        <v>0</v>
      </c>
      <c r="J236">
        <v>239861.91812411536</v>
      </c>
      <c r="K236">
        <v>325232.08721913619</v>
      </c>
      <c r="L236">
        <v>1062255.5739716478</v>
      </c>
    </row>
    <row r="237" spans="1:12" x14ac:dyDescent="0.25">
      <c r="A237" t="s">
        <v>574</v>
      </c>
      <c r="B237" t="s">
        <v>575</v>
      </c>
      <c r="C237">
        <v>402644.04969991342</v>
      </c>
      <c r="D237">
        <v>0</v>
      </c>
      <c r="E237">
        <v>192610.10156363324</v>
      </c>
      <c r="F237">
        <v>264746.06057915959</v>
      </c>
      <c r="G237">
        <v>860000.21184270619</v>
      </c>
      <c r="H237">
        <v>439796.77224819659</v>
      </c>
      <c r="I237">
        <v>0</v>
      </c>
      <c r="J237">
        <v>212185.54295594821</v>
      </c>
      <c r="K237">
        <v>287705.3079246204</v>
      </c>
      <c r="L237">
        <v>939687.62312876526</v>
      </c>
    </row>
    <row r="238" spans="1:12" x14ac:dyDescent="0.25">
      <c r="A238" t="s">
        <v>576</v>
      </c>
      <c r="B238" t="s">
        <v>577</v>
      </c>
      <c r="C238">
        <v>73990.145885026795</v>
      </c>
      <c r="D238">
        <v>19495.184020815301</v>
      </c>
      <c r="E238">
        <v>52188.036266703297</v>
      </c>
      <c r="F238">
        <v>71733.397671291808</v>
      </c>
      <c r="G238">
        <v>217406.76384383719</v>
      </c>
      <c r="H238">
        <v>72140.577266008477</v>
      </c>
      <c r="I238">
        <v>19421.463400164626</v>
      </c>
      <c r="J238">
        <v>49081.115987620557</v>
      </c>
      <c r="K238">
        <v>66549.762965868154</v>
      </c>
      <c r="L238">
        <v>207192.91961966181</v>
      </c>
    </row>
    <row r="239" spans="1:12" x14ac:dyDescent="0.25">
      <c r="A239" t="s">
        <v>578</v>
      </c>
      <c r="B239" t="s">
        <v>579</v>
      </c>
      <c r="C239">
        <v>364788.62622385321</v>
      </c>
      <c r="D239">
        <v>89749.382623509067</v>
      </c>
      <c r="E239">
        <v>174501.45953628313</v>
      </c>
      <c r="F239">
        <v>239855.40531103345</v>
      </c>
      <c r="G239">
        <v>868894.87369467888</v>
      </c>
      <c r="H239">
        <v>399815.24749836046</v>
      </c>
      <c r="I239">
        <v>76286.975229982709</v>
      </c>
      <c r="J239">
        <v>192895.94814177114</v>
      </c>
      <c r="K239">
        <v>261550.27993147311</v>
      </c>
      <c r="L239">
        <v>930548.45080158743</v>
      </c>
    </row>
    <row r="240" spans="1:12" x14ac:dyDescent="0.25">
      <c r="A240" t="s">
        <v>209</v>
      </c>
      <c r="B240" t="s">
        <v>210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</row>
    <row r="241" spans="1:12" x14ac:dyDescent="0.25">
      <c r="A241" t="s">
        <v>580</v>
      </c>
      <c r="B241" t="s">
        <v>581</v>
      </c>
      <c r="C241">
        <v>634116.90279073548</v>
      </c>
      <c r="D241">
        <v>161053.07640045992</v>
      </c>
      <c r="E241">
        <v>357509.21125617286</v>
      </c>
      <c r="F241">
        <v>477210.91253994376</v>
      </c>
      <c r="G241">
        <v>1629890.102987312</v>
      </c>
      <c r="H241">
        <v>657956.83120925841</v>
      </c>
      <c r="I241">
        <v>177133.10595089913</v>
      </c>
      <c r="J241">
        <v>350602.34973695839</v>
      </c>
      <c r="K241">
        <v>475386.56774136942</v>
      </c>
      <c r="L241">
        <v>1661078.8546384852</v>
      </c>
    </row>
    <row r="242" spans="1:12" x14ac:dyDescent="0.25">
      <c r="A242" t="s">
        <v>211</v>
      </c>
      <c r="B242" t="s">
        <v>212</v>
      </c>
      <c r="C242">
        <v>556251.59276398411</v>
      </c>
      <c r="D242">
        <v>0</v>
      </c>
      <c r="E242">
        <v>290252.82296512934</v>
      </c>
      <c r="F242">
        <v>400239.38829859684</v>
      </c>
      <c r="G242">
        <v>1246743.8040277101</v>
      </c>
      <c r="H242">
        <v>585816.25394324993</v>
      </c>
      <c r="I242">
        <v>0</v>
      </c>
      <c r="J242">
        <v>282634.49792946456</v>
      </c>
      <c r="K242">
        <v>383228.018856115</v>
      </c>
      <c r="L242">
        <v>1251678.7707288295</v>
      </c>
    </row>
    <row r="243" spans="1:12" x14ac:dyDescent="0.25">
      <c r="A243" t="s">
        <v>302</v>
      </c>
      <c r="B243" t="s">
        <v>303</v>
      </c>
      <c r="C243">
        <v>11184.556936108704</v>
      </c>
      <c r="D243">
        <v>0</v>
      </c>
      <c r="E243">
        <v>5350.2805989898143</v>
      </c>
      <c r="F243">
        <v>7354.0572383099861</v>
      </c>
      <c r="G243">
        <v>23888.894773408505</v>
      </c>
      <c r="H243">
        <v>13906.617304290807</v>
      </c>
      <c r="I243">
        <v>0</v>
      </c>
      <c r="J243">
        <v>6709.4242831920374</v>
      </c>
      <c r="K243">
        <v>9097.4010410947194</v>
      </c>
      <c r="L243">
        <v>29713.442628577563</v>
      </c>
    </row>
    <row r="244" spans="1:12" x14ac:dyDescent="0.25">
      <c r="A244" t="s">
        <v>213</v>
      </c>
      <c r="B244" t="s">
        <v>214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</row>
    <row r="245" spans="1:12" x14ac:dyDescent="0.25">
      <c r="A245" t="s">
        <v>215</v>
      </c>
      <c r="B245" t="s">
        <v>216</v>
      </c>
      <c r="C245">
        <v>477494.54611848691</v>
      </c>
      <c r="D245">
        <v>0</v>
      </c>
      <c r="E245">
        <v>228415.82557225734</v>
      </c>
      <c r="F245">
        <v>313961.67440477258</v>
      </c>
      <c r="G245">
        <v>1019872.0460955169</v>
      </c>
      <c r="H245">
        <v>500638.22295446886</v>
      </c>
      <c r="I245">
        <v>0</v>
      </c>
      <c r="J245">
        <v>241539.27419491336</v>
      </c>
      <c r="K245">
        <v>327506.43747940985</v>
      </c>
      <c r="L245">
        <v>1069683.9346287921</v>
      </c>
    </row>
    <row r="246" spans="1:12" x14ac:dyDescent="0.25">
      <c r="A246" t="s">
        <v>217</v>
      </c>
      <c r="B246" t="s">
        <v>218</v>
      </c>
      <c r="C246">
        <v>271945.22312905901</v>
      </c>
      <c r="D246">
        <v>0</v>
      </c>
      <c r="E246">
        <v>0</v>
      </c>
      <c r="F246">
        <v>0</v>
      </c>
      <c r="G246">
        <v>271945.22312905901</v>
      </c>
      <c r="H246">
        <v>231121.09241093724</v>
      </c>
      <c r="I246">
        <v>0</v>
      </c>
      <c r="J246">
        <v>0</v>
      </c>
      <c r="K246">
        <v>0</v>
      </c>
      <c r="L246">
        <v>231121.09241093724</v>
      </c>
    </row>
    <row r="247" spans="1:12" x14ac:dyDescent="0.25">
      <c r="A247" t="s">
        <v>582</v>
      </c>
      <c r="B247" t="s">
        <v>583</v>
      </c>
      <c r="C247">
        <v>134214.68323330447</v>
      </c>
      <c r="D247">
        <v>35363.357061013798</v>
      </c>
      <c r="E247">
        <v>89658.736730729623</v>
      </c>
      <c r="F247">
        <v>123237.55168221358</v>
      </c>
      <c r="G247">
        <v>382474.32870726148</v>
      </c>
      <c r="H247">
        <v>178178.53421122589</v>
      </c>
      <c r="I247">
        <v>47968.674663057216</v>
      </c>
      <c r="J247">
        <v>149216.02353687456</v>
      </c>
      <c r="K247">
        <v>202324.06695057757</v>
      </c>
      <c r="L247">
        <v>577687.29936173523</v>
      </c>
    </row>
    <row r="248" spans="1:12" x14ac:dyDescent="0.25">
      <c r="A248" t="s">
        <v>584</v>
      </c>
      <c r="B248" t="s">
        <v>585</v>
      </c>
      <c r="C248">
        <v>79152.249086307769</v>
      </c>
      <c r="D248">
        <v>20855.313138546597</v>
      </c>
      <c r="E248">
        <v>49985.119964076155</v>
      </c>
      <c r="F248">
        <v>68705.449457924275</v>
      </c>
      <c r="G248">
        <v>218698.1316468548</v>
      </c>
      <c r="H248">
        <v>71237.024177676998</v>
      </c>
      <c r="I248">
        <v>18769.781824691938</v>
      </c>
      <c r="J248">
        <v>44986.60796766854</v>
      </c>
      <c r="K248">
        <v>61834.904512131849</v>
      </c>
      <c r="L248">
        <v>196828.31848216933</v>
      </c>
    </row>
    <row r="249" spans="1:12" x14ac:dyDescent="0.25">
      <c r="A249" t="s">
        <v>219</v>
      </c>
      <c r="B249" t="s">
        <v>220</v>
      </c>
      <c r="C249">
        <v>990263.46411239367</v>
      </c>
      <c r="D249">
        <v>0</v>
      </c>
      <c r="E249">
        <v>568364.42363114853</v>
      </c>
      <c r="F249">
        <v>781227.15739277622</v>
      </c>
      <c r="G249">
        <v>2339855.0451363185</v>
      </c>
      <c r="H249">
        <v>861341.10928451188</v>
      </c>
      <c r="I249">
        <v>0</v>
      </c>
      <c r="J249">
        <v>483109.76008647622</v>
      </c>
      <c r="K249">
        <v>664043.08378385974</v>
      </c>
      <c r="L249">
        <v>2008493.953154848</v>
      </c>
    </row>
    <row r="250" spans="1:12" x14ac:dyDescent="0.25">
      <c r="A250" t="s">
        <v>221</v>
      </c>
      <c r="B250" t="s">
        <v>222</v>
      </c>
      <c r="C250">
        <v>122924.73469722614</v>
      </c>
      <c r="D250">
        <v>0</v>
      </c>
      <c r="E250">
        <v>59753.025084253168</v>
      </c>
      <c r="F250">
        <v>82395.457740596685</v>
      </c>
      <c r="G250">
        <v>265073.21752207598</v>
      </c>
      <c r="H250">
        <v>130374.53722772626</v>
      </c>
      <c r="I250">
        <v>0</v>
      </c>
      <c r="J250">
        <v>62900.852654925358</v>
      </c>
      <c r="K250">
        <v>85288.134760262983</v>
      </c>
      <c r="L250">
        <v>278563.52464291459</v>
      </c>
    </row>
    <row r="251" spans="1:12" x14ac:dyDescent="0.25">
      <c r="A251" t="s">
        <v>586</v>
      </c>
      <c r="B251" t="s">
        <v>587</v>
      </c>
      <c r="C251">
        <v>51621.03201280941</v>
      </c>
      <c r="D251">
        <v>13601.291177313002</v>
      </c>
      <c r="E251">
        <v>26285.846270827726</v>
      </c>
      <c r="F251">
        <v>36130.370072474849</v>
      </c>
      <c r="G251">
        <v>127638.53953342499</v>
      </c>
      <c r="H251">
        <v>59972.287124754082</v>
      </c>
      <c r="I251">
        <v>16145.553910980238</v>
      </c>
      <c r="J251">
        <v>33142.270561322213</v>
      </c>
      <c r="K251">
        <v>44938.062340778313</v>
      </c>
      <c r="L251">
        <v>154198.17393783486</v>
      </c>
    </row>
    <row r="252" spans="1:12" x14ac:dyDescent="0.25">
      <c r="A252" t="s">
        <v>61</v>
      </c>
      <c r="B252" t="s">
        <v>31</v>
      </c>
      <c r="C252">
        <v>5171315.7327713957</v>
      </c>
      <c r="D252">
        <v>1362556.4679487601</v>
      </c>
      <c r="E252">
        <v>4358323.6994189294</v>
      </c>
      <c r="F252">
        <v>5990594.5782846157</v>
      </c>
      <c r="G252">
        <v>16882790.4784237</v>
      </c>
      <c r="H252">
        <v>4416602.0759127112</v>
      </c>
      <c r="I252">
        <v>1163701.8576828816</v>
      </c>
      <c r="J252">
        <v>3722259.9611100042</v>
      </c>
      <c r="K252">
        <v>5116313.4911168795</v>
      </c>
      <c r="L252">
        <v>14418877.385822477</v>
      </c>
    </row>
    <row r="253" spans="1:12" x14ac:dyDescent="0.25">
      <c r="A253" t="s">
        <v>78</v>
      </c>
      <c r="B253" t="s">
        <v>36</v>
      </c>
      <c r="C253">
        <v>99400.801551128025</v>
      </c>
      <c r="D253">
        <v>0</v>
      </c>
      <c r="E253">
        <v>83773.819184184438</v>
      </c>
      <c r="F253">
        <v>115148.62631104719</v>
      </c>
      <c r="G253">
        <v>298323.24704635964</v>
      </c>
      <c r="H253">
        <v>86963.32629745618</v>
      </c>
      <c r="I253">
        <v>0</v>
      </c>
      <c r="J253">
        <v>73291.662232231276</v>
      </c>
      <c r="K253">
        <v>100740.71241207015</v>
      </c>
      <c r="L253">
        <v>260995.70094175759</v>
      </c>
    </row>
    <row r="254" spans="1:12" x14ac:dyDescent="0.25">
      <c r="A254" t="s">
        <v>588</v>
      </c>
      <c r="B254" t="s">
        <v>589</v>
      </c>
      <c r="C254">
        <v>18927.711738030121</v>
      </c>
      <c r="D254">
        <v>4987.140098348098</v>
      </c>
      <c r="E254">
        <v>9641.3496853957658</v>
      </c>
      <c r="F254">
        <v>13252.209137283318</v>
      </c>
      <c r="G254">
        <v>46808.410659057299</v>
      </c>
      <c r="H254">
        <v>17383.271630363495</v>
      </c>
      <c r="I254">
        <v>4679.8706988348504</v>
      </c>
      <c r="J254">
        <v>8677.2147168561896</v>
      </c>
      <c r="K254">
        <v>11926.988223554987</v>
      </c>
      <c r="L254">
        <v>42667.345269609519</v>
      </c>
    </row>
    <row r="255" spans="1:12" x14ac:dyDescent="0.25">
      <c r="A255" t="s">
        <v>590</v>
      </c>
      <c r="B255" t="s">
        <v>591</v>
      </c>
      <c r="C255">
        <v>15486.309603842823</v>
      </c>
      <c r="D255">
        <v>0</v>
      </c>
      <c r="E255">
        <v>7408.0808293705113</v>
      </c>
      <c r="F255">
        <v>10182.540791506133</v>
      </c>
      <c r="G255">
        <v>33076.931224719468</v>
      </c>
      <c r="H255">
        <v>20859.925956436204</v>
      </c>
      <c r="I255">
        <v>0</v>
      </c>
      <c r="J255">
        <v>10064.136424788057</v>
      </c>
      <c r="K255">
        <v>13646.101561642079</v>
      </c>
      <c r="L255">
        <v>44570.16394286634</v>
      </c>
    </row>
    <row r="256" spans="1:12" x14ac:dyDescent="0.25">
      <c r="A256" t="s">
        <v>223</v>
      </c>
      <c r="B256" t="s">
        <v>224</v>
      </c>
      <c r="C256">
        <v>351883.36822065077</v>
      </c>
      <c r="D256">
        <v>0</v>
      </c>
      <c r="E256">
        <v>168328.05884514103</v>
      </c>
      <c r="F256">
        <v>231369.95465144503</v>
      </c>
      <c r="G256">
        <v>751581.38171723683</v>
      </c>
      <c r="H256">
        <v>372002.01288977894</v>
      </c>
      <c r="I256">
        <v>0</v>
      </c>
      <c r="J256">
        <v>179477.09957538705</v>
      </c>
      <c r="K256">
        <v>243355.47784928372</v>
      </c>
      <c r="L256">
        <v>794834.59031444974</v>
      </c>
    </row>
    <row r="257" spans="1:12" x14ac:dyDescent="0.25">
      <c r="A257" t="s">
        <v>225</v>
      </c>
      <c r="B257" t="s">
        <v>226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</row>
    <row r="258" spans="1:12" x14ac:dyDescent="0.25">
      <c r="A258" t="s">
        <v>592</v>
      </c>
      <c r="B258" t="s">
        <v>593</v>
      </c>
      <c r="C258">
        <v>12905.258003202352</v>
      </c>
      <c r="D258">
        <v>3400.3227943282504</v>
      </c>
      <c r="E258">
        <v>19781.58216964388</v>
      </c>
      <c r="F258">
        <v>27190.141684785751</v>
      </c>
      <c r="G258">
        <v>63277.304651960236</v>
      </c>
      <c r="H258">
        <v>0</v>
      </c>
      <c r="I258">
        <v>3230.306654611838</v>
      </c>
      <c r="J258">
        <v>0</v>
      </c>
      <c r="K258">
        <v>0</v>
      </c>
      <c r="L258">
        <v>3230.306654611838</v>
      </c>
    </row>
    <row r="259" spans="1:12" x14ac:dyDescent="0.25">
      <c r="A259" t="s">
        <v>227</v>
      </c>
      <c r="B259" t="s">
        <v>228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</row>
    <row r="260" spans="1:12" x14ac:dyDescent="0.25">
      <c r="A260" t="s">
        <v>229</v>
      </c>
      <c r="B260" t="s">
        <v>230</v>
      </c>
      <c r="C260">
        <v>231434.29352409556</v>
      </c>
      <c r="D260">
        <v>0</v>
      </c>
      <c r="E260">
        <v>110709.6523944815</v>
      </c>
      <c r="F260">
        <v>152172.41516195281</v>
      </c>
      <c r="G260">
        <v>494316.36108052987</v>
      </c>
      <c r="H260">
        <v>217290.8953795438</v>
      </c>
      <c r="I260">
        <v>0</v>
      </c>
      <c r="J260">
        <v>104834.7544248756</v>
      </c>
      <c r="K260">
        <v>142146.89126710495</v>
      </c>
      <c r="L260">
        <v>464272.54107152432</v>
      </c>
    </row>
    <row r="261" spans="1:12" x14ac:dyDescent="0.25">
      <c r="A261" t="s">
        <v>594</v>
      </c>
      <c r="B261" t="s">
        <v>595</v>
      </c>
      <c r="C261">
        <v>0</v>
      </c>
      <c r="D261">
        <v>1797.067595648725</v>
      </c>
      <c r="E261">
        <v>0</v>
      </c>
      <c r="F261">
        <v>0</v>
      </c>
      <c r="G261">
        <v>1797.067595648725</v>
      </c>
      <c r="H261">
        <v>0</v>
      </c>
      <c r="I261">
        <v>1617.3608360838525</v>
      </c>
      <c r="J261">
        <v>0</v>
      </c>
      <c r="K261">
        <v>0</v>
      </c>
      <c r="L261">
        <v>1617.3608360838525</v>
      </c>
    </row>
    <row r="262" spans="1:12" x14ac:dyDescent="0.25">
      <c r="A262" t="s">
        <v>596</v>
      </c>
      <c r="B262" t="s">
        <v>597</v>
      </c>
      <c r="C262">
        <v>109264.51776044659</v>
      </c>
      <c r="D262">
        <v>20873.00211974937</v>
      </c>
      <c r="E262">
        <v>52268.125851669705</v>
      </c>
      <c r="F262">
        <v>71843.482251182199</v>
      </c>
      <c r="G262">
        <v>254249.12798304786</v>
      </c>
      <c r="H262">
        <v>123421.22857558087</v>
      </c>
      <c r="I262">
        <v>33227.081961727432</v>
      </c>
      <c r="J262">
        <v>59615.96045977631</v>
      </c>
      <c r="K262">
        <v>80834.10406929953</v>
      </c>
      <c r="L262">
        <v>297098.37506638415</v>
      </c>
    </row>
    <row r="263" spans="1:12" x14ac:dyDescent="0.25">
      <c r="A263" t="s">
        <v>231</v>
      </c>
      <c r="B263" t="s">
        <v>232</v>
      </c>
      <c r="C263">
        <v>187556.41631320748</v>
      </c>
      <c r="D263">
        <v>0</v>
      </c>
      <c r="E263">
        <v>89720.090044598444</v>
      </c>
      <c r="F263">
        <v>123321.88291935209</v>
      </c>
      <c r="G263">
        <v>400598.38927715801</v>
      </c>
      <c r="H263">
        <v>187739.33360792574</v>
      </c>
      <c r="I263">
        <v>0</v>
      </c>
      <c r="J263">
        <v>90577.227823092529</v>
      </c>
      <c r="K263">
        <v>122814.91405477871</v>
      </c>
      <c r="L263">
        <v>401131.47548579698</v>
      </c>
    </row>
    <row r="264" spans="1:12" x14ac:dyDescent="0.25">
      <c r="A264" t="s">
        <v>598</v>
      </c>
      <c r="B264" t="s">
        <v>599</v>
      </c>
      <c r="C264">
        <v>19632.409156375907</v>
      </c>
      <c r="D264">
        <v>5141.8366091035523</v>
      </c>
      <c r="E264">
        <v>12368.125106929569</v>
      </c>
      <c r="F264">
        <v>17054.824055209006</v>
      </c>
      <c r="G264">
        <v>54197.194927618031</v>
      </c>
      <c r="H264">
        <v>22598.253119472552</v>
      </c>
      <c r="I264">
        <v>6083.8319084853065</v>
      </c>
      <c r="J264">
        <v>13743.857272052071</v>
      </c>
      <c r="K264">
        <v>18635.485874495716</v>
      </c>
      <c r="L264">
        <v>61061.428174505651</v>
      </c>
    </row>
    <row r="265" spans="1:12" x14ac:dyDescent="0.25">
      <c r="A265" t="s">
        <v>72</v>
      </c>
      <c r="B265" t="s">
        <v>26</v>
      </c>
      <c r="C265">
        <v>96338.705056194289</v>
      </c>
      <c r="D265">
        <v>23143.36486952041</v>
      </c>
      <c r="E265">
        <v>81139.740704588505</v>
      </c>
      <c r="F265">
        <v>111528.03790437436</v>
      </c>
      <c r="G265">
        <v>312149.84853467753</v>
      </c>
      <c r="H265">
        <v>87903.48481725539</v>
      </c>
      <c r="I265">
        <v>23665.104686231345</v>
      </c>
      <c r="J265">
        <v>75422.34951364735</v>
      </c>
      <c r="K265">
        <v>102266.20526982498</v>
      </c>
      <c r="L265">
        <v>289257.14428695908</v>
      </c>
    </row>
    <row r="266" spans="1:12" x14ac:dyDescent="0.25">
      <c r="A266" t="s">
        <v>73</v>
      </c>
      <c r="B266" t="s">
        <v>28</v>
      </c>
      <c r="C266">
        <v>37053.348098536313</v>
      </c>
      <c r="D266">
        <v>0</v>
      </c>
      <c r="E266">
        <v>31207.592578687927</v>
      </c>
      <c r="F266">
        <v>42895.399193990197</v>
      </c>
      <c r="G266">
        <v>111156.33987121444</v>
      </c>
      <c r="H266">
        <v>31003.303773720745</v>
      </c>
      <c r="I266">
        <v>0</v>
      </c>
      <c r="J266">
        <v>26601.243604398413</v>
      </c>
      <c r="K266">
        <v>36068.993559896735</v>
      </c>
      <c r="L266">
        <v>93673.540938015882</v>
      </c>
    </row>
    <row r="267" spans="1:12" x14ac:dyDescent="0.25">
      <c r="A267" t="s">
        <v>233</v>
      </c>
      <c r="B267" t="s">
        <v>234</v>
      </c>
      <c r="C267">
        <v>468891.04078301886</v>
      </c>
      <c r="D267">
        <v>0</v>
      </c>
      <c r="E267">
        <v>224300.22511149602</v>
      </c>
      <c r="F267">
        <v>308304.70729838032</v>
      </c>
      <c r="G267">
        <v>1001495.9731928952</v>
      </c>
      <c r="H267">
        <v>486731.60565017792</v>
      </c>
      <c r="I267">
        <v>0</v>
      </c>
      <c r="J267">
        <v>234829.84991172131</v>
      </c>
      <c r="K267">
        <v>318409.03643831518</v>
      </c>
      <c r="L267">
        <v>1039970.4920002144</v>
      </c>
    </row>
    <row r="268" spans="1:12" x14ac:dyDescent="0.25">
      <c r="A268" t="s">
        <v>600</v>
      </c>
      <c r="B268" t="s">
        <v>601</v>
      </c>
      <c r="C268">
        <v>1025537.8359878135</v>
      </c>
      <c r="D268">
        <v>270212.3180559515</v>
      </c>
      <c r="E268">
        <v>593675.36646483105</v>
      </c>
      <c r="F268">
        <v>816017.50509708899</v>
      </c>
      <c r="G268">
        <v>2705443.0256056851</v>
      </c>
      <c r="H268">
        <v>1140342.6189518454</v>
      </c>
      <c r="I268">
        <v>306999.51784356631</v>
      </c>
      <c r="J268">
        <v>680377.5562174425</v>
      </c>
      <c r="K268">
        <v>922533.32432351168</v>
      </c>
      <c r="L268">
        <v>3050253.0173363658</v>
      </c>
    </row>
    <row r="269" spans="1:12" x14ac:dyDescent="0.25">
      <c r="A269" t="s">
        <v>67</v>
      </c>
      <c r="B269" t="s">
        <v>12</v>
      </c>
      <c r="C269">
        <v>15682.877607164477</v>
      </c>
      <c r="D269">
        <v>4132.1797824629894</v>
      </c>
      <c r="E269">
        <v>8770.4285132681543</v>
      </c>
      <c r="F269">
        <v>12055.112268926216</v>
      </c>
      <c r="G269">
        <v>40640.598171821839</v>
      </c>
      <c r="H269">
        <v>14821.233268816171</v>
      </c>
      <c r="I269">
        <v>3904.5947454464667</v>
      </c>
      <c r="J269">
        <v>8288.5006181438384</v>
      </c>
      <c r="K269">
        <v>11392.69367986163</v>
      </c>
      <c r="L269">
        <v>38407.022312268105</v>
      </c>
    </row>
    <row r="270" spans="1:12" x14ac:dyDescent="0.25">
      <c r="A270" t="s">
        <v>62</v>
      </c>
      <c r="B270" t="s">
        <v>38</v>
      </c>
      <c r="C270">
        <v>3739361.4569145353</v>
      </c>
      <c r="D270">
        <v>0</v>
      </c>
      <c r="E270">
        <v>2979465.4738897323</v>
      </c>
      <c r="F270">
        <v>4095329.0634309025</v>
      </c>
      <c r="G270">
        <v>10814155.994235169</v>
      </c>
      <c r="H270">
        <v>3829657.9490367626</v>
      </c>
      <c r="I270">
        <v>0</v>
      </c>
      <c r="J270">
        <v>3082420.2346472768</v>
      </c>
      <c r="K270">
        <v>4179496.1636306671</v>
      </c>
      <c r="L270">
        <v>11091574.347314708</v>
      </c>
    </row>
    <row r="271" spans="1:12" x14ac:dyDescent="0.25">
      <c r="A271" t="s">
        <v>602</v>
      </c>
      <c r="B271" t="s">
        <v>603</v>
      </c>
      <c r="C271">
        <v>74850.496418573661</v>
      </c>
      <c r="D271">
        <v>19721.872207103839</v>
      </c>
      <c r="E271">
        <v>49261.45335705817</v>
      </c>
      <c r="F271">
        <v>67710.75664677177</v>
      </c>
      <c r="G271">
        <v>211544.57862950742</v>
      </c>
      <c r="H271">
        <v>67365.446776716301</v>
      </c>
      <c r="I271">
        <v>17749.684986393455</v>
      </c>
      <c r="J271">
        <v>44335.308021352357</v>
      </c>
      <c r="K271">
        <v>60939.680982094593</v>
      </c>
      <c r="L271">
        <v>190390.12076655671</v>
      </c>
    </row>
    <row r="272" spans="1:12" x14ac:dyDescent="0.25">
      <c r="A272" t="s">
        <v>235</v>
      </c>
      <c r="B272" t="s">
        <v>236</v>
      </c>
      <c r="C272">
        <v>332095.30594907381</v>
      </c>
      <c r="D272">
        <v>0</v>
      </c>
      <c r="E272">
        <v>0</v>
      </c>
      <c r="F272">
        <v>0</v>
      </c>
      <c r="G272">
        <v>332095.30594907381</v>
      </c>
      <c r="H272">
        <v>361572.04991156084</v>
      </c>
      <c r="I272">
        <v>0</v>
      </c>
      <c r="J272">
        <v>0</v>
      </c>
      <c r="K272">
        <v>0</v>
      </c>
      <c r="L272">
        <v>361572.04991156084</v>
      </c>
    </row>
    <row r="273" spans="1:12" x14ac:dyDescent="0.25">
      <c r="A273" t="s">
        <v>237</v>
      </c>
      <c r="B273" t="s">
        <v>238</v>
      </c>
      <c r="C273">
        <v>24089.814939311054</v>
      </c>
      <c r="D273">
        <v>6347.2692160794022</v>
      </c>
      <c r="E273">
        <v>12327.64326213934</v>
      </c>
      <c r="F273">
        <v>16944.568137296643</v>
      </c>
      <c r="G273">
        <v>59709.295554826436</v>
      </c>
      <c r="H273">
        <v>20476.342698414395</v>
      </c>
      <c r="I273">
        <v>5395.1788336674917</v>
      </c>
      <c r="J273">
        <v>10478.496772818438</v>
      </c>
      <c r="K273">
        <v>14402.882916702147</v>
      </c>
      <c r="L273">
        <v>50752.901221602471</v>
      </c>
    </row>
    <row r="274" spans="1:12" x14ac:dyDescent="0.25">
      <c r="A274" t="s">
        <v>304</v>
      </c>
      <c r="B274" t="s">
        <v>305</v>
      </c>
      <c r="C274">
        <v>167768.35404163055</v>
      </c>
      <c r="D274">
        <v>0</v>
      </c>
      <c r="E274">
        <v>80254.208984847195</v>
      </c>
      <c r="F274">
        <v>110310.85857464984</v>
      </c>
      <c r="G274">
        <v>358333.4216011276</v>
      </c>
      <c r="H274">
        <v>142603.10093538597</v>
      </c>
      <c r="I274">
        <v>0</v>
      </c>
      <c r="J274">
        <v>68216.077637120121</v>
      </c>
      <c r="K274">
        <v>93764.229788452358</v>
      </c>
      <c r="L274">
        <v>304583.40836095845</v>
      </c>
    </row>
    <row r="275" spans="1:12" x14ac:dyDescent="0.25">
      <c r="A275" t="s">
        <v>239</v>
      </c>
      <c r="B275" t="s">
        <v>240</v>
      </c>
      <c r="C275">
        <v>21508.763338670593</v>
      </c>
      <c r="D275">
        <v>5575.6129485546735</v>
      </c>
      <c r="E275">
        <v>10348.289260401387</v>
      </c>
      <c r="F275">
        <v>14269.604413175957</v>
      </c>
      <c r="G275">
        <v>51702.269960802609</v>
      </c>
      <c r="H275">
        <v>26944.07102706343</v>
      </c>
      <c r="I275">
        <v>4739.2710062714723</v>
      </c>
      <c r="J275">
        <v>12999.509548684573</v>
      </c>
      <c r="K275">
        <v>17626.214517121018</v>
      </c>
      <c r="L275">
        <v>62309.066099140487</v>
      </c>
    </row>
    <row r="276" spans="1:12" x14ac:dyDescent="0.25">
      <c r="A276" t="s">
        <v>241</v>
      </c>
      <c r="B276" t="s">
        <v>242</v>
      </c>
      <c r="C276">
        <v>75710.846952120482</v>
      </c>
      <c r="D276">
        <v>0</v>
      </c>
      <c r="E276">
        <v>36217.284054700278</v>
      </c>
      <c r="F276">
        <v>49781.310536252233</v>
      </c>
      <c r="G276">
        <v>161709.44154307299</v>
      </c>
      <c r="H276">
        <v>66056.432195381276</v>
      </c>
      <c r="I276">
        <v>0</v>
      </c>
      <c r="J276">
        <v>31869.765345162177</v>
      </c>
      <c r="K276">
        <v>43212.654945199916</v>
      </c>
      <c r="L276">
        <v>141138.85248574335</v>
      </c>
    </row>
    <row r="277" spans="1:12" x14ac:dyDescent="0.25">
      <c r="A277" t="s">
        <v>604</v>
      </c>
      <c r="B277" t="s">
        <v>605</v>
      </c>
      <c r="C277">
        <v>252476.14615052482</v>
      </c>
      <c r="D277">
        <v>65645.822170462285</v>
      </c>
      <c r="E277">
        <v>190657.2837303144</v>
      </c>
      <c r="F277">
        <v>258216.09230349341</v>
      </c>
      <c r="G277">
        <v>766995.34435479483</v>
      </c>
      <c r="H277">
        <v>233805.00342838914</v>
      </c>
      <c r="I277">
        <v>62944.260899328714</v>
      </c>
      <c r="J277">
        <v>171591.55535728298</v>
      </c>
      <c r="K277">
        <v>232394.48307314407</v>
      </c>
      <c r="L277">
        <v>700735.30275814491</v>
      </c>
    </row>
    <row r="278" spans="1:12" x14ac:dyDescent="0.25">
      <c r="A278" t="s">
        <v>606</v>
      </c>
      <c r="B278" t="s">
        <v>607</v>
      </c>
      <c r="C278">
        <v>621173.0852208063</v>
      </c>
      <c r="D278">
        <v>163668.87050033311</v>
      </c>
      <c r="E278">
        <v>353131.07211473311</v>
      </c>
      <c r="F278">
        <v>485385.03147813358</v>
      </c>
      <c r="G278">
        <v>1623358.059314006</v>
      </c>
      <c r="H278">
        <v>585816.25394324993</v>
      </c>
      <c r="I278">
        <v>157711.64255073445</v>
      </c>
      <c r="J278">
        <v>324483.19001101825</v>
      </c>
      <c r="K278">
        <v>439971.23836973502</v>
      </c>
      <c r="L278">
        <v>1507982.3248747375</v>
      </c>
    </row>
    <row r="279" spans="1:12" x14ac:dyDescent="0.25">
      <c r="A279" t="s">
        <v>243</v>
      </c>
      <c r="B279" t="s">
        <v>244</v>
      </c>
      <c r="C279">
        <v>24089.814939311054</v>
      </c>
      <c r="D279">
        <v>0</v>
      </c>
      <c r="E279">
        <v>11523.681290131903</v>
      </c>
      <c r="F279">
        <v>15839.507897898438</v>
      </c>
      <c r="G279">
        <v>51453.004127341395</v>
      </c>
      <c r="H279">
        <v>20859.925956436204</v>
      </c>
      <c r="I279">
        <v>0</v>
      </c>
      <c r="J279">
        <v>10064.136424788057</v>
      </c>
      <c r="K279">
        <v>13646.101561642079</v>
      </c>
      <c r="L279">
        <v>44570.16394286634</v>
      </c>
    </row>
    <row r="280" spans="1:12" x14ac:dyDescent="0.25">
      <c r="A280" t="s">
        <v>245</v>
      </c>
      <c r="B280" t="s">
        <v>246</v>
      </c>
      <c r="C280">
        <v>64526.290016011735</v>
      </c>
      <c r="D280">
        <v>0</v>
      </c>
      <c r="E280">
        <v>30867.003455710452</v>
      </c>
      <c r="F280">
        <v>42427.253297942247</v>
      </c>
      <c r="G280">
        <v>137820.54676966445</v>
      </c>
      <c r="H280">
        <v>63448.941450826787</v>
      </c>
      <c r="I280">
        <v>0</v>
      </c>
      <c r="J280">
        <v>30611.748292063672</v>
      </c>
      <c r="K280">
        <v>41506.892249994657</v>
      </c>
      <c r="L280">
        <v>135567.58199288513</v>
      </c>
    </row>
    <row r="281" spans="1:12" x14ac:dyDescent="0.25">
      <c r="A281" t="s">
        <v>608</v>
      </c>
      <c r="B281" t="s">
        <v>609</v>
      </c>
      <c r="C281">
        <v>34902.060722446069</v>
      </c>
      <c r="D281">
        <v>9141.0428606285368</v>
      </c>
      <c r="E281">
        <v>22232.007412531515</v>
      </c>
      <c r="F281">
        <v>30656.463411935518</v>
      </c>
      <c r="G281">
        <v>96931.57440754163</v>
      </c>
      <c r="H281">
        <v>39112.361168317882</v>
      </c>
      <c r="I281">
        <v>10529.709072378413</v>
      </c>
      <c r="J281">
        <v>23231.234811896233</v>
      </c>
      <c r="K281">
        <v>31499.552099142689</v>
      </c>
      <c r="L281">
        <v>104372.85715173522</v>
      </c>
    </row>
    <row r="282" spans="1:12" x14ac:dyDescent="0.25">
      <c r="A282" t="s">
        <v>60</v>
      </c>
      <c r="B282" t="s">
        <v>42</v>
      </c>
      <c r="C282">
        <v>394644.16849933227</v>
      </c>
      <c r="D282">
        <v>103359.49179727057</v>
      </c>
      <c r="E282">
        <v>243411.91773993953</v>
      </c>
      <c r="F282">
        <v>335648.88728929288</v>
      </c>
      <c r="G282">
        <v>1077064.4653258352</v>
      </c>
      <c r="H282">
        <v>438829.90563110972</v>
      </c>
      <c r="I282">
        <v>118140.43183610703</v>
      </c>
      <c r="J282">
        <v>256409.00116485672</v>
      </c>
      <c r="K282">
        <v>347668.50562526262</v>
      </c>
      <c r="L282">
        <v>1161047.8442573361</v>
      </c>
    </row>
    <row r="283" spans="1:12" x14ac:dyDescent="0.25">
      <c r="A283" t="s">
        <v>247</v>
      </c>
      <c r="B283" t="s">
        <v>248</v>
      </c>
      <c r="C283">
        <v>565250.30054026283</v>
      </c>
      <c r="D283">
        <v>0</v>
      </c>
      <c r="E283">
        <v>270394.95027202356</v>
      </c>
      <c r="F283">
        <v>371662.73888997402</v>
      </c>
      <c r="G283">
        <v>1207307.9897022604</v>
      </c>
      <c r="H283">
        <v>556264.69217163185</v>
      </c>
      <c r="I283">
        <v>0</v>
      </c>
      <c r="J283">
        <v>268376.97132768139</v>
      </c>
      <c r="K283">
        <v>363896.04164378881</v>
      </c>
      <c r="L283">
        <v>1188537.705143102</v>
      </c>
    </row>
    <row r="284" spans="1:12" x14ac:dyDescent="0.25">
      <c r="A284" t="s">
        <v>610</v>
      </c>
      <c r="B284" t="s">
        <v>611</v>
      </c>
      <c r="C284">
        <v>173790.80777645842</v>
      </c>
      <c r="D284">
        <v>45791.013630287074</v>
      </c>
      <c r="E284">
        <v>113604.25708854655</v>
      </c>
      <c r="F284">
        <v>156151.10155205624</v>
      </c>
      <c r="G284">
        <v>489337.18004734826</v>
      </c>
      <c r="H284">
        <v>220767.54970561652</v>
      </c>
      <c r="I284">
        <v>59434.357875202586</v>
      </c>
      <c r="J284">
        <v>173317.53357915345</v>
      </c>
      <c r="K284">
        <v>235003.63725288503</v>
      </c>
      <c r="L284">
        <v>688523.07841285761</v>
      </c>
    </row>
    <row r="285" spans="1:12" x14ac:dyDescent="0.25">
      <c r="A285" t="s">
        <v>249</v>
      </c>
      <c r="B285" t="s">
        <v>250</v>
      </c>
      <c r="C285">
        <v>397481.94649863243</v>
      </c>
      <c r="D285">
        <v>0</v>
      </c>
      <c r="E285">
        <v>190140.7412871765</v>
      </c>
      <c r="F285">
        <v>261351.88031532418</v>
      </c>
      <c r="G285">
        <v>848974.5681011331</v>
      </c>
      <c r="H285">
        <v>412852.70122113317</v>
      </c>
      <c r="I285">
        <v>0</v>
      </c>
      <c r="J285">
        <v>199186.03340726357</v>
      </c>
      <c r="K285">
        <v>270079.09340749955</v>
      </c>
      <c r="L285">
        <v>882117.82803589641</v>
      </c>
    </row>
    <row r="286" spans="1:12" x14ac:dyDescent="0.25">
      <c r="A286" t="s">
        <v>612</v>
      </c>
      <c r="B286" t="s">
        <v>613</v>
      </c>
      <c r="C286">
        <v>56783.13521409034</v>
      </c>
      <c r="D286">
        <v>14961.4202950443</v>
      </c>
      <c r="E286">
        <v>34546.955665293921</v>
      </c>
      <c r="F286">
        <v>47637.960112853594</v>
      </c>
      <c r="G286">
        <v>153929.47128728215</v>
      </c>
      <c r="H286">
        <v>66925.595776899485</v>
      </c>
      <c r="I286">
        <v>18017.502190514173</v>
      </c>
      <c r="J286">
        <v>46347.130426974203</v>
      </c>
      <c r="K286">
        <v>62842.714188513288</v>
      </c>
      <c r="L286">
        <v>194132.94258290116</v>
      </c>
    </row>
    <row r="287" spans="1:12" x14ac:dyDescent="0.25">
      <c r="A287" t="s">
        <v>63</v>
      </c>
      <c r="B287" t="s">
        <v>48</v>
      </c>
      <c r="C287">
        <v>2412367.6584831234</v>
      </c>
      <c r="D287">
        <v>0</v>
      </c>
      <c r="E287">
        <v>1708235.2358660235</v>
      </c>
      <c r="F287">
        <v>2348000.1597352899</v>
      </c>
      <c r="G287">
        <v>6468603.054084437</v>
      </c>
      <c r="H287">
        <v>2360210.8610772477</v>
      </c>
      <c r="I287">
        <v>0</v>
      </c>
      <c r="J287">
        <v>1667372.7351757819</v>
      </c>
      <c r="K287">
        <v>2260813.7176360684</v>
      </c>
      <c r="L287">
        <v>6288397.3138890974</v>
      </c>
    </row>
    <row r="288" spans="1:12" x14ac:dyDescent="0.25">
      <c r="A288" t="s">
        <v>251</v>
      </c>
      <c r="B288" t="s">
        <v>252</v>
      </c>
      <c r="C288">
        <v>103696.28457698962</v>
      </c>
      <c r="D288">
        <v>0</v>
      </c>
      <c r="E288">
        <v>50406.183171632561</v>
      </c>
      <c r="F288">
        <v>69506.782786760334</v>
      </c>
      <c r="G288">
        <v>223609.25053538251</v>
      </c>
      <c r="H288">
        <v>99084.648293071965</v>
      </c>
      <c r="I288">
        <v>0</v>
      </c>
      <c r="J288">
        <v>47804.648017743275</v>
      </c>
      <c r="K288">
        <v>64818.982417799889</v>
      </c>
      <c r="L288">
        <v>211708.27872861511</v>
      </c>
    </row>
    <row r="289" spans="1:12" x14ac:dyDescent="0.25">
      <c r="A289" t="s">
        <v>614</v>
      </c>
      <c r="B289" t="s">
        <v>615</v>
      </c>
      <c r="C289">
        <v>94638.558690150574</v>
      </c>
      <c r="D289">
        <v>24935.700491740503</v>
      </c>
      <c r="E289">
        <v>55591.833338774835</v>
      </c>
      <c r="F289">
        <v>76411.978174215765</v>
      </c>
      <c r="G289">
        <v>251578.07069488167</v>
      </c>
      <c r="H289">
        <v>85174.702821135521</v>
      </c>
      <c r="I289">
        <v>22442.130442566453</v>
      </c>
      <c r="J289">
        <v>50032.650004897354</v>
      </c>
      <c r="K289">
        <v>68770.780356794188</v>
      </c>
      <c r="L289">
        <v>226420.26362539351</v>
      </c>
    </row>
    <row r="290" spans="1:12" x14ac:dyDescent="0.25">
      <c r="A290" t="s">
        <v>616</v>
      </c>
      <c r="B290" t="s">
        <v>617</v>
      </c>
      <c r="C290">
        <v>301983.03727493499</v>
      </c>
      <c r="D290">
        <v>79567.553387281034</v>
      </c>
      <c r="E290">
        <v>156042.08603766694</v>
      </c>
      <c r="F290">
        <v>214482.66330610073</v>
      </c>
      <c r="G290">
        <v>752075.34000598371</v>
      </c>
      <c r="H290">
        <v>271784.73354744149</v>
      </c>
      <c r="I290">
        <v>71610.798048552926</v>
      </c>
      <c r="J290">
        <v>140437.87743390026</v>
      </c>
      <c r="K290">
        <v>193034.39697549067</v>
      </c>
      <c r="L290">
        <v>676867.80600538536</v>
      </c>
    </row>
    <row r="291" spans="1:12" x14ac:dyDescent="0.25">
      <c r="A291" t="s">
        <v>618</v>
      </c>
      <c r="B291" t="s">
        <v>619</v>
      </c>
      <c r="C291">
        <v>26095.753734606653</v>
      </c>
      <c r="D291">
        <v>0</v>
      </c>
      <c r="E291">
        <v>12684.999738556538</v>
      </c>
      <c r="F291">
        <v>17491.773151635054</v>
      </c>
      <c r="G291">
        <v>56272.526624798244</v>
      </c>
      <c r="H291">
        <v>32159.052516172473</v>
      </c>
      <c r="I291">
        <v>0</v>
      </c>
      <c r="J291">
        <v>15515.543654881587</v>
      </c>
      <c r="K291">
        <v>21037.739907531541</v>
      </c>
      <c r="L291">
        <v>68712.336078585591</v>
      </c>
    </row>
    <row r="292" spans="1:12" x14ac:dyDescent="0.25">
      <c r="A292" t="s">
        <v>620</v>
      </c>
      <c r="B292" t="s">
        <v>1399</v>
      </c>
      <c r="C292">
        <v>708068.48910903581</v>
      </c>
      <c r="D292">
        <v>0</v>
      </c>
      <c r="E292">
        <v>365876.88096168806</v>
      </c>
      <c r="F292">
        <v>502904.37575827533</v>
      </c>
      <c r="G292">
        <v>1576849.7458289992</v>
      </c>
      <c r="H292">
        <v>924790.05073533824</v>
      </c>
      <c r="I292">
        <v>248969.12117801406</v>
      </c>
      <c r="J292">
        <v>524383.44163322763</v>
      </c>
      <c r="K292">
        <v>711018.75011805922</v>
      </c>
      <c r="L292">
        <v>2409161.3636646392</v>
      </c>
    </row>
    <row r="293" spans="1:12" x14ac:dyDescent="0.25">
      <c r="A293" t="s">
        <v>621</v>
      </c>
      <c r="B293" t="s">
        <v>622</v>
      </c>
      <c r="C293">
        <v>734739.35564898723</v>
      </c>
      <c r="D293">
        <v>193591.71109042165</v>
      </c>
      <c r="E293">
        <v>472661.99964679894</v>
      </c>
      <c r="F293">
        <v>649682.44851175009</v>
      </c>
      <c r="G293">
        <v>2050675.5148979579</v>
      </c>
      <c r="H293">
        <v>661265.42008408858</v>
      </c>
      <c r="I293">
        <v>175261.15767136513</v>
      </c>
      <c r="J293">
        <v>425395.79968211905</v>
      </c>
      <c r="K293">
        <v>584714.20366057509</v>
      </c>
      <c r="L293">
        <v>1846636.5810981481</v>
      </c>
    </row>
    <row r="294" spans="1:12" x14ac:dyDescent="0.25">
      <c r="A294" t="s">
        <v>623</v>
      </c>
      <c r="B294" t="s">
        <v>624</v>
      </c>
      <c r="C294">
        <v>150561.34337069414</v>
      </c>
      <c r="D294">
        <v>39670.432600496242</v>
      </c>
      <c r="E294">
        <v>84441.72956366041</v>
      </c>
      <c r="F294">
        <v>116066.68118122635</v>
      </c>
      <c r="G294">
        <v>390740.18671607715</v>
      </c>
      <c r="H294">
        <v>175571.04346667137</v>
      </c>
      <c r="I294">
        <v>47266.694058231988</v>
      </c>
      <c r="J294">
        <v>108994.9224681934</v>
      </c>
      <c r="K294">
        <v>147787.72056794664</v>
      </c>
      <c r="L294">
        <v>479620.38056104339</v>
      </c>
    </row>
    <row r="295" spans="1:12" x14ac:dyDescent="0.25">
      <c r="A295" t="s">
        <v>253</v>
      </c>
      <c r="B295" t="s">
        <v>254</v>
      </c>
      <c r="C295">
        <v>239177.44832601695</v>
      </c>
      <c r="D295">
        <v>0</v>
      </c>
      <c r="E295">
        <v>114413.69280916675</v>
      </c>
      <c r="F295">
        <v>157263.68555770593</v>
      </c>
      <c r="G295">
        <v>510854.82669288962</v>
      </c>
      <c r="H295">
        <v>221636.71328713471</v>
      </c>
      <c r="I295">
        <v>0</v>
      </c>
      <c r="J295">
        <v>106931.4495133731</v>
      </c>
      <c r="K295">
        <v>144989.82909244706</v>
      </c>
      <c r="L295">
        <v>473557.99189295486</v>
      </c>
    </row>
    <row r="296" spans="1:12" x14ac:dyDescent="0.25">
      <c r="A296" t="s">
        <v>625</v>
      </c>
      <c r="B296" t="s">
        <v>626</v>
      </c>
      <c r="C296">
        <v>0</v>
      </c>
      <c r="D296">
        <v>1818.4223737979735</v>
      </c>
      <c r="E296">
        <v>0</v>
      </c>
      <c r="F296">
        <v>0</v>
      </c>
      <c r="G296">
        <v>1818.4223737979735</v>
      </c>
      <c r="H296">
        <v>0</v>
      </c>
      <c r="I296">
        <v>1545.6590177282774</v>
      </c>
      <c r="J296">
        <v>0</v>
      </c>
      <c r="K296">
        <v>0</v>
      </c>
      <c r="L296">
        <v>1545.6590177282774</v>
      </c>
    </row>
    <row r="297" spans="1:12" x14ac:dyDescent="0.25">
      <c r="A297" t="s">
        <v>627</v>
      </c>
      <c r="B297" t="s">
        <v>628</v>
      </c>
      <c r="C297">
        <v>36134.722408966583</v>
      </c>
      <c r="D297">
        <v>9352.6410749949355</v>
      </c>
      <c r="E297">
        <v>17358.420694866847</v>
      </c>
      <c r="F297">
        <v>23936.110628553233</v>
      </c>
      <c r="G297">
        <v>86781.894807381599</v>
      </c>
      <c r="H297">
        <v>33897.379679208825</v>
      </c>
      <c r="I297">
        <v>7949.7449137456952</v>
      </c>
      <c r="J297">
        <v>16354.221690280587</v>
      </c>
      <c r="K297">
        <v>22174.915037668379</v>
      </c>
      <c r="L297">
        <v>80376.26132090349</v>
      </c>
    </row>
    <row r="298" spans="1:12" x14ac:dyDescent="0.25">
      <c r="A298" t="s">
        <v>629</v>
      </c>
      <c r="B298" t="s">
        <v>630</v>
      </c>
      <c r="C298">
        <v>58897.227469127742</v>
      </c>
      <c r="D298">
        <v>15425.509827310645</v>
      </c>
      <c r="E298">
        <v>40171.721489471565</v>
      </c>
      <c r="F298">
        <v>54884.318404265228</v>
      </c>
      <c r="G298">
        <v>169378.7771901752</v>
      </c>
      <c r="H298">
        <v>73009.740847526671</v>
      </c>
      <c r="I298">
        <v>19655.456935106373</v>
      </c>
      <c r="J298">
        <v>50485.073502353938</v>
      </c>
      <c r="K298">
        <v>68453.408348406345</v>
      </c>
      <c r="L298">
        <v>211603.67963339333</v>
      </c>
    </row>
    <row r="299" spans="1:12" x14ac:dyDescent="0.25">
      <c r="A299" t="s">
        <v>64</v>
      </c>
      <c r="B299" t="s">
        <v>1390</v>
      </c>
      <c r="C299">
        <v>773299.95182445808</v>
      </c>
      <c r="D299">
        <v>175350.9872106596</v>
      </c>
      <c r="E299">
        <v>445484.49322934798</v>
      </c>
      <c r="F299">
        <v>614293.56395284913</v>
      </c>
      <c r="G299">
        <v>2008428.9962173146</v>
      </c>
      <c r="H299">
        <v>928656.38732570899</v>
      </c>
      <c r="I299">
        <v>148945.76604316637</v>
      </c>
      <c r="J299">
        <v>530306.21419284004</v>
      </c>
      <c r="K299">
        <v>719049.51922368375</v>
      </c>
      <c r="L299">
        <v>2326957.8867853992</v>
      </c>
    </row>
    <row r="300" spans="1:12" x14ac:dyDescent="0.25">
      <c r="A300" t="s">
        <v>306</v>
      </c>
      <c r="B300" t="s">
        <v>1386</v>
      </c>
      <c r="C300">
        <v>374252.48209286825</v>
      </c>
      <c r="D300">
        <v>0</v>
      </c>
      <c r="E300">
        <v>179028.6200431207</v>
      </c>
      <c r="F300">
        <v>246078.06912806502</v>
      </c>
      <c r="G300">
        <v>799359.1712640539</v>
      </c>
      <c r="H300">
        <v>318114.609778938</v>
      </c>
      <c r="I300">
        <v>0</v>
      </c>
      <c r="J300">
        <v>152174.3270366526</v>
      </c>
      <c r="K300">
        <v>209166.35875885526</v>
      </c>
      <c r="L300">
        <v>679455.29557444586</v>
      </c>
    </row>
    <row r="301" spans="1:12" x14ac:dyDescent="0.25">
      <c r="A301" t="s">
        <v>255</v>
      </c>
      <c r="B301" t="s">
        <v>1385</v>
      </c>
      <c r="C301">
        <v>634938.69375755556</v>
      </c>
      <c r="D301">
        <v>0</v>
      </c>
      <c r="E301">
        <v>313402.97508698015</v>
      </c>
      <c r="F301">
        <v>430778.04515177343</v>
      </c>
      <c r="G301">
        <v>1379119.7139963091</v>
      </c>
      <c r="H301">
        <v>637096.90525282221</v>
      </c>
      <c r="I301">
        <v>0</v>
      </c>
      <c r="J301">
        <v>316181.61934542481</v>
      </c>
      <c r="K301">
        <v>428715.02406158857</v>
      </c>
      <c r="L301">
        <v>1381993.5486598355</v>
      </c>
    </row>
    <row r="302" spans="1:12" x14ac:dyDescent="0.25">
      <c r="A302" t="s">
        <v>68</v>
      </c>
      <c r="B302" t="s">
        <v>1383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</row>
    <row r="303" spans="1:12" x14ac:dyDescent="0.25">
      <c r="A303" t="s">
        <v>631</v>
      </c>
      <c r="B303" t="s">
        <v>632</v>
      </c>
      <c r="C303">
        <v>76913.800480945938</v>
      </c>
      <c r="D303">
        <v>20144.150007681394</v>
      </c>
      <c r="E303">
        <v>49307.294996912722</v>
      </c>
      <c r="F303">
        <v>67991.488891026995</v>
      </c>
      <c r="G303">
        <v>214356.73437656707</v>
      </c>
      <c r="H303">
        <v>84308.86740726298</v>
      </c>
      <c r="I303">
        <v>22697.372889349022</v>
      </c>
      <c r="J303">
        <v>47907.910250851768</v>
      </c>
      <c r="K303">
        <v>64958.99710569797</v>
      </c>
      <c r="L303">
        <v>219873.14765316172</v>
      </c>
    </row>
    <row r="304" spans="1:12" x14ac:dyDescent="0.25">
      <c r="A304" t="s">
        <v>256</v>
      </c>
      <c r="B304" t="s">
        <v>257</v>
      </c>
      <c r="C304">
        <v>197778.34409386094</v>
      </c>
      <c r="D304">
        <v>0</v>
      </c>
      <c r="E304">
        <v>0</v>
      </c>
      <c r="F304">
        <v>0</v>
      </c>
      <c r="G304">
        <v>197778.34409386094</v>
      </c>
      <c r="H304">
        <v>172963.55272211684</v>
      </c>
      <c r="I304">
        <v>0</v>
      </c>
      <c r="J304">
        <v>0</v>
      </c>
      <c r="K304">
        <v>0</v>
      </c>
      <c r="L304">
        <v>172963.55272211684</v>
      </c>
    </row>
    <row r="305" spans="1:12" x14ac:dyDescent="0.25">
      <c r="A305" t="s">
        <v>307</v>
      </c>
      <c r="B305" t="s">
        <v>308</v>
      </c>
      <c r="C305">
        <v>127331.87896492989</v>
      </c>
      <c r="D305">
        <v>0</v>
      </c>
      <c r="E305">
        <v>60910.886819268635</v>
      </c>
      <c r="F305">
        <v>83723.113174606042</v>
      </c>
      <c r="G305">
        <v>271965.87895880459</v>
      </c>
      <c r="H305">
        <v>131243.70080924436</v>
      </c>
      <c r="I305">
        <v>0</v>
      </c>
      <c r="J305">
        <v>63320.191672624875</v>
      </c>
      <c r="K305">
        <v>85856.7223253314</v>
      </c>
      <c r="L305">
        <v>280420.61480720062</v>
      </c>
    </row>
    <row r="306" spans="1:12" x14ac:dyDescent="0.25">
      <c r="A306" t="s">
        <v>70</v>
      </c>
      <c r="B306" t="s">
        <v>1396</v>
      </c>
      <c r="C306">
        <v>31042.97551993349</v>
      </c>
      <c r="D306">
        <v>8179.312435133852</v>
      </c>
      <c r="E306">
        <v>22654.083780661225</v>
      </c>
      <c r="F306">
        <v>31235.675075331794</v>
      </c>
      <c r="G306">
        <v>93112.046811060354</v>
      </c>
      <c r="H306">
        <v>23530.047380660886</v>
      </c>
      <c r="I306">
        <v>6334.6866815684616</v>
      </c>
      <c r="J306">
        <v>17789.264362139995</v>
      </c>
      <c r="K306">
        <v>24120.709214032206</v>
      </c>
      <c r="L306">
        <v>71774.707638401553</v>
      </c>
    </row>
    <row r="307" spans="1:12" x14ac:dyDescent="0.25">
      <c r="A307" t="s">
        <v>258</v>
      </c>
      <c r="B307" t="s">
        <v>259</v>
      </c>
      <c r="C307">
        <v>28391.56760704517</v>
      </c>
      <c r="D307">
        <v>0</v>
      </c>
      <c r="E307">
        <v>13581.4815205126</v>
      </c>
      <c r="F307">
        <v>18667.991451094585</v>
      </c>
      <c r="G307">
        <v>60641.040578652348</v>
      </c>
      <c r="H307">
        <v>25205.743864027078</v>
      </c>
      <c r="I307">
        <v>0</v>
      </c>
      <c r="J307">
        <v>12160.831513285571</v>
      </c>
      <c r="K307">
        <v>16489.039386984179</v>
      </c>
      <c r="L307">
        <v>53855.614764296828</v>
      </c>
    </row>
    <row r="308" spans="1:12" x14ac:dyDescent="0.25">
      <c r="A308" t="s">
        <v>633</v>
      </c>
      <c r="B308" t="s">
        <v>634</v>
      </c>
      <c r="C308">
        <v>43542.987524510827</v>
      </c>
      <c r="D308">
        <v>11321.525852586967</v>
      </c>
      <c r="E308">
        <v>23242.358577955023</v>
      </c>
      <c r="F308">
        <v>29333.116174164265</v>
      </c>
      <c r="G308">
        <v>107439.98812921709</v>
      </c>
      <c r="H308">
        <v>37011.539395834203</v>
      </c>
      <c r="I308">
        <v>9623.296974698922</v>
      </c>
      <c r="J308">
        <v>19756.00479126177</v>
      </c>
      <c r="K308">
        <v>24933.148748039624</v>
      </c>
      <c r="L308">
        <v>91323.989909834519</v>
      </c>
    </row>
    <row r="309" spans="1:12" x14ac:dyDescent="0.25">
      <c r="A309" t="s">
        <v>635</v>
      </c>
      <c r="B309" t="s">
        <v>636</v>
      </c>
      <c r="C309">
        <v>12905.258003202352</v>
      </c>
      <c r="D309">
        <v>2510.0445587040394</v>
      </c>
      <c r="E309">
        <v>6173.4006911420902</v>
      </c>
      <c r="F309">
        <v>8485.4506595884504</v>
      </c>
      <c r="G309">
        <v>30074.153912636932</v>
      </c>
      <c r="H309">
        <v>13906.617304290807</v>
      </c>
      <c r="I309">
        <v>2133.5378748984335</v>
      </c>
      <c r="J309">
        <v>6709.4242831920374</v>
      </c>
      <c r="K309">
        <v>9097.4010410947194</v>
      </c>
      <c r="L309">
        <v>31846.980503475996</v>
      </c>
    </row>
    <row r="310" spans="1:12" x14ac:dyDescent="0.25">
      <c r="A310" t="s">
        <v>637</v>
      </c>
      <c r="B310" t="s">
        <v>638</v>
      </c>
      <c r="C310">
        <v>88616.104955322837</v>
      </c>
      <c r="D310">
        <v>22063.996591020456</v>
      </c>
      <c r="E310">
        <v>42390.684745842365</v>
      </c>
      <c r="F310">
        <v>58266.761195840678</v>
      </c>
      <c r="G310">
        <v>211337.54748802632</v>
      </c>
      <c r="H310">
        <v>86916.358151817491</v>
      </c>
      <c r="I310">
        <v>18754.397102367388</v>
      </c>
      <c r="J310">
        <v>41933.901769950251</v>
      </c>
      <c r="K310">
        <v>56858.756506841994</v>
      </c>
      <c r="L310">
        <v>204463.41353097715</v>
      </c>
    </row>
    <row r="311" spans="1:12" x14ac:dyDescent="0.25">
      <c r="A311" t="s">
        <v>639</v>
      </c>
      <c r="B311" t="s">
        <v>640</v>
      </c>
      <c r="C311">
        <v>18067.361204483292</v>
      </c>
      <c r="D311">
        <v>0</v>
      </c>
      <c r="E311">
        <v>8642.7609675989261</v>
      </c>
      <c r="F311">
        <v>11879.630923423827</v>
      </c>
      <c r="G311">
        <v>38589.753095506043</v>
      </c>
      <c r="H311">
        <v>24336.580282508898</v>
      </c>
      <c r="I311">
        <v>6551.8189783687894</v>
      </c>
      <c r="J311">
        <v>13344.646527202151</v>
      </c>
      <c r="K311">
        <v>18094.19051255058</v>
      </c>
      <c r="L311">
        <v>62327.236300630415</v>
      </c>
    </row>
    <row r="312" spans="1:12" x14ac:dyDescent="0.25">
      <c r="A312" t="s">
        <v>641</v>
      </c>
      <c r="B312" t="s">
        <v>642</v>
      </c>
      <c r="C312">
        <v>13765.608536749176</v>
      </c>
      <c r="D312">
        <v>3627.0109806168002</v>
      </c>
      <c r="E312">
        <v>12395.519802738447</v>
      </c>
      <c r="F312">
        <v>17037.865667298818</v>
      </c>
      <c r="G312">
        <v>46826.004987403241</v>
      </c>
      <c r="H312">
        <v>26944.07102706343</v>
      </c>
      <c r="I312">
        <v>7253.7995831940152</v>
      </c>
      <c r="J312">
        <v>37317.104986784019</v>
      </c>
      <c r="K312">
        <v>50598.777991708223</v>
      </c>
      <c r="L312">
        <v>122113.75358874968</v>
      </c>
    </row>
    <row r="313" spans="1:12" x14ac:dyDescent="0.25">
      <c r="A313" t="s">
        <v>643</v>
      </c>
      <c r="B313" t="s">
        <v>644</v>
      </c>
      <c r="C313">
        <v>212506.58178606542</v>
      </c>
      <c r="D313">
        <v>0</v>
      </c>
      <c r="E313">
        <v>101655.33138080647</v>
      </c>
      <c r="F313">
        <v>139727.08752788982</v>
      </c>
      <c r="G313">
        <v>453889.00069476169</v>
      </c>
      <c r="H313">
        <v>232066.67626535281</v>
      </c>
      <c r="I313">
        <v>0</v>
      </c>
      <c r="J313">
        <v>111963.51772576712</v>
      </c>
      <c r="K313">
        <v>151812.87987326816</v>
      </c>
      <c r="L313">
        <v>495843.07386438805</v>
      </c>
    </row>
    <row r="314" spans="1:12" x14ac:dyDescent="0.25">
      <c r="A314" t="s">
        <v>645</v>
      </c>
      <c r="B314" t="s">
        <v>646</v>
      </c>
      <c r="C314">
        <v>3688322.7373152324</v>
      </c>
      <c r="D314">
        <v>971812.25461901387</v>
      </c>
      <c r="E314">
        <v>2921047.4270254001</v>
      </c>
      <c r="F314">
        <v>4015032.403761934</v>
      </c>
      <c r="G314">
        <v>11596214.82272158</v>
      </c>
      <c r="H314">
        <v>3868647.101337397</v>
      </c>
      <c r="I314">
        <v>1041505.2240256959</v>
      </c>
      <c r="J314">
        <v>3113801.875927655</v>
      </c>
      <c r="K314">
        <v>4222046.9644155521</v>
      </c>
      <c r="L314">
        <v>12246001.165706299</v>
      </c>
    </row>
    <row r="315" spans="1:12" x14ac:dyDescent="0.25">
      <c r="A315" t="s">
        <v>647</v>
      </c>
      <c r="B315" t="s">
        <v>648</v>
      </c>
      <c r="C315">
        <v>530836.27919839008</v>
      </c>
      <c r="D315">
        <v>0</v>
      </c>
      <c r="E315">
        <v>256704.33681447321</v>
      </c>
      <c r="F315">
        <v>353978.25141071988</v>
      </c>
      <c r="G315">
        <v>1141518.8674235833</v>
      </c>
      <c r="H315">
        <v>468479.17043829645</v>
      </c>
      <c r="I315">
        <v>0</v>
      </c>
      <c r="J315">
        <v>226023.7305400318</v>
      </c>
      <c r="K315">
        <v>306468.69757187838</v>
      </c>
      <c r="L315">
        <v>1000971.5985502065</v>
      </c>
    </row>
    <row r="316" spans="1:12" x14ac:dyDescent="0.25">
      <c r="A316" t="s">
        <v>649</v>
      </c>
      <c r="B316" t="s">
        <v>650</v>
      </c>
      <c r="C316">
        <v>118728.37362946161</v>
      </c>
      <c r="D316">
        <v>28667.351012567196</v>
      </c>
      <c r="E316">
        <v>57416.314606098022</v>
      </c>
      <c r="F316">
        <v>79173.289002137608</v>
      </c>
      <c r="G316">
        <v>283985.3282502644</v>
      </c>
      <c r="H316">
        <v>139066.17304290796</v>
      </c>
      <c r="I316">
        <v>24367.248360682115</v>
      </c>
      <c r="J316">
        <v>67094.242831920346</v>
      </c>
      <c r="K316">
        <v>90974.010410947201</v>
      </c>
      <c r="L316">
        <v>321501.6746464576</v>
      </c>
    </row>
  </sheetData>
  <sheetProtection algorithmName="SHA-512" hashValue="dCZdERII+vludBXH95idM1ZwsHubUPjUKZhcXYJSMr51IRoJ3gkp71fum7+1Nc6/XQ7BAGg8lVNRm+LvNbX2YQ==" saltValue="LsqBHfes1Io0Cu/7cfRqOA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s u m i f _ c 9 c 1 6 b e 1 - 9 4 6 9 - 4 6 2 3 - 9 b 4 e - b c b 3 2 3 c c e 1 4 4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 S e n d i n g   D i s t r i c t   C C D D D < / s t r i n g > < / k e y > < v a l u e > < i n t > 1 7 9 < / i n t > < / v a l u e > < / i t e m > < i t e m > < k e y > < s t r i n g > S u m T o t a l S t u d e n t s   i n   p o v e r t y < / s t r i n g > < / k e y > < v a l u e > < i n t > 2 1 4 < / i n t > < / v a l u e > < / i t e m > < / C o l u m n W i d t h s > < C o l u m n D i s p l a y I n d e x > < i t e m > < k e y > < s t r i n g > S e n d i n g   D i s t r i c t   C C D D D < / s t r i n g > < / k e y > < v a l u e > < i n t > 0 < / i n t > < / v a l u e > < / i t e m > < i t e m > < k e y > < s t r i n g > S u m T o t a l S t u d e n t s   i n   p o v e r t y 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0 5 3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O r d e r " > < C u s t o m C o n t e n t > < ! [ C D A T A [ F R P L _ 6 d 9 4 2 e 1 6 - 2 2 d b - 4 f f a - b 3 c 4 - 7 8 e 5 f 7 7 f 3 d 9 7 , C h a r t e r _ T r i b a l S e n d i n g   D i s t r i c t s _ a d c 0 a f 9 0 - 1 c f 7 - 4 a f d - a 1 f 7 - 5 0 5 f 4 e 6 c d 8 3 a , C h a r t e r O n l y _ d 4 b 2 8 d b 4 - 5 9 5 5 - 4 8 2 1 - 8 a 9 1 - 0 8 5 6 5 0 4 1 f b b 0 , S e n d i n g O n l y _ 5 2 8 9 9 1 c 0 - 2 2 c f - 4 f 9 a - 9 1 0 7 - 2 1 e 3 0 a 0 d 6 3 5 9 , A p p e n d 1 _ b 3 4 8 9 1 a c - 6 a 3 8 - 4 0 e d - b 3 3 5 - 0 b b b 1 a 4 8 9 8 8 3 , S p l i t   C a l c _ 2 4 7 9 5 7 c 6 - f 8 0 a - 4 c f 9 - b f 6 2 - 8 3 0 d e e 1 7 a d a e , C C D D D   L E A i d _ 5 8 4 1 9 7 1 3 - e a 0 3 - 4 4 5 5 - 9 8 b b - 3 7 2 1 9 4 3 4 a 6 9 b , A l l o c a t i o n   A d j u s t m e n t s _ 8 f e 4 f 7 e 9 - e 0 a e - 4 d d d - b 7 3 4 - 2 4 6 7 4 4 8 3 0 3 6 3 , A l l o c a t i o n   A d j u s t m e n t s   1 _ 3 1 5 c 8 9 5 3 - 2 b 8 a - 4 0 3 4 - 8 9 4 8 - 0 3 a 4 2 e 1 3 f 8 6 f , F o r m u l a   C o u n t s   A d j u s t m e n t s _ 2 2 b 3 9 b f 5 - 5 f 1 a - 4 2 f b - b e f 1 - f 2 1 4 1 3 0 e 6 6 e 8 , D O E   F o r m u l a   c o u n t s _ 3 f 1 0 5 a e 7 - f e 3 7 - 4 b 9 a - a a 6 3 - 6 9 b 7 6 8 c b 6 c d c , P r i o r   Y e a r   a d j u s t e d   a l l o c a t i o n s _ 8 1 3 0 c 1 8 f - 6 f 1 7 - 4 e d 2 - b d 1 4 - 5 9 7 e 9 d 2 f c 0 d d , P r i o r   Y e a r   A d j u s t e d   F o r m u l a   c o u n t s _ 2 a 5 7 8 e 4 d - 5 3 4 5 - 4 c a 2 - b 6 b 0 - 1 2 d 6 c d b 6 e 7 9 b , D O E   A l l o c a t i o n _ e 2 0 0 d c 5 5 - e 8 3 5 - 4 8 5 f - b 9 a c - 8 6 4 e 5 e 0 8 6 a 2 b , N e w   O r   E x p n a d e d   H H   c a l c _ 7 9 e 3 5 7 e f - a b 8 d - 4 d c b - 9 a 9 b - e d a 3 0 6 b 3 d 2 7 3 , s u m i f _ c 9 c 1 6 b e 1 - 9 4 6 9 - 4 6 2 3 - 9 b 4 e - b c b 3 2 3 c c e 1 4 4 , A d j u s t e d   A l l o c a t i o n _ 1 6 a d 7 0 0 4 - c 0 8 7 - 4 f 8 e - b 5 d d - 1 9 7 2 1 d f e 9 2 b 0 , A d j u s t e d   F o r m u l a   C o u n t s _ f 8 e e 0 e d 7 - 5 4 d 0 - 4 1 3 4 - 9 2 8 b - 8 d 2 5 2 c 8 f 9 7 b 8 , A s s u m p t i o n s - 3 5 6 1 3 9 1 d - e 1 4 b - 4 8 7 5 - a c a 7 - 0 b 3 d b c 1 c 3 8 d 4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 T a g s \ T a b l e s \ & l t ; T a b l e s \ F R P L & g t ; < / K e y > < / D i a g r a m O b j e c t K e y > < D i a g r a m O b j e c t K e y > < K e y > D y n a m i c   T a g s \ T a b l e s \ & l t ; T a b l e s \ C h a r t e r _ T r i b a l S e n d i n g   D i s t r i c t s & g t ; < / K e y > < / D i a g r a m O b j e c t K e y > < D i a g r a m O b j e c t K e y > < K e y > D y n a m i c   T a g s \ T a b l e s \ & l t ; T a b l e s \ C h a r t e r O n l y & g t ; < / K e y > < / D i a g r a m O b j e c t K e y > < D i a g r a m O b j e c t K e y > < K e y > D y n a m i c   T a g s \ T a b l e s \ & l t ; T a b l e s \ S e n d i n g O n l y & g t ; < / K e y > < / D i a g r a m O b j e c t K e y > < D i a g r a m O b j e c t K e y > < K e y > D y n a m i c   T a g s \ T a b l e s \ & l t ; T a b l e s \ A p p e n d 1 & g t ; < / K e y > < / D i a g r a m O b j e c t K e y > < D i a g r a m O b j e c t K e y > < K e y > D y n a m i c   T a g s \ T a b l e s \ & l t ; T a b l e s \ S p l i t   C a l c & g t ; < / K e y > < / D i a g r a m O b j e c t K e y > < D i a g r a m O b j e c t K e y > < K e y > D y n a m i c   T a g s \ T a b l e s \ & l t ; T a b l e s \ C C D D D   L E A i d & g t ; < / K e y > < / D i a g r a m O b j e c t K e y > < D i a g r a m O b j e c t K e y > < K e y > D y n a m i c   T a g s \ T a b l e s \ & l t ; T a b l e s \ A l l o c a t i o n   A d j u s t m e n t s & g t ; < / K e y > < / D i a g r a m O b j e c t K e y > < D i a g r a m O b j e c t K e y > < K e y > D y n a m i c   T a g s \ T a b l e s \ & l t ; T a b l e s \ A l l o c a t i o n   A d j u s t m e n t s   1 & g t ; < / K e y > < / D i a g r a m O b j e c t K e y > < D i a g r a m O b j e c t K e y > < K e y > D y n a m i c   T a g s \ T a b l e s \ & l t ; T a b l e s \ F o r m u l a   C o u n t s   A d j u s t m e n t s & g t ; < / K e y > < / D i a g r a m O b j e c t K e y > < D i a g r a m O b j e c t K e y > < K e y > D y n a m i c   T a g s \ T a b l e s \ & l t ; T a b l e s \ D O E   F o r m u l a   c o u n t s & g t ; < / K e y > < / D i a g r a m O b j e c t K e y > < D i a g r a m O b j e c t K e y > < K e y > D y n a m i c   T a g s \ T a b l e s \ & l t ; T a b l e s \ P r i o r   Y e a r   a d j u s t e d   a l l o c a t i o n s & g t ; < / K e y > < / D i a g r a m O b j e c t K e y > < D i a g r a m O b j e c t K e y > < K e y > D y n a m i c   T a g s \ T a b l e s \ & l t ; T a b l e s \ P r i o r   Y e a r   A d j u s t e d   F o r m u l a   c o u n t s & g t ; < / K e y > < / D i a g r a m O b j e c t K e y > < D i a g r a m O b j e c t K e y > < K e y > D y n a m i c   T a g s \ T a b l e s \ & l t ; T a b l e s \ D O E   A l l o c a t i o n & g t ; < / K e y > < / D i a g r a m O b j e c t K e y > < D i a g r a m O b j e c t K e y > < K e y > D y n a m i c   T a g s \ T a b l e s \ & l t ; T a b l e s \ N e w   O r   E x p n a d e d   H H   c a l c & g t ; < / K e y > < / D i a g r a m O b j e c t K e y > < D i a g r a m O b j e c t K e y > < K e y > D y n a m i c   T a g s \ T a b l e s \ & l t ; T a b l e s \ I n i t i a l   A d j u s t e d   F o r m u l a   C o u n t s & g t ; < / K e y > < / D i a g r a m O b j e c t K e y > < D i a g r a m O b j e c t K e y > < K e y > T a b l e s \ F R P L < / K e y > < / D i a g r a m O b j e c t K e y > < D i a g r a m O b j e c t K e y > < K e y > T a b l e s \ F R P L \ C o l u m n s \ s c h o o l Y e a r < / K e y > < / D i a g r a m O b j e c t K e y > < D i a g r a m O b j e c t K e y > < K e y > T a b l e s \ F R P L \ C o l u m n s \ C C D D D < / K e y > < / D i a g r a m O b j e c t K e y > < D i a g r a m O b j e c t K e y > < K e y > T a b l e s \ F R P L \ C o l u m n s \ D i s t r i c t N a m e < / K e y > < / D i a g r a m O b j e c t K e y > < D i a g r a m O b j e c t K e y > < K e y > T a b l e s \ F R P L \ C o l u m n s \ T o t a l S t u d e n t s < / K e y > < / D i a g r a m O b j e c t K e y > < D i a g r a m O b j e c t K e y > < K e y > T a b l e s \ F R P L \ C o l u m n s \ T o t a l S t u d e n t s I n P o v e r t y < / K e y > < / D i a g r a m O b j e c t K e y > < D i a g r a m O b j e c t K e y > < K e y > T a b l e s \ F R P L \ C o l u m n s \ T o t a l P e r c e n t I n P o v e r t y < / K e y > < / D i a g r a m O b j e c t K e y > < D i a g r a m O b j e c t K e y > < K e y > T a b l e s \ C h a r t e r _ T r i b a l S e n d i n g   D i s t r i c t s < / K e y > < / D i a g r a m O b j e c t K e y > < D i a g r a m O b j e c t K e y > < K e y > T a b l e s \ C h a r t e r _ T r i b a l S e n d i n g   D i s t r i c t s \ C o l u m n s \ C C D D D < / K e y > < / D i a g r a m O b j e c t K e y > < D i a g r a m O b j e c t K e y > < K e y > T a b l e s \ C h a r t e r _ T r i b a l S e n d i n g   D i s t r i c t s \ C o l u m n s \ C h a r t e r / T r i b a l < / K e y > < / D i a g r a m O b j e c t K e y > < D i a g r a m O b j e c t K e y > < K e y > T a b l e s \ C h a r t e r _ T r i b a l S e n d i n g   D i s t r i c t s \ C o l u m n s \ S e n d i n g   D i s t r i c t < / K e y > < / D i a g r a m O b j e c t K e y > < D i a g r a m O b j e c t K e y > < K e y > T a b l e s \ C h a r t e r _ T r i b a l S e n d i n g   D i s t r i c t s \ C o l u m n s \ S e n d i n g   D i s t r i c t   C C D D D < / K e y > < / D i a g r a m O b j e c t K e y > < D i a g r a m O b j e c t K e y > < K e y > T a b l e s \ C h a r t e r _ T r i b a l S e n d i n g   D i s t r i c t s \ C o l u m n s \ L E A I D < / K e y > < / D i a g r a m O b j e c t K e y > < D i a g r a m O b j e c t K e y > < K e y > T a b l e s \ C h a r t e r _ T r i b a l S e n d i n g   D i s t r i c t s \ C o l u m n s \ I s N e w < / K e y > < / D i a g r a m O b j e c t K e y > < D i a g r a m O b j e c t K e y > < K e y > T a b l e s \ C h a r t e r O n l y < / K e y > < / D i a g r a m O b j e c t K e y > < D i a g r a m O b j e c t K e y > < K e y > T a b l e s \ C h a r t e r O n l y \ C o l u m n s \ C C D D D < / K e y > < / D i a g r a m O b j e c t K e y > < D i a g r a m O b j e c t K e y > < K e y > T a b l e s \ C h a r t e r O n l y \ C o l u m n s \ D i s t r i c t N a m e < / K e y > < / D i a g r a m O b j e c t K e y > < D i a g r a m O b j e c t K e y > < K e y > T a b l e s \ C h a r t e r O n l y \ C o l u m n s \ L E A i d < / K e y > < / D i a g r a m O b j e c t K e y > < D i a g r a m O b j e c t K e y > < K e y > T a b l e s \ C h a r t e r O n l y \ C o l u m n s \ I s N e w < / K e y > < / D i a g r a m O b j e c t K e y > < D i a g r a m O b j e c t K e y > < K e y > T a b l e s \ C h a r t e r O n l y \ C o l u m n s \ S e n d i n g L E A i d < / K e y > < / D i a g r a m O b j e c t K e y > < D i a g r a m O b j e c t K e y > < K e y > T a b l e s \ C h a r t e r O n l y \ C o l u m n s \ D i s t r i c t T y p e < / K e y > < / D i a g r a m O b j e c t K e y > < D i a g r a m O b j e c t K e y > < K e y > T a b l e s \ S e n d i n g O n l y < / K e y > < / D i a g r a m O b j e c t K e y > < D i a g r a m O b j e c t K e y > < K e y > T a b l e s \ S e n d i n g O n l y \ C o l u m n s \ C C D D D < / K e y > < / D i a g r a m O b j e c t K e y > < D i a g r a m O b j e c t K e y > < K e y > T a b l e s \ S e n d i n g O n l y \ C o l u m n s \ D i s t r i c t N a m e < / K e y > < / D i a g r a m O b j e c t K e y > < D i a g r a m O b j e c t K e y > < K e y > T a b l e s \ S e n d i n g O n l y \ C o l u m n s \ S e n d i n g L E A i d < / K e y > < / D i a g r a m O b j e c t K e y > < D i a g r a m O b j e c t K e y > < K e y > T a b l e s \ S e n d i n g O n l y \ C o l u m n s \ D i s t r i c t T y p e < / K e y > < / D i a g r a m O b j e c t K e y > < D i a g r a m O b j e c t K e y > < K e y > T a b l e s \ S e n d i n g O n l y \ C o l u m n s \ L E A i d < / K e y > < / D i a g r a m O b j e c t K e y > < D i a g r a m O b j e c t K e y > < K e y > T a b l e s \ A p p e n d 1 < / K e y > < / D i a g r a m O b j e c t K e y > < D i a g r a m O b j e c t K e y > < K e y > T a b l e s \ A p p e n d 1 \ C o l u m n s \ C C D D D < / K e y > < / D i a g r a m O b j e c t K e y > < D i a g r a m O b j e c t K e y > < K e y > T a b l e s \ A p p e n d 1 \ C o l u m n s \ D i s t r i c t N a m e < / K e y > < / D i a g r a m O b j e c t K e y > < D i a g r a m O b j e c t K e y > < K e y > T a b l e s \ A p p e n d 1 \ C o l u m n s \ S e n d i n g L E A i d < / K e y > < / D i a g r a m O b j e c t K e y > < D i a g r a m O b j e c t K e y > < K e y > T a b l e s \ A p p e n d 1 \ C o l u m n s \ D i s t r i c t T y p e < / K e y > < / D i a g r a m O b j e c t K e y > < D i a g r a m O b j e c t K e y > < K e y > T a b l e s \ A p p e n d 1 \ C o l u m n s \ L E A i d < / K e y > < / D i a g r a m O b j e c t K e y > < D i a g r a m O b j e c t K e y > < K e y > T a b l e s \ A p p e n d 1 \ C o l u m n s \ I s N e w < / K e y > < / D i a g r a m O b j e c t K e y > < D i a g r a m O b j e c t K e y > < K e y > T a b l e s \ S p l i t   C a l c < / K e y > < / D i a g r a m O b j e c t K e y > < D i a g r a m O b j e c t K e y > < K e y > T a b l e s \ S p l i t   C a l c \ C o l u m n s \ C C D D D < / K e y > < / D i a g r a m O b j e c t K e y > < D i a g r a m O b j e c t K e y > < K e y > T a b l e s \ S p l i t   C a l c \ C o l u m n s \ C h a r t e r / T r i b a l < / K e y > < / D i a g r a m O b j e c t K e y > < D i a g r a m O b j e c t K e y > < K e y > T a b l e s \ S p l i t   C a l c \ C o l u m n s \ S e n d i n g   D i s t r i c t < / K e y > < / D i a g r a m O b j e c t K e y > < D i a g r a m O b j e c t K e y > < K e y > T a b l e s \ S p l i t   C a l c \ C o l u m n s \ S e n d i n g   D i s t r i c t   C C D D D < / K e y > < / D i a g r a m O b j e c t K e y > < D i a g r a m O b j e c t K e y > < K e y > T a b l e s \ S p l i t   C a l c \ C o l u m n s \ L E A I D < / K e y > < / D i a g r a m O b j e c t K e y > < D i a g r a m O b j e c t K e y > < K e y > T a b l e s \ S p l i t   C a l c \ C o l u m n s \ I s N e w < / K e y > < / D i a g r a m O b j e c t K e y > < D i a g r a m O b j e c t K e y > < K e y > T a b l e s \ S p l i t   C a l c \ C o l u m n s \ T o t a l S t u d e n t s I n P o v e r t y < / K e y > < / D i a g r a m O b j e c t K e y > < D i a g r a m O b j e c t K e y > < K e y > T a b l e s \ S p l i t   C a l c \ C o l u m n s \ S e n d i n g T o t a l S t u d e n t s I n P o v e r t y < / K e y > < / D i a g r a m O b j e c t K e y > < D i a g r a m O b j e c t K e y > < K e y > T a b l e s \ S p l i t   C a l c \ C o l u m n s \ S e n d i n g L E A I d < / K e y > < / D i a g r a m O b j e c t K e y > < D i a g r a m O b j e c t K e y > < K e y > T a b l e s \ C C D D D   L E A i d < / K e y > < / D i a g r a m O b j e c t K e y > < D i a g r a m O b j e c t K e y > < K e y > T a b l e s \ C C D D D   L E A i d \ C o l u m n s \ D i s t r i c t C o d e < / K e y > < / D i a g r a m O b j e c t K e y > < D i a g r a m O b j e c t K e y > < K e y > T a b l e s \ C C D D D   L E A i d \ C o l u m n s \ O r g a n i z a t i o n I d < / K e y > < / D i a g r a m O b j e c t K e y > < D i a g r a m O b j e c t K e y > < K e y > T a b l e s \ C C D D D   L E A i d \ C o l u m n s \ D i s t r i c t N a m e < / K e y > < / D i a g r a m O b j e c t K e y > < D i a g r a m O b j e c t K e y > < K e y > T a b l e s \ C C D D D   L E A i d \ C o l u m n s \ N C E S L E A N u m b e r < / K e y > < / D i a g r a m O b j e c t K e y > < D i a g r a m O b j e c t K e y > < K e y > T a b l e s \ C C D D D   L E A i d \ C o l u m n s \ N C E S L E A N a m e < / K e y > < / D i a g r a m O b j e c t K e y > < D i a g r a m O b j e c t K e y > < K e y > T a b l e s \ C C D D D   L E A i d \ C o l u m n s \ S c h o o l Y e a r I d < / K e y > < / D i a g r a m O b j e c t K e y > < D i a g r a m O b j e c t K e y > < K e y > T a b l e s \ A l l o c a t i o n   A d j u s t m e n t s < / K e y > < / D i a g r a m O b j e c t K e y > < D i a g r a m O b j e c t K e y > < K e y > T a b l e s \ A l l o c a t i o n   A d j u s t m e n t s \ C o l u m n s \ C C D D D < / K e y > < / D i a g r a m O b j e c t K e y > < D i a g r a m O b j e c t K e y > < K e y > T a b l e s \ A l l o c a t i o n   A d j u s t m e n t s \ C o l u m n s \ D i s t r i c t N a m e < / K e y > < / D i a g r a m O b j e c t K e y > < D i a g r a m O b j e c t K e y > < K e y > T a b l e s \ A l l o c a t i o n   A d j u s t m e n t s \ C o l u m n s \ S e n d i n g L E A i d < / K e y > < / D i a g r a m O b j e c t K e y > < D i a g r a m O b j e c t K e y > < K e y > T a b l e s \ A l l o c a t i o n   A d j u s t m e n t s \ C o l u m n s \ D i s t r i c t T y p e < / K e y > < / D i a g r a m O b j e c t K e y > < D i a g r a m O b j e c t K e y > < K e y > T a b l e s \ A l l o c a t i o n   A d j u s t m e n t s \ C o l u m n s \ L E A i d < / K e y > < / D i a g r a m O b j e c t K e y > < D i a g r a m O b j e c t K e y > < K e y > T a b l e s \ A l l o c a t i o n   A d j u s t m e n t s \ C o l u m n s \ I s N e w < / K e y > < / D i a g r a m O b j e c t K e y > < D i a g r a m O b j e c t K e y > < K e y > T a b l e s \ A l l o c a t i o n   A d j u s t m e n t s \ C o l u m n s \ M u l t i p l i e r < / K e y > < / D i a g r a m O b j e c t K e y > < D i a g r a m O b j e c t K e y > < K e y > T a b l e s \ A l l o c a t i o n   A d j u s t m e n t s \ C o l u m n s \ B a s i c   H o l d   H a r m l e s s   B a s e < / K e y > < / D i a g r a m O b j e c t K e y > < D i a g r a m O b j e c t K e y > < K e y > T a b l e s \ A l l o c a t i o n   A d j u s t m e n t s \ C o l u m n s \ C O N C .   H O L D   H a r m l e s s   B a s e < / K e y > < / D i a g r a m O b j e c t K e y > < D i a g r a m O b j e c t K e y > < K e y > T a b l e s \ A l l o c a t i o n   A d j u s t m e n t s \ C o l u m n s \ T A R G E T E D   H O L D   H a r m l e s s   B a s e < / K e y > < / D i a g r a m O b j e c t K e y > < D i a g r a m O b j e c t K e y > < K e y > T a b l e s \ A l l o c a t i o n   A d j u s t m e n t s \ C o l u m n s \ E F I G   H O L D   H a r m l e s s   B a s e < / K e y > < / D i a g r a m O b j e c t K e y > < D i a g r a m O b j e c t K e y > < K e y > T a b l e s \ A l l o c a t i o n   A d j u s t m e n t s \ C o l u m n s \ T O T A L   H O L D   H a r m l e s s   B a s e < / K e y > < / D i a g r a m O b j e c t K e y > < D i a g r a m O b j e c t K e y > < K e y > T a b l e s \ A l l o c a t i o n   A d j u s t m e n t s \ C o l u m n s \ B a s i c   A l l o c a t i o n < / K e y > < / D i a g r a m O b j e c t K e y > < D i a g r a m O b j e c t K e y > < K e y > T a b l e s \ A l l o c a t i o n   A d j u s t m e n t s \ C o l u m n s \ C o n c .   A l l o c a t i o n < / K e y > < / D i a g r a m O b j e c t K e y > < D i a g r a m O b j e c t K e y > < K e y > T a b l e s \ A l l o c a t i o n   A d j u s t m e n t s \ C o l u m n s \ T a r g e t e d   A l l o c a t i o n < / K e y > < / D i a g r a m O b j e c t K e y > < D i a g r a m O b j e c t K e y > < K e y > T a b l e s \ A l l o c a t i o n   A d j u s t m e n t s \ C o l u m n s \ E F I G   A l l o c a t i o n < / K e y > < / D i a g r a m O b j e c t K e y > < D i a g r a m O b j e c t K e y > < K e y > T a b l e s \ A l l o c a t i o n   A d j u s t m e n t s \ C o l u m n s \ T i t l e   I   A l l o c a t i o n < / K e y > < / D i a g r a m O b j e c t K e y > < D i a g r a m O b j e c t K e y > < K e y > T a b l e s \ A l l o c a t i o n   A d j u s t m e n t s \ C o l u m n s \ P e r c e n t a g e   o f   H o l d   H a r m l e s s   B a s e < / K e y > < / D i a g r a m O b j e c t K e y > < D i a g r a m O b j e c t K e y > < K e y > T a b l e s \ A l l o c a t i o n   A d j u s t m e n t s \ C o l u m n s \ R e s i d e n t   P o p < / K e y > < / D i a g r a m O b j e c t K e y > < D i a g r a m O b j e c t K e y > < K e y > T a b l e s \ A l l o c a t i o n   A d j u s t m e n t s   1 < / K e y > < / D i a g r a m O b j e c t K e y > < D i a g r a m O b j e c t K e y > < K e y > T a b l e s \ A l l o c a t i o n   A d j u s t m e n t s   1 \ C o l u m n s \ C C D D D < / K e y > < / D i a g r a m O b j e c t K e y > < D i a g r a m O b j e c t K e y > < K e y > T a b l e s \ A l l o c a t i o n   A d j u s t m e n t s   1 \ C o l u m n s \ D i s t r i c t N a m e < / K e y > < / D i a g r a m O b j e c t K e y > < D i a g r a m O b j e c t K e y > < K e y > T a b l e s \ A l l o c a t i o n   A d j u s t m e n t s   1 \ C o l u m n s \ S e n d i n g L E A i d < / K e y > < / D i a g r a m O b j e c t K e y > < D i a g r a m O b j e c t K e y > < K e y > T a b l e s \ A l l o c a t i o n   A d j u s t m e n t s   1 \ C o l u m n s \ D i s t r i c t T y p e < / K e y > < / D i a g r a m O b j e c t K e y > < D i a g r a m O b j e c t K e y > < K e y > T a b l e s \ A l l o c a t i o n   A d j u s t m e n t s   1 \ C o l u m n s \ L E A i d < / K e y > < / D i a g r a m O b j e c t K e y > < D i a g r a m O b j e c t K e y > < K e y > T a b l e s \ A l l o c a t i o n   A d j u s t m e n t s   1 \ C o l u m n s \ I s N e w < / K e y > < / D i a g r a m O b j e c t K e y > < D i a g r a m O b j e c t K e y > < K e y > T a b l e s \ A l l o c a t i o n   A d j u s t m e n t s   1 \ C o l u m n s \ M u l t i p l i e r < / K e y > < / D i a g r a m O b j e c t K e y > < D i a g r a m O b j e c t K e y > < K e y > T a b l e s \ A l l o c a t i o n   A d j u s t m e n t s   1 \ C o l u m n s \ B a s i c   H o l d   H a r m l e s s   B a s e < / K e y > < / D i a g r a m O b j e c t K e y > < D i a g r a m O b j e c t K e y > < K e y > T a b l e s \ A l l o c a t i o n   A d j u s t m e n t s   1 \ C o l u m n s \ C O N C .   H O L D   H a r m l e s s   B a s e < / K e y > < / D i a g r a m O b j e c t K e y > < D i a g r a m O b j e c t K e y > < K e y > T a b l e s \ A l l o c a t i o n   A d j u s t m e n t s   1 \ C o l u m n s \ T A R G E T E D   H O L D   H a r m l e s s   B a s e < / K e y > < / D i a g r a m O b j e c t K e y > < D i a g r a m O b j e c t K e y > < K e y > T a b l e s \ A l l o c a t i o n   A d j u s t m e n t s   1 \ C o l u m n s \ E F I G   H O L D   H a r m l e s s   B a s e < / K e y > < / D i a g r a m O b j e c t K e y > < D i a g r a m O b j e c t K e y > < K e y > T a b l e s \ A l l o c a t i o n   A d j u s t m e n t s   1 \ C o l u m n s \ T O T A L   H O L D   H a r m l e s s   B a s e < / K e y > < / D i a g r a m O b j e c t K e y > < D i a g r a m O b j e c t K e y > < K e y > T a b l e s \ A l l o c a t i o n   A d j u s t m e n t s   1 \ C o l u m n s \ B a s i c   A l l o c a t i o n < / K e y > < / D i a g r a m O b j e c t K e y > < D i a g r a m O b j e c t K e y > < K e y > T a b l e s \ A l l o c a t i o n   A d j u s t m e n t s   1 \ C o l u m n s \ C o n c .   A l l o c a t i o n < / K e y > < / D i a g r a m O b j e c t K e y > < D i a g r a m O b j e c t K e y > < K e y > T a b l e s \ A l l o c a t i o n   A d j u s t m e n t s   1 \ C o l u m n s \ T a r g e t e d   A l l o c a t i o n < / K e y > < / D i a g r a m O b j e c t K e y > < D i a g r a m O b j e c t K e y > < K e y > T a b l e s \ A l l o c a t i o n   A d j u s t m e n t s   1 \ C o l u m n s \ E F I G   A l l o c a t i o n < / K e y > < / D i a g r a m O b j e c t K e y > < D i a g r a m O b j e c t K e y > < K e y > T a b l e s \ A l l o c a t i o n   A d j u s t m e n t s   1 \ C o l u m n s \ T i t l e   I   A l l o c a t i o n < / K e y > < / D i a g r a m O b j e c t K e y > < D i a g r a m O b j e c t K e y > < K e y > T a b l e s \ A l l o c a t i o n   A d j u s t m e n t s   1 \ C o l u m n s \ P e r c e n t a g e   o f   H o l d   H a r m l e s s   B a s e < / K e y > < / D i a g r a m O b j e c t K e y > < D i a g r a m O b j e c t K e y > < K e y > T a b l e s \ A l l o c a t i o n   A d j u s t m e n t s   1 \ C o l u m n s \ R e s i d e n t   P o p < / K e y > < / D i a g r a m O b j e c t K e y > < D i a g r a m O b j e c t K e y > < K e y > T a b l e s \ F o r m u l a   C o u n t s   A d j u s t m e n t s < / K e y > < / D i a g r a m O b j e c t K e y > < D i a g r a m O b j e c t K e y > < K e y > T a b l e s \ F o r m u l a   C o u n t s   A d j u s t m e n t s \ C o l u m n s \ C C D D D < / K e y > < / D i a g r a m O b j e c t K e y > < D i a g r a m O b j e c t K e y > < K e y > T a b l e s \ F o r m u l a   C o u n t s   A d j u s t m e n t s \ C o l u m n s \ D i s t r i c t N a m e < / K e y > < / D i a g r a m O b j e c t K e y > < D i a g r a m O b j e c t K e y > < K e y > T a b l e s \ F o r m u l a   C o u n t s   A d j u s t m e n t s \ C o l u m n s \ S e n d i n g L E A i d < / K e y > < / D i a g r a m O b j e c t K e y > < D i a g r a m O b j e c t K e y > < K e y > T a b l e s \ F o r m u l a   C o u n t s   A d j u s t m e n t s \ C o l u m n s \ D i s t r i c t T y p e < / K e y > < / D i a g r a m O b j e c t K e y > < D i a g r a m O b j e c t K e y > < K e y > T a b l e s \ F o r m u l a   C o u n t s   A d j u s t m e n t s \ C o l u m n s \ L E A i d < / K e y > < / D i a g r a m O b j e c t K e y > < D i a g r a m O b j e c t K e y > < K e y > T a b l e s \ F o r m u l a   C o u n t s   A d j u s t m e n t s \ C o l u m n s \ I s N e w < / K e y > < / D i a g r a m O b j e c t K e y > < D i a g r a m O b j e c t K e y > < K e y > T a b l e s \ F o r m u l a   C o u n t s   A d j u s t m e n t s \ C o l u m n s \ M u l t i p l i e r < / K e y > < / D i a g r a m O b j e c t K e y > < D i a g r a m O b j e c t K e y > < K e y > T a b l e s \ F o r m u l a   C o u n t s   A d j u s t m e n t s \ C o l u m n s \ 2 0 2 0   P O V R T Y < / K e y > < / D i a g r a m O b j e c t K e y > < D i a g r a m O b j e c t K e y > < K e y > T a b l e s \ F o r m u l a   C o u n t s   A d j u s t m e n t s \ C o l u m n s \ 2 0 2 1   N E G < / K e y > < / D i a g r a m O b j e c t K e y > < D i a g r a m O b j e c t K e y > < K e y > T a b l e s \ F o r m u l a   C o u n t s   A d j u s t m e n t s \ C o l u m n s \ 2 0 2 1 _ 1   D E L . < / K e y > < / D i a g r a m O b j e c t K e y > < D i a g r a m O b j e c t K e y > < K e y > T a b l e s \ F o r m u l a   C o u n t s   A d j u s t m e n t s \ C o l u m n s \ 2 0 2 1 _ 2   F O R S T E R < / K e y > < / D i a g r a m O b j e c t K e y > < D i a g r a m O b j e c t K e y > < K e y > T a b l e s \ F o r m u l a   C o u n t s   A d j u s t m e n t s \ C o l u m n s \ 2 0 2 1 _ 3   T A N F < / K e y > < / D i a g r a m O b j e c t K e y > < D i a g r a m O b j e c t K e y > < K e y > T a b l e s \ F o r m u l a   C o u n t s   A d j u s t m e n t s \ C o l u m n s \ F O R M U L A   C O U N T < / K e y > < / D i a g r a m O b j e c t K e y > < D i a g r a m O b j e c t K e y > < K e y > T a b l e s \ F o r m u l a   C o u n t s   A d j u s t m e n t s \ C o l u m n s \ 5 - 1 7   P O P . < / K e y > < / D i a g r a m O b j e c t K e y > < D i a g r a m O b j e c t K e y > < K e y > T a b l e s \ F o r m u l a   C o u n t s   A d j u s t m e n t s \ C o l u m n s \ P E R C E N T   F O R M U L A < / K e y > < / D i a g r a m O b j e c t K e y > < D i a g r a m O b j e c t K e y > < K e y > T a b l e s \ F o r m u l a   C o u n t s   A d j u s t m e n t s \ C o l u m n s \ B A S I C   E l i g i b l e s < / K e y > < / D i a g r a m O b j e c t K e y > < D i a g r a m O b j e c t K e y > < K e y > T a b l e s \ F o r m u l a   C o u n t s   A d j u s t m e n t s \ C o l u m n s \ C O N C .   E l i g i b l e s < / K e y > < / D i a g r a m O b j e c t K e y > < D i a g r a m O b j e c t K e y > < K e y > T a b l e s \ F o r m u l a   C o u n t s   A d j u s t m e n t s \ C o l u m n s \ E F I G   E l i g i b l e s < / K e y > < / D i a g r a m O b j e c t K e y > < D i a g r a m O b j e c t K e y > < K e y > T a b l e s \ F o r m u l a   C o u n t s   A d j u s t m e n t s \ C o l u m n s \ C O U N T S   T a r g e t e d < / K e y > < / D i a g r a m O b j e c t K e y > < D i a g r a m O b j e c t K e y > < K e y > T a b l e s \ F o r m u l a   C o u n t s   A d j u s t m e n t s \ C o l u m n s \ C O U N T S   E F I G < / K e y > < / D i a g r a m O b j e c t K e y > < D i a g r a m O b j e c t K e y > < K e y > T a b l e s \ D O E   F o r m u l a   c o u n t s < / K e y > < / D i a g r a m O b j e c t K e y > < D i a g r a m O b j e c t K e y > < K e y > T a b l e s \ D O E   F o r m u l a   c o u n t s \ C o l u m n s \ L E A i d < / K e y > < / D i a g r a m O b j e c t K e y > < D i a g r a m O b j e c t K e y > < K e y > T a b l e s \ D O E   F o r m u l a   c o u n t s \ C o l u m n s \ L O C A L   E D U C A T I O N A L   A G E N C Y < / K e y > < / D i a g r a m O b j e c t K e y > < D i a g r a m O b j e c t K e y > < K e y > T a b l e s \ D O E   F o r m u l a   c o u n t s \ C o l u m n s \ 2 0 2 0   P O V R T Y < / K e y > < / D i a g r a m O b j e c t K e y > < D i a g r a m O b j e c t K e y > < K e y > T a b l e s \ D O E   F o r m u l a   c o u n t s \ C o l u m n s \ 2 0 2 1   N E G < / K e y > < / D i a g r a m O b j e c t K e y > < D i a g r a m O b j e c t K e y > < K e y > T a b l e s \ D O E   F o r m u l a   c o u n t s \ C o l u m n s \ 2 0 2 1 _ 1   D E L . < / K e y > < / D i a g r a m O b j e c t K e y > < D i a g r a m O b j e c t K e y > < K e y > T a b l e s \ D O E   F o r m u l a   c o u n t s \ C o l u m n s \ 2 0 2 1 _ 2   F O R S T E R < / K e y > < / D i a g r a m O b j e c t K e y > < D i a g r a m O b j e c t K e y > < K e y > T a b l e s \ D O E   F o r m u l a   c o u n t s \ C o l u m n s \ 2 0 2 1 _ 3   T A N F < / K e y > < / D i a g r a m O b j e c t K e y > < D i a g r a m O b j e c t K e y > < K e y > T a b l e s \ D O E   F o r m u l a   c o u n t s \ C o l u m n s \ F O R M U L A   C O U N T < / K e y > < / D i a g r a m O b j e c t K e y > < D i a g r a m O b j e c t K e y > < K e y > T a b l e s \ D O E   F o r m u l a   c o u n t s \ C o l u m n s \ 5 - 1 7   P O P . < / K e y > < / D i a g r a m O b j e c t K e y > < D i a g r a m O b j e c t K e y > < K e y > T a b l e s \ D O E   F o r m u l a   c o u n t s \ C o l u m n s \ P E R C E N T   F O R M U L A < / K e y > < / D i a g r a m O b j e c t K e y > < D i a g r a m O b j e c t K e y > < K e y > T a b l e s \ D O E   F o r m u l a   c o u n t s \ C o l u m n s \ B A S I C   E l i g i b l e s < / K e y > < / D i a g r a m O b j e c t K e y > < D i a g r a m O b j e c t K e y > < K e y > T a b l e s \ D O E   F o r m u l a   c o u n t s \ C o l u m n s \ C O N C .   E l i g i b l e s < / K e y > < / D i a g r a m O b j e c t K e y > < D i a g r a m O b j e c t K e y > < K e y > T a b l e s \ D O E   F o r m u l a   c o u n t s \ C o l u m n s \ & a m p ;   E F I G   E l i g i b l e s < / K e y > < / D i a g r a m O b j e c t K e y > < D i a g r a m O b j e c t K e y > < K e y > T a b l e s \ D O E   F o r m u l a   c o u n t s \ C o l u m n s \ C O U N T S   T a r g e t e d < / K e y > < / D i a g r a m O b j e c t K e y > < D i a g r a m O b j e c t K e y > < K e y > T a b l e s \ D O E   F o r m u l a   c o u n t s \ C o l u m n s \ C O U N T S   E F I G < / K e y > < / D i a g r a m O b j e c t K e y > < D i a g r a m O b j e c t K e y > < K e y > T a b l e s \ P r i o r   Y e a r   a d j u s t e d   a l l o c a t i o n s < / K e y > < / D i a g r a m O b j e c t K e y > < D i a g r a m O b j e c t K e y > < K e y > T a b l e s \ P r i o r   Y e a r   a d j u s t e d   a l l o c a t i o n s \ C o l u m n s \ L E A i d < / K e y > < / D i a g r a m O b j e c t K e y > < D i a g r a m O b j e c t K e y > < K e y > T a b l e s \ P r i o r   Y e a r   a d j u s t e d   a l l o c a t i o n s \ C o l u m n s \ W A S H I N G T O N < / K e y > < / D i a g r a m O b j e c t K e y > < D i a g r a m O b j e c t K e y > < K e y > T a b l e s \ P r i o r   Y e a r   a d j u s t e d   a l l o c a t i o n s \ C o l u m n s \ B A S I C   H O L D   H A R M L E S S   B A S E < / K e y > < / D i a g r a m O b j e c t K e y > < D i a g r a m O b j e c t K e y > < K e y > T a b l e s \ P r i o r   Y e a r   a d j u s t e d   a l l o c a t i o n s \ C o l u m n s \ C O N C .   H O L D     H A R M L E S S   B A S E < / K e y > < / D i a g r a m O b j e c t K e y > < D i a g r a m O b j e c t K e y > < K e y > T a b l e s \ P r i o r   Y e a r   a d j u s t e d   a l l o c a t i o n s \ C o l u m n s \ T A R G E T E D   H O L D   H A R M L E S S   B A S E < / K e y > < / D i a g r a m O b j e c t K e y > < D i a g r a m O b j e c t K e y > < K e y > T a b l e s \ P r i o r   Y e a r   a d j u s t e d   a l l o c a t i o n s \ C o l u m n s \ E F I G   H O L D   H A R M L E S S   B A S E < / K e y > < / D i a g r a m O b j e c t K e y > < D i a g r a m O b j e c t K e y > < K e y > T a b l e s \ P r i o r   Y e a r   a d j u s t e d   a l l o c a t i o n s \ C o l u m n s \ T O T A L   H O L D   H A R M L E S S   B A S E < / K e y > < / D i a g r a m O b j e c t K e y > < D i a g r a m O b j e c t K e y > < K e y > T a b l e s \ P r i o r   Y e a r   a d j u s t e d   a l l o c a t i o n s \ C o l u m n s \ B A S I C   A L L O C A T I O N < / K e y > < / D i a g r a m O b j e c t K e y > < D i a g r a m O b j e c t K e y > < K e y > T a b l e s \ P r i o r   Y e a r   a d j u s t e d   a l l o c a t i o n s \ C o l u m n s \ C O N C .   A L L O C A T I O N < / K e y > < / D i a g r a m O b j e c t K e y > < D i a g r a m O b j e c t K e y > < K e y > T a b l e s \ P r i o r   Y e a r   a d j u s t e d   a l l o c a t i o n s \ C o l u m n s \ T A R G E T E D   A L L O C A T I O N < / K e y > < / D i a g r a m O b j e c t K e y > < D i a g r a m O b j e c t K e y > < K e y > T a b l e s \ P r i o r   Y e a r   a d j u s t e d   a l l o c a t i o n s \ C o l u m n s \ E F I G   A l L O C A T I O N < / K e y > < / D i a g r a m O b j e c t K e y > < D i a g r a m O b j e c t K e y > < K e y > T a b l e s \ P r i o r   Y e a r   a d j u s t e d   a l l o c a t i o n s \ C o l u m n s \ T O T A L   T I T L e   I   A L L O C A T I O N < / K e y > < / D i a g r a m O b j e c t K e y > < D i a g r a m O b j e c t K e y > < K e y > T a b l e s \ P r i o r   Y e a r   a d j u s t e d   a l l o c a t i o n s \ C o l u m n s \ P E R C E N T A G E   O F   T O T A L   H O L D   H A R M L E S S   B A S E < / K e y > < / D i a g r a m O b j e c t K e y > < D i a g r a m O b j e c t K e y > < K e y > T a b l e s \ P r i o r   Y e a r   a d j u s t e d   a l l o c a t i o n s \ C o l u m n s \ R E S I D E N T   P O P . < / K e y > < / D i a g r a m O b j e c t K e y > < D i a g r a m O b j e c t K e y > < K e y > T a b l e s \ P r i o r   Y e a r   A d j u s t e d   F o r m u l a   c o u n t s < / K e y > < / D i a g r a m O b j e c t K e y > < D i a g r a m O b j e c t K e y > < K e y > T a b l e s \ P r i o r   Y e a r   A d j u s t e d   F o r m u l a   c o u n t s \ C o l u m n s \ L E A i d < / K e y > < / D i a g r a m O b j e c t K e y > < D i a g r a m O b j e c t K e y > < K e y > T a b l e s \ P r i o r   Y e a r   A d j u s t e d   F o r m u l a   c o u n t s \ C o l u m n s \ L E A N a m e < / K e y > < / D i a g r a m O b j e c t K e y > < D i a g r a m O b j e c t K e y > < K e y > T a b l e s \ P r i o r   Y e a r   A d j u s t e d   F o r m u l a   c o u n t s \ C o l u m n s \ C E N S U S   P o v e r t y < / K e y > < / D i a g r a m O b j e c t K e y > < D i a g r a m O b j e c t K e y > < K e y > T a b l e s \ P r i o r   Y e a r   A d j u s t e d   F o r m u l a   c o u n t s \ C o l u m n s \ N E G . < / K e y > < / D i a g r a m O b j e c t K e y > < D i a g r a m O b j e c t K e y > < K e y > T a b l e s \ P r i o r   Y e a r   A d j u s t e d   F o r m u l a   c o u n t s \ C o l u m n s \ D E L . < / K e y > < / D i a g r a m O b j e c t K e y > < D i a g r a m O b j e c t K e y > < K e y > T a b l e s \ P r i o r   Y e a r   A d j u s t e d   F o r m u l a   c o u n t s \ C o l u m n s \ F O S T E R < / K e y > < / D i a g r a m O b j e c t K e y > < D i a g r a m O b j e c t K e y > < K e y > T a b l e s \ P r i o r   Y e a r   A d j u s t e d   F o r m u l a   c o u n t s \ C o l u m n s \ T A N F < / K e y > < / D i a g r a m O b j e c t K e y > < D i a g r a m O b j e c t K e y > < K e y > T a b l e s \ P r i o r   Y e a r   A d j u s t e d   F o r m u l a   c o u n t s \ C o l u m n s \ T O T A L   F O R M U L A   C O U N T < / K e y > < / D i a g r a m O b j e c t K e y > < D i a g r a m O b j e c t K e y > < K e y > T a b l e s \ P r i o r   Y e a r   A d j u s t e d   F o r m u l a   c o u n t s \ C o l u m n s \ 5 - 1 7   P O P . < / K e y > < / D i a g r a m O b j e c t K e y > < D i a g r a m O b j e c t K e y > < K e y > T a b l e s \ P r i o r   Y e a r   A d j u s t e d   F o r m u l a   c o u n t s \ C o l u m n s \ P E R C E N T   F O R M U L A < / K e y > < / D i a g r a m O b j e c t K e y > < D i a g r a m O b j e c t K e y > < K e y > T a b l e s \ P r i o r   Y e a r   A d j u s t e d   F o r m u l a   c o u n t s \ C o l u m n s \ B A S I C   E L I G I B L E S < / K e y > < / D i a g r a m O b j e c t K e y > < D i a g r a m O b j e c t K e y > < K e y > T a b l e s \ P r i o r   Y e a r   A d j u s t e d   F o r m u l a   c o u n t s \ C o l u m n s \ C O N C .   E L I G I B L E S < / K e y > < / D i a g r a m O b j e c t K e y > < D i a g r a m O b j e c t K e y > < K e y > T a b l e s \ P r i o r   Y e a r   A d j u s t e d   F o r m u l a   c o u n t s \ C o l u m n s \ U N W E I G H T E D   T A R G E T E D   & a m p ;   E F I G   E L I G I B L E S < / K e y > < / D i a g r a m O b j e c t K e y > < D i a g r a m O b j e c t K e y > < K e y > T a b l e s \ P r i o r   Y e a r   A d j u s t e d   F o r m u l a   c o u n t s \ C o l u m n s \ W E I G H T E D   C O U N T S   T A R G E T E D < / K e y > < / D i a g r a m O b j e c t K e y > < D i a g r a m O b j e c t K e y > < K e y > T a b l e s \ P r i o r   Y e a r   A d j u s t e d   F o r m u l a   c o u n t s \ C o l u m n s \ W E I G H T E D   C O U N T S   E F I G < / K e y > < / D i a g r a m O b j e c t K e y > < D i a g r a m O b j e c t K e y > < K e y > T a b l e s \ D O E   A l l o c a t i o n < / K e y > < / D i a g r a m O b j e c t K e y > < D i a g r a m O b j e c t K e y > < K e y > T a b l e s \ D O E   A l l o c a t i o n \ C o l u m n s \ L E A i d < / K e y > < / D i a g r a m O b j e c t K e y > < D i a g r a m O b j e c t K e y > < K e y > T a b l e s \ D O E   A l l o c a t i o n \ C o l u m n s \ L E A N a n m e < / K e y > < / D i a g r a m O b j e c t K e y > < D i a g r a m O b j e c t K e y > < K e y > T a b l e s \ D O E   A l l o c a t i o n \ C o l u m n s \ B A S I C   H O L D   H s r m l e s s   B a s e < / K e y > < / D i a g r a m O b j e c t K e y > < D i a g r a m O b j e c t K e y > < K e y > T a b l e s \ D O E   A l l o c a t i o n \ C o l u m n s \ C O N C .   H O L D   H a r m l e s s   B a s e < / K e y > < / D i a g r a m O b j e c t K e y > < D i a g r a m O b j e c t K e y > < K e y > T a b l e s \ D O E   A l l o c a t i o n \ C o l u m n s \ T A R G E T E D   H O L D   H a r m l e s s   B a s e < / K e y > < / D i a g r a m O b j e c t K e y > < D i a g r a m O b j e c t K e y > < K e y > T a b l e s \ D O E   A l l o c a t i o n \ C o l u m n s \ E F I G   H O L D   H a r m l e s s   B a s e < / K e y > < / D i a g r a m O b j e c t K e y > < D i a g r a m O b j e c t K e y > < K e y > T a b l e s \ D O E   A l l o c a t i o n \ C o l u m n s \ T O T A L   H O L D   H a r m l e s s   B a s e < / K e y > < / D i a g r a m O b j e c t K e y > < D i a g r a m O b j e c t K e y > < K e y > T a b l e s \ D O E   A l l o c a t i o n \ C o l u m n s \ B a s i c   A l l o c a t i o n < / K e y > < / D i a g r a m O b j e c t K e y > < D i a g r a m O b j e c t K e y > < K e y > T a b l e s \ D O E   A l l o c a t i o n \ C o l u m n s \ C o n c .   A l l o c a t i o n < / K e y > < / D i a g r a m O b j e c t K e y > < D i a g r a m O b j e c t K e y > < K e y > T a b l e s \ D O E   A l l o c a t i o n \ C o l u m n s \ T a r g e t e d   A l l o c a t i o n < / K e y > < / D i a g r a m O b j e c t K e y > < D i a g r a m O b j e c t K e y > < K e y > T a b l e s \ D O E   A l l o c a t i o n \ C o l u m n s \ E F I G   A l l o c a t i o n < / K e y > < / D i a g r a m O b j e c t K e y > < D i a g r a m O b j e c t K e y > < K e y > T a b l e s \ D O E   A l l o c a t i o n \ C o l u m n s \ T i t l e   I   A l l o c a t i o n < / K e y > < / D i a g r a m O b j e c t K e y > < D i a g r a m O b j e c t K e y > < K e y > T a b l e s \ D O E   A l l o c a t i o n \ C o l u m n s \ P e r c e n t a g e   o f   H o l d   H a r m l e s s   B a s e < / K e y > < / D i a g r a m O b j e c t K e y > < D i a g r a m O b j e c t K e y > < K e y > T a b l e s \ D O E   A l l o c a t i o n \ C o l u m n s \ R e s i d e n t   P o p . < / K e y > < / D i a g r a m O b j e c t K e y > < D i a g r a m O b j e c t K e y > < K e y > T a b l e s \ N e w   O r   E x p n a d e d   H H   c a l c < / K e y > < / D i a g r a m O b j e c t K e y > < D i a g r a m O b j e c t K e y > < K e y > T a b l e s \ N e w   O r   E x p n a d e d   H H   c a l c \ C o l u m n s \ C C D D D < / K e y > < / D i a g r a m O b j e c t K e y > < D i a g r a m O b j e c t K e y > < K e y > T a b l e s \ N e w   O r   E x p n a d e d   H H   c a l c \ C o l u m n s \ D i s t r i c t N a m e < / K e y > < / D i a g r a m O b j e c t K e y > < D i a g r a m O b j e c t K e y > < K e y > T a b l e s \ N e w   O r   E x p n a d e d   H H   c a l c \ C o l u m n s \ L E A i d < / K e y > < / D i a g r a m O b j e c t K e y > < D i a g r a m O b j e c t K e y > < K e y > T a b l e s \ N e w   O r   E x p n a d e d   H H   c a l c \ C o l u m n s \ I s N e w < / K e y > < / D i a g r a m O b j e c t K e y > < D i a g r a m O b j e c t K e y > < K e y > T a b l e s \ N e w   O r   E x p n a d e d   H H   c a l c \ C o l u m n s \ F O R M U L A   C O U N T < / K e y > < / D i a g r a m O b j e c t K e y > < D i a g r a m O b j e c t K e y > < K e y > T a b l e s \ N e w   O r   E x p n a d e d   H H   c a l c \ C o l u m n s \ 5 - 1 7   P O P . < / K e y > < / D i a g r a m O b j e c t K e y > < D i a g r a m O b j e c t K e y > < K e y > T a b l e s \ N e w   O r   E x p n a d e d   H H   c a l c \ C o l u m n s \ P r i o r   Y e a r . T O T A L   F O R M U L A   C O U N T < / K e y > < / D i a g r a m O b j e c t K e y > < D i a g r a m O b j e c t K e y > < K e y > T a b l e s \ N e w   O r   E x p n a d e d   H H   c a l c \ C o l u m n s \ P r i o r   Y e a r . 5 - 1 7   P O P . < / K e y > < / D i a g r a m O b j e c t K e y > < D i a g r a m O b j e c t K e y > < K e y > T a b l e s \ N e w   O r   E x p n a d e d   H H   c a l c \ C o l u m n s \ F o r m u l a   C o u n t   I n c r e a s e < / K e y > < / D i a g r a m O b j e c t K e y > < D i a g r a m O b j e c t K e y > < K e y > T a b l e s \ N e w   O r   E x p n a d e d   H H   c a l c \ C o l u m n s \ P E R C E N T   F O R M U L A < / K e y > < / D i a g r a m O b j e c t K e y > < D i a g r a m O b j e c t K e y > < K e y > T a b l e s \ N e w   O r   E x p n a d e d   H H   c a l c \ C o l u m n s \ H o l d   H a r m l e s s   P e r c e n t a g e < / K e y > < / D i a g r a m O b j e c t K e y > < D i a g r a m O b j e c t K e y > < K e y > T a b l e s \ N e w   O r   E x p n a d e d   H H   c a l c \ C o l u m n s \ A d j u s t e d   A l l o c a t i o n . T O T A L   H O L D   H a r m l e s s   B a s e < / K e y > < / D i a g r a m O b j e c t K e y > < D i a g r a m O b j e c t K e y > < K e y > T a b l e s \ N e w   O r   E x p n a d e d   H H   c a l c \ C o l u m n s \ A d j u s t e d   A l l o c a t i o n . T i t l e   I   A l l o c a t i o n < / K e y > < / D i a g r a m O b j e c t K e y > < D i a g r a m O b j e c t K e y > < K e y > T a b l e s \ N e w   O r   E x p n a d e d   H H   c a l c \ C o l u m n s \ A b o v e   H H < / K e y > < / D i a g r a m O b j e c t K e y > < D i a g r a m O b j e c t K e y > < K e y > T a b l e s \ I n i t i a l   A d j u s t e d   F o r m u l a   C o u n t s < / K e y > < / D i a g r a m O b j e c t K e y > < D i a g r a m O b j e c t K e y > < K e y > T a b l e s \ I n i t i a l   A d j u s t e d   F o r m u l a   C o u n t s \ C o l u m n s \ L E A i d < / K e y > < / D i a g r a m O b j e c t K e y > < D i a g r a m O b j e c t K e y > < K e y > T a b l e s \ I n i t i a l   A d j u s t e d   F o r m u l a   C o u n t s \ C o l u m n s \ L E A N a m e < / K e y > < / D i a g r a m O b j e c t K e y > < D i a g r a m O b j e c t K e y > < K e y > T a b l e s \ I n i t i a l   A d j u s t e d   F o r m u l a   C o u n t s \ C o l u m n s \ 2 0 2 0   P O V R T Y < / K e y > < / D i a g r a m O b j e c t K e y > < D i a g r a m O b j e c t K e y > < K e y > T a b l e s \ I n i t i a l   A d j u s t e d   F o r m u l a   C o u n t s \ C o l u m n s \ 2 0 2 1   N E G < / K e y > < / D i a g r a m O b j e c t K e y > < D i a g r a m O b j e c t K e y > < K e y > T a b l e s \ I n i t i a l   A d j u s t e d   F o r m u l a   C o u n t s \ C o l u m n s \ 2 0 2 1 _ 1   D E L . . 1 < / K e y > < / D i a g r a m O b j e c t K e y > < D i a g r a m O b j e c t K e y > < K e y > T a b l e s \ I n i t i a l   A d j u s t e d   F o r m u l a   C o u n t s \ C o l u m n s \ 2 0 2 1 _ 2   F O R S T E R < / K e y > < / D i a g r a m O b j e c t K e y > < D i a g r a m O b j e c t K e y > < K e y > T a b l e s \ I n i t i a l   A d j u s t e d   F o r m u l a   C o u n t s \ C o l u m n s \ 2 0 2 1 _ 3   T A N F < / K e y > < / D i a g r a m O b j e c t K e y > < D i a g r a m O b j e c t K e y > < K e y > T a b l e s \ I n i t i a l   A d j u s t e d   F o r m u l a   C o u n t s \ C o l u m n s \ F O R M U L A   C O U N T < / K e y > < / D i a g r a m O b j e c t K e y > < D i a g r a m O b j e c t K e y > < K e y > T a b l e s \ I n i t i a l   A d j u s t e d   F o r m u l a   C o u n t s \ C o l u m n s \ 5 - 1 7   P O P . < / K e y > < / D i a g r a m O b j e c t K e y > < D i a g r a m O b j e c t K e y > < K e y > T a b l e s \ I n i t i a l   A d j u s t e d   F o r m u l a   C o u n t s \ C o l u m n s \ P E R C E N T   F O R M U L A < / K e y > < / D i a g r a m O b j e c t K e y > < D i a g r a m O b j e c t K e y > < K e y > T a b l e s \ I n i t i a l   A d j u s t e d   F o r m u l a   C o u n t s \ C o l u m n s \ B A S I C   E l i g i b l e s < / K e y > < / D i a g r a m O b j e c t K e y > < D i a g r a m O b j e c t K e y > < K e y > T a b l e s \ I n i t i a l   A d j u s t e d   F o r m u l a   C o u n t s \ C o l u m n s \ C O N C .   E l i g i b l e s < / K e y > < / D i a g r a m O b j e c t K e y > < D i a g r a m O b j e c t K e y > < K e y > T a b l e s \ I n i t i a l   A d j u s t e d   F o r m u l a   C o u n t s \ C o l u m n s \ E F I G   E l i g i b l e s < / K e y > < / D i a g r a m O b j e c t K e y > < D i a g r a m O b j e c t K e y > < K e y > T a b l e s \ I n i t i a l   A d j u s t e d   F o r m u l a   C o u n t s \ C o l u m n s \ C O U N T S   T a r g e t e d < / K e y > < / D i a g r a m O b j e c t K e y > < D i a g r a m O b j e c t K e y > < K e y > T a b l e s \ I n i t i a l   A d j u s t e d   F o r m u l a   C o u n t s \ C o l u m n s \ C O U N T S   E F I G < / K e y > < / D i a g r a m O b j e c t K e y > < / A l l K e y s > < S e l e c t e d K e y s /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 T a g s \ T a b l e s \ & l t ; T a b l e s \ F R P L & g t ; 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 T a g s \ T a b l e s \ & l t ; T a b l e s \ C h a r t e r _ T r i b a l S e n d i n g   D i s t r i c t s & g t ; 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 T a g s \ T a b l e s \ & l t ; T a b l e s \ C h a r t e r O n l y & g t ; 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 T a g s \ T a b l e s \ & l t ; T a b l e s \ S e n d i n g O n l y & g t ; 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 T a g s \ T a b l e s \ & l t ; T a b l e s \ A p p e n d 1 & g t ; 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 T a g s \ T a b l e s \ & l t ; T a b l e s \ S p l i t   C a l c & g t ; 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 T a g s \ T a b l e s \ & l t ; T a b l e s \ C C D D D   L E A i d & g t ; 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 T a g s \ T a b l e s \ & l t ; T a b l e s \ A l l o c a t i o n   A d j u s t m e n t s & g t ; 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 T a g s \ T a b l e s \ & l t ; T a b l e s \ A l l o c a t i o n   A d j u s t m e n t s  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 T a g s \ T a b l e s \ & l t ; T a b l e s \ F o r m u l a   C o u n t s   A d j u s t m e n t s & g t ; 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 T a g s \ T a b l e s \ & l t ; T a b l e s \ D O E   F o r m u l a   c o u n t s & g t ; 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 T a g s \ T a b l e s \ & l t ; T a b l e s \ P r i o r   Y e a r   a d j u s t e d   a l l o c a t i o n s & g t ; 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 T a g s \ T a b l e s \ & l t ; T a b l e s \ P r i o r   Y e a r   A d j u s t e d   F o r m u l a   c o u n t s & g t ; 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 T a g s \ T a b l e s \ & l t ; T a b l e s \ D O E   A l l o c a t i o n & g t ; 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 T a g s \ T a b l e s \ & l t ; T a b l e s \ N e w   O r   E x p n a d e d   H H   c a l c & g t ; 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 T a g s \ T a b l e s \ & l t ; T a b l e s \ I n i t i a l   A d j u s t e d   F o r m u l a   C o u n t s & g t ; 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 T a b l e s \ F R P L 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 T a b l e s \ F R P L \ C o l u m n s \ s c h o o l Y e a r 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 T a b l e s \ F R P L \ C o l u m n s \ T o t a l S t u d e n t s 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 T a b l e s \ F R P L \ C o l u m n s \ T o t a l S t u d e n t s I n P o v e r t y 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 T a b l e s \ F R P L \ C o l u m n s \ T o t a l P e r c e n t I n P o v e r t y 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 D i s t r i c t s \ C o l u m n s \ C h a r t e r / T r i b a l 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 D i s t r i c t s \ C o l u m n s \ S e n d i n g  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 D i s t r i c t s \ C o l u m n s \ S e n d i n g   D i s t r i c t  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 9 8 9 . 7 1 1 4 3 1 7 0 2 9 9 7 2 9 < / L e f t > < T a b I n d e x >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 1 3 1 9 . 6 1 5 2 4 2 2 7 0 6 6 3 2 < / L e f t > < T a b I n d e x >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 1 6 4 9 . 5 1 9 0 5 2 8 3 8 3 2 9 1 < / L e f t > < T a b I n d e x >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 C a l c \ C o l u m n s \ C h a r t e r / T r i b a l 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 C a l c \ C o l u m n s \ S e n d i n g  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 C a l c \ C o l u m n s \ S e n d i n g   D i s t r i c t  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 C a l c \ C o l u m n s \ T o t a l S t u d e n t s I n P o v e r t y 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 C a l c \ C o l u m n s \ S e n d i n g T o t a l S t u d e n t s I n P o v e r t y 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 1 9 7 9 . 4 2 2 8 6 3 4 0 5 9 9 5 < / L e f t > < T a b I n d e x >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 L E A i d \ C o l u m n s \ D i s t r i c t C o d e 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 L E A i d \ C o l u m n s \ O r g a n i z a t i o n I d 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 L E A i d \ C o l u m n s \ N C E S L E A N u m b e r 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 L E A i d \ C o l u m n s \ N C E S L E A N a m e 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 L E A i d \ C o l u m n s \ S c h o o l Y e a r I d 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 2 3 0 9 . 3 2 6 6 7 3 9 7 3 6 6 0 9 < / L e f t > < T a b I n d e x >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 A d j u s t m e n t s \ C o l u m n s \ M u l t i p l i e r 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 A d j u s t m e n t s \ C o l u m n s \ B a s i c 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 A d j u s t m e n t s \ C o l u m n s \ C O N C . 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 A d j u s t m e n t s \ C o l u m n s \ T A R G E T E D 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 A d j u s t m e n t s \ C o l u m n s \ E F I G 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 A d j u s t m e n t s \ C o l u m n s \ B a s i c 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 A d j u s t m e n t s \ C o l u m n s \ C o n c . 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 A d j u s t m e n t s \ C o l u m n s \ T a r g e t e d 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 A d j u s t m e n t s \ C o l u m n s \ E F I G 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 A d j u s t m e n t s \ C o l u m n s \ P e r c e n t a g e   o f 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 A d j u s t m e n t s \ C o l u m n s \ R e s i d e n t   P o p 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 2 6 3 9 . 2 3 0 4 8 4 5 4 1 3 2 6 9 < / L e f t > < T a b I n d e x >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 1 \ C o l u m n s \ M u l t i p l i e r 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 1 \ C o l u m n s \ B a s i c 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 1 \ C o l u m n s \ C O N C . 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 1 \ C o l u m n s \ T A R G E T E D 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 1 \ C o l u m n s \ E F I G 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 1 \ C o l u m n s \ B a s i c 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 1 \ C o l u m n s \ C o n c . 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 1 \ C o l u m n s \ T a r g e t e d 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 1 \ C o l u m n s \ E F I G 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 1 \ C o l u m n s \ P e r c e n t a g e   o f 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 1 \ C o l u m n s \ R e s i d e n t   P o p 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 2 9 6 9 . 1 3 4 2 9 5 1 0 8 9 9 2 8 < / L e f t > < T a b I n d e x >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 A d j u s t m e n t s \ C o l u m n s \ M u l t i p l i e r 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 A d j u s t m e n t s \ C o l u m n s \ 2 0 2 0   P O V R T Y 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 A d j u s t m e n t s \ C o l u m n s \ 2 0 2 1   N E G 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 A d j u s t m e n t s \ C o l u m n s \ 2 0 2 1 _ 1   D E L . 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 A d j u s t m e n t s \ C o l u m n s \ 2 0 2 1 _ 2   F O R S T E R 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 A d j u s t m e n t s \ C o l u m n s \ 2 0 2 1 _ 3   T A N F 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 A d j u s t m e n t s \ C o l u m n s \ B A S I C 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 A d j u s t m e n t s \ C o l u m n s \ C O N C . 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 A d j u s t m e n t s \ C o l u m n s \ E F I G 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 A d j u s t m e n t s \ C o l u m n s \ C O U N T S   T a r g e t e d 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 A d j u s t m e n t s \ C o l u m n s \ C O U N T S   E F I G 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 3 2 9 9 . 0 3 8 1 0 5 6 7 6 6 5 8 7 < / L e f t > < T a b I n d e x > 1 0 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 c o u n t s \ C o l u m n s \ L O C A L   E D U C A T I O N A L   A G E N C Y 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 c o u n t s \ C o l u m n s \ 2 0 2 0   P O V R T Y 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 c o u n t s \ C o l u m n s \ 2 0 2 1   N E G 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 c o u n t s \ C o l u m n s \ 2 0 2 1 _ 1   D E L . 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 c o u n t s \ C o l u m n s \ 2 0 2 1 _ 2   F O R S T E R 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 c o u n t s \ C o l u m n s \ 2 0 2 1 _ 3   T A N F 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 c o u n t s \ C o l u m n s \ B A S I C 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 c o u n t s \ C o l u m n s \ C O N C . 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 c o u n t s \ C o l u m n s \ & a m p ;   E F I G 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 c o u n t s \ C o l u m n s \ C O U N T S   T a r g e t e d 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 c o u n t s \ C o l u m n s \ C O U N T S   E F I G 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 3 6 2 8 . 9 4 1 9 1 6 2 4 4 3 2 4 6 < / L e f t > < T a b I n d e x > 1 1 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 a l l o c a t i o n s \ C o l u m n s \ W A S H I N G T O N 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 a l l o c a t i o n s \ C o l u m n s \ B A S I C 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 a l l o c a t i o n s \ C o l u m n s \ C O N C .   H O L D  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 a l l o c a t i o n s \ C o l u m n s \ T A R G E T E D 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 a l l o c a t i o n s \ C o l u m n s \ E F I G 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 a l l o c a t i o n s \ C o l u m n s \ B A S I C 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 a l l o c a t i o n s \ C o l u m n s \ C O N C . 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 a l l o c a t i o n s \ C o l u m n s \ T A R G E T E D 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 a l l o c a t i o n s \ C o l u m n s \ E F I G 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 a l l o c a t i o n s \ C o l u m n s \ T O T A L  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 a l l o c a t i o n s \ C o l u m n s \ P E R C E N T A G E   O F  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 a l l o c a t i o n s \ C o l u m n s \ R E S I D E N T 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 3 9 5 8 . 8 4 5 7 2 6 8 1 1 9 9 1 < / L e f t > < T a b I n d e x > 1 2 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 c o u n t s \ C o l u m n s \ L E A N a m e 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 c o u n t s \ C o l u m n s \ C E N S U S  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 c o u n t s \ C o l u m n s \ N E G . 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 c o u n t s \ C o l u m n s \ D E L . 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 c o u n t s \ C o l u m n s \ F O S T E R 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 c o u n t s \ C o l u m n s \ T A N F 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 c o u n t s \ C o l u m n s \ T O T A L  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 c o u n t s \ C o l u m n s \ B A S I C 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 c o u n t s \ C o l u m n s \ C O N C . 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 c o u n t s \ C o l u m n s \ U N W E I G H T E D   T A R G E T E D   & a m p ;   E F I G 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 c o u n t s \ C o l u m n s \ W E I G H T E D   C O U N T S   T A R G E T E D 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 c o u n t s \ C o l u m n s \ W E I G H T E D   C O U N T S   E F I G 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 4 2 8 8 . 7 4 9 5 3 7 3 7 9 6 5 6 4 < / L e f t > < T a b I n d e x > 1 3 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 A l l o c a t i o n \ C o l u m n s \ L E A N a n m e 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 A l l o c a t i o n \ C o l u m n s \ B A S I C   H O L D   H s r m l e s s 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 A l l o c a t i o n \ C o l u m n s \ C O N C . 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 A l l o c a t i o n \ C o l u m n s \ T A R G E T E D 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 A l l o c a t i o n \ C o l u m n s \ E F I G 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 A l l o c a t i o n \ C o l u m n s \ B a s i c 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 A l l o c a t i o n \ C o l u m n s \ C o n c . 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 A l l o c a t i o n \ C o l u m n s \ T a r g e t e d 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 A l l o c a t i o n \ C o l u m n s \ E F I G 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 A l l o c a t i o n \ C o l u m n s \ P e r c e n t a g e   o f 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 A l l o c a t i o n \ C o l u m n s \ R e s i d e n t 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 4 6 1 8 . 6 5 3 3 4 7 9 4 7 3 2 1 9 < / L e f t > < T a b I n d e x > 1 4 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 c a l c \ C o l u m n s \ P r i o r   Y e a r . T O T A L  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 c a l c \ C o l u m n s \ P r i o r   Y e a r . 5 - 1 7 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 c a l c \ C o l u m n s \ F o r m u l a   C o u n t   I n c r e a s e 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 c a l c \ C o l u m n s \ H o l d   H a r m l e s s   P e r c e n t a g e 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 c a l c \ C o l u m n s \ A d j u s t e d   A l l o c a t i o n . T O T A L 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 c a l c \ C o l u m n s \ A d j u s t e d   A l l o c a t i o n . T i t l e 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 c a l c \ C o l u m n s \ A b o v e   H H 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 5 2 7 8 . 4 6 0 9 6 9 0 8 2 6 5 2 8 < / L e f t > < T a b I n d e x > 1 6 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 C o u n t s \ C o l u m n s \ L E A N a m e 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 C o u n t s \ C o l u m n s \ 2 0 2 0   P O V R T Y 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 C o u n t s \ C o l u m n s \ 2 0 2 1   N E G 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 C o u n t s \ C o l u m n s \ 2 0 2 1 _ 1   D E L . . 1 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 C o u n t s \ C o l u m n s \ 2 0 2 1 _ 2   F O R S T E R 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 C o u n t s \ C o l u m n s \ 2 0 2 1 _ 3   T A N F 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 C o u n t s \ C o l u m n s \ B A S I C 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 C o u n t s \ C o l u m n s \ C O N C . 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 C o u n t s \ C o l u m n s \ E F I G 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 C o u n t s \ C o l u m n s \ C O U N T S   T a r g e t e d 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 C o u n t s \ C o l u m n s \ C O U N T S   E F I G 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 F R P L 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 F R P L 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 C o l u m n s \ s c h o o l Y e a r < / K e y > < / D i a g r a m O b j e c t K e y > < D i a g r a m O b j e c t K e y > < K e y > C o l u m n s \ C C D D D < / K e y > < / D i a g r a m O b j e c t K e y > < D i a g r a m O b j e c t K e y > < K e y > C o l u m n s \ D i s t r i c t N a m e < / K e y > < / D i a g r a m O b j e c t K e y > < D i a g r a m O b j e c t K e y > < K e y > C o l u m n s \ T o t a l S t u d e n t s < / K e y > < / D i a g r a m O b j e c t K e y > < D i a g r a m O b j e c t K e y > < K e y > C o l u m n s \ T o t a l S t u d e n t s I n P o v e r t y < / K e y > < / D i a g r a m O b j e c t K e y > < D i a g r a m O b j e c t K e y > < K e y > C o l u m n s \ T o t a l P e r c e n t I n P o v e r t y 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 C o l u m n s \ C C D D D 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 C o l u m n s \ T o t a l S t u d e n t s 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 C o l u m n s \ T o t a l S t u d e n t s I n P o v e r t y 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 C o l u m n s \ T o t a l P e r c e n t I n P o v e r t y 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 s u m i f 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 s u m i f 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 C o l u m n s \ S e n d i n g   D i s t r i c t   C C D D D < / K e y > < / D i a g r a m O b j e c t K e y > < D i a g r a m O b j e c t K e y > < K e y > C o l u m n s \ S u m T o t a l S t u d e n t s   i n   p o v e r t y 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 C o l u m n s \ S e n d i n g   D i s t r i c t   C C D D D 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 C o l u m n s \ S u m T o t a l S t u d e n t s   i n   p o v e r t y 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F R P L _ 6 d 9 4 2 e 1 6 - 2 2 d b - 4 f f a - b 3 c 4 - 7 8 e 5 f 7 7 f 3 d 9 7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 s c h o o l Y e a r < / s t r i n g > < / k e y > < v a l u e > < i n t > 1 0 2 < / i n t > < / v a l u e > < / i t e m > < i t e m > < k e y > < s t r i n g > C C D D D < / s t r i n g > < / k e y > < v a l u e > < i n t > 7 9 < / i n t > < / v a l u e > < / i t e m > < i t e m > < k e y > < s t r i n g > D i s t r i c t N a m e < / s t r i n g > < / k e y > < v a l u e > < i n t > 1 1 7 < / i n t > < / v a l u e > < / i t e m > < i t e m > < k e y > < s t r i n g > T o t a l S t u d e n t s < / s t r i n g > < / k e y > < v a l u e > < i n t > 1 2 1 < / i n t > < / v a l u e > < / i t e m > < i t e m > < k e y > < s t r i n g > T o t a l S t u d e n t s I n P o v e r t y < / s t r i n g > < / k e y > < v a l u e > < i n t > 1 8 1 < / i n t > < / v a l u e > < / i t e m > < i t e m > < k e y > < s t r i n g > T o t a l P e r c e n t I n P o v e r t y < / s t r i n g > < / k e y > < v a l u e > < i n t > 1 7 4 < / i n t > < / v a l u e > < / i t e m > < / C o l u m n W i d t h s > < C o l u m n D i s p l a y I n d e x > < i t e m > < k e y > < s t r i n g > s c h o o l Y e a r < / s t r i n g > < / k e y > < v a l u e > < i n t > 0 < / i n t > < / v a l u e > < / i t e m > < i t e m > < k e y > < s t r i n g > C C D D D < / s t r i n g > < / k e y > < v a l u e > < i n t > 1 < / i n t > < / v a l u e > < / i t e m > < i t e m > < k e y > < s t r i n g > D i s t r i c t N a m e < / s t r i n g > < / k e y > < v a l u e > < i n t > 2 < / i n t > < / v a l u e > < / i t e m > < i t e m > < k e y > < s t r i n g > T o t a l S t u d e n t s < / s t r i n g > < / k e y > < v a l u e > < i n t > 3 < / i n t > < / v a l u e > < / i t e m > < i t e m > < k e y > < s t r i n g > T o t a l S t u d e n t s I n P o v e r t y < / s t r i n g > < / k e y > < v a l u e > < i n t > 4 < / i n t > < / v a l u e > < / i t e m > < i t e m > < k e y > < s t r i n g > T o t a l P e r c e n t I n P o v e r t y 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 F R P L 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 F R P L 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 C o l u m n s \ C C D D D 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 C o l u m n s \ T o t a l S t u d e n t s 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 C o l u m n s \ T o t a l S t u d e n t s I n P o v e r t y 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 C o l u m n s \ T o t a l P e r c e n t I n P o v e r t y 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 s u m i f 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 s u m i f 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 C o l u m n s \ S e n d i n g   D i s t r i c t   C C D D D 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 C o l u m n s \ S u m T o t a l S t u d e n t s   i n   p o v e r t y 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C l i e n t W i n d o w X M L " > < C u s t o m C o n t e n t > < ! [ C D A T A [ s u m i f _ c 9 c 1 6 b e 1 - 9 4 6 9 - 4 6 2 3 - 9 b 4 e - b c b 3 2 3 c c e 1 4 4 ] ] > < / C u s t o m C o n t e n t > < / G e m i n i > 
</file>

<file path=customXml/item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 2 0 2 3 - 0 1 - 0 4 T 1 3 : 2 4 : 4 3 . 3 7 8 4 6 1 3 - 0 8 : 0 0 < / L a s t P r o c e s s e d T i m e > < / D a t a M o d e l i n g S a n d b o x . S e r i a l i z e d S a n d b o x E r r o r C a c h e > ] ] > < / C u s t o m C o n t e n t > < / G e m i n i > 
</file>

<file path=customXml/item8.xml>��< ? x m l   v e r s i o n = " 1 . 0 "   e n c o d i n g = " u t f - 1 6 " ? > < D a t a M a s h u p   s q m i d = " b 8 b b d 3 1 4 - 5 a 0 0 - 4 0 8 c - b 6 1 9 - 7 c 8 0 1 8 b 3 6 d 7 d "   x m l n s = " h t t p : / / s c h e m a s . m i c r o s o f t . c o m / D a t a M a s h u p " > A A A A A K g c A A B Q S w M E F A A C A A g A h m U E W + u r O E u l A A A A 9 w A A A B I A H A B D b 2 5 m a W c v U G F j a 2 F n Z S 5 4 b W w g o h g A K K A U A A A A A A A A A A A A A A A A A A A A A A A A A A A A h Y 8 x D o I w G I W v Q r r T l q r R k F I G V 0 l M i M a 1 K R U a 4 c f Q Y r m b g 0 f y C m I U d X N 8 3 / u G 9 + 7 X G 0 + H p g 4 u u r O m h Q R F m K J A g 2 o L A 2 W C e n c M V y g V f C v V S Z Y 6 G G W w 8 W C L B F X O n W N C v P f Y z 3 D b l Y R R G p F D t s l V p R u J P r L 5 L 4 c G r J O g N B J 8 / x o j G I 7 m C x x R t s S U k 4 n y z M D X Y O P g Z / s D + b q v X d 9 p o S H c 5 Z x M k Z P 3 C f E A U E s D B B Q A A g A I A I Z l B F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G Z Q R b l 1 x z i 6 E Z A A C 2 x g A A E w A c A E Z v c m 1 1 b G F z L 1 N l Y 3 R p b 2 4 x L m 0 g o h g A K K A U A A A A A A A A A A A A A A A A A A A A A A A A A A A A 7 T 1 r c x s 5 j t 9 T N f + B 1 a n d s h N F s R Q 7 j 9 u d q V J s O d G t Y 3 k s 5 a a m F J V L l t p J z 0 h q b a u V S c 6 V / 3 5 8 9 I M P g G S 3 l K x n L v k S u Q m S A A i C A E i C 6 3 C a R v G S D M T / r X / 8 c O + H e + s P k y S c k f v B M f 2 R h s n V M I m u J / N B u J x F y / f k J F q n S T R N 1 w H 5 k c z D 9 I d 7 h P 4 b x J t k G t I v 3 U / T c N 7 8 J U 5 + v 4 7 j 3 / d O o 3 n Y P I 6 X a b h M 1 3 v B 4 L / e d V a r O G G 9 L e i n q / P u L + 9 O w 1 m Y T O b k d C N 6 + D v p z O f x d M K A 1 k X p K o n f J 5 M l m R R l 7 9 p H j 9 p P 3 1 0 k 4 T x a R M t J 8 v n d M E r n I e k 9 6 l B w 9 v V d f 3 D R I 7 N J O h H A R A A T l b S r d U b b L K O t + W m + / h T s N 8 h y M 5 8 3 S J p s w v 1 G R u i H M E x b V / w / S q 6 g + 3 b U S 8 P F j 4 E o D B r / i p a z 7 K 9 g / G V 0 Q v s f Z / X v B x d J v I h T y u H X 4 Y S S x v k 4 n F x T P m U l 2 f c 9 u a s G G W W l l D e D 6 W Q + S d Y / M r z G + 0 X D l K j l e 9 r u 8 P M q L B s d U q a t b + J k c R z P N 4 s l K 1 z v A V g 0 b m + D s 2 6 n d x J Q g i k Q S c N P 6 Z c G u Q 3 0 k S f H 8 S x 0 Q h k A G c 8 f C 5 4 T s / z 4 5 E T t / E t J 2 2 W 4 n C w o t o I I i W e i I P u 8 p z G B 0 Y R h D x R w B O R e q f R S j G l r l / E f U p + D c E 4 n D P u 2 Z 2 L W I O F k + o H s j X h z Y / L P n 7 g U 7 e / / c C 9 a w g 2 r 0 + 6 k 3 5 U m w F 2 Z Z T d 0 g s 3 f 3 W R g f E b 9 0 h m 8 7 p 2 / G v b P y e m v p H 3 Q P i K n v f P O m W X 2 l F 0 i M 0 g i 3 D 6 L L s N F / J G N c 7 z S R + f 3 a L W n d 9 Q 4 3 D e q A r L E C k p Z M v p o U C n l p S 0 m Q O J n u / z 5 J K g j s T o 6 T G j F 7 0 P W N J 2 T 0 S w Q M 4 R / P c q + n t N W 5 O 9 P 2 f e X n U H v m L z u n 5 2 Q 1 5 N k M Q / X a / J y s l Y A n 3 G M + + f H T Q f g c w Y 4 7 F y + 6 g 6 7 J w 7 Y F w y 2 e 9 p 7 5 Y B r H f B G + 8 P O m Q u S M 5 l + j a b y f J A h M t 4 v p 0 0 M 4 g n v b Z K 8 D 5 m u Q 4 A O C 9 w R A M 7 y b G 3 B Y D j 7 L 0 I q y 8 t 0 8 j 4 k 8 Q 1 5 H c 9 n F v r 4 O F y G 6 2 h G q 5 C L e N V U l E 8 l d W 5 o I a H N q e T o a h a V k A x w u V l c h 4 n A E 5 M R E 9 Q m J S Y 0 J i d A u 5 i g m K C G p A A E 6 a I C d A j I C k K A v R 1 T W k w g p 7 i Y V V R 5 M c t z x Y C u o 4 q y a e H K T 1 t I c 6 F 9 X q q 7 1 g t J C x 5 Q 3 S e v c E Z H m m 3 J F s f H Q k L B F W 7 w 7 3 m T a f x r y o a 9 Y J 1 8 f D T 4 + U y o h E H n d M D m 9 e j n T Z h 8 p i t E 9 6 x 7 P C Q n z X w l Z y t 8 g / 7 d T 9 5 P l t H / c u 7 3 Z g 0 J g r G o Q f r N 8 + P u g H G M 8 0 / + w M s H 0 w 9 x P P 8 1 n C S 9 2 f 2 9 + c 0 + I a e X / T d k x D E Y N 0 c n U U I N g T j 5 z H + L p s f k J I O d h z c p + S 2 O l n A F G b s x 6 R N q h + s o U z 7 0 t U 9 Z 2 4 T 8 8 o E a E L S G j C S F b 7 8 g H C Q Y V z F j B N s z 0 4 U v 2 H 7 W y u n l x d k d M V C q u A F X p 9 Q y E c j / E a U f S L R Y b V L R k c V 4 e R N S 1 d C 6 4 s w z D B d R m B s t H M Y 0 W i q o d L k z p s x l 2 T Z 0 u i z W R u E w T q n 3 l m 6 Y 1 m D m a W + Z P j 1 s s l 7 M 4 t 7 y g s 7 a J P 2 M w G U K S w b T F d C 6 k E d M B 3 V m M 6 Y Y N u s 0 X p R c o F 8 F / Y b u I Y V r w M V z S J t r X k x m g 5 T 6 E 3 s j m T H j x h G F P g j 2 a x h 7 C l Y N j e G K B o 2 T G Z 8 N Q J O 8 y G b a q e w p C N N H 0 B g 0 f J i Q g d G 1 s Y 6 0 6 X O c U g n c z C d k G m + W d 8 e 7 3 4 3 f Q X W Y Q p 1 w C g J j F m s 8 s L s g l Q w 0 s P / S 1 G / l k 2 W y / C z Z i G 3 4 8 x P T e S 4 c B g D 8 C A F / C o M / g z 8 / h z + / g D 9 z O x / 6 j l D a Q k h t P U G + I 7 S 2 j p D v C L E t h N q W Q u 5 O I h G q + x Z o 4 2 Y 6 e s K j 6 P 9 P 9 3 L 4 q + G / n X d f N Q 1 f 7 a R 7 1 j S c s t P + Y N i 9 B H y w z v m p 6 W 8 J g / u 0 f / n m 7 V m H H P f f n g 9 N l + v o U e s Z u e h f N E 1 f 6 6 J 7 e d w 9 H + Y t m H 6 W 8 D + 6 Z 7 1 X v Z d n 3 Y H p Z w m v A w Z 4 q n i k f y f c D o d B M y + X 4 j 8 g e Y 1 A H + A c g L U T Q H Y y E l 4 A H K 5 v E 2 D A j W 9 Q L b U 9 H E c z + g A 7 j r k k m k s + l 0 X z M 5 d G 8 3 M m j 5 A P S Q U S c w F V i T S h S p E E 3 C x N J g H f U R N K z B e 2 Q e B i C b W m y i U K w Q V T L V V X d n W 0 1 V X 9 I o n i h D B b g 0 x m v 1 H L h n 4 t F 9 i 7 s M Q f P m o f S d Z 6 E n 6 M 1 h R J v u h T x T v j i / i j z U q C 4 X X I Z Q Z 5 y i C t C 3 9 v G a U R a w 3 g A G Y G 2 O r s K r r v h d l / M u z P 3 O D O m y 4 W Q F K C F c x L J 3 t C 3 j 6 b 8 r a P x G K A k A f Z I 4 e i i T k V v + v J 9 H e o c h l u A h p A x R 5 q S Y S i U G I 8 W + E 2 O N A M A N q Z / U Y 8 Q l U M z C N c x c C K k N X E B e k O W / H 2 O D H O A B a u h 3 A 1 1 M k 5 e e e c j a + u i b L Z f p U L 0 9 W N Y M E V Z w E S V b B X 2 l 2 0 w Q c 5 5 w Y h b D Z g a o R J 2 k o 4 q 2 R V x E H R u Z U L z D F D i F B / 1 Y x Q l L J 7 I 0 s X D L j C 4 h y s 8 B H h 5 s Q q X i G 9 C E s F K D m N K f s S u C y z h 7 Q S Z j w x D a O W e E + u 4 a M e G a S T N K R z a 0 F I 6 + D g c O 9 6 / w 5 M K M x 7 z 1 3 2 t y v 6 Z z 5 v C C O D E m B d y d + u m h J 0 S X R G M 7 a Y O 6 p t t 8 / o i 1 W j t V / H R D A d B A + D w G f X 2 r Q D i m 1 r 4 V 6 M a b 2 g j L T I I b V q c Q 8 F G a Z D h r 3 h W Z f 0 G u S i c z k k H S L s e 6 o m y K v L D r V 5 j W W m u l + l 7 1 2 o X R 6 T N z 3 e F e m e v D 3 u D H v 9 c 8 L 9 S g X q p E E G b 1 / y n y 0 y G H a G X U K n K t t p 4 C Y + n c y 9 8 5 / f M r f i 4 r J P m 3 t D S v d Z a W l A O g 1 y 3 G B 1 7 H s k y s z u r N e b x Y p P s 7 s 7 l 9 t l A E 7 M g G J t F P N A j I 5 t T k t w v K 2 s J W w u I + A V 5 3 D L m M R 2 N B r t L b b 1 y 0 7 L G F C 7 D I R k M q 8 H g 5 i 7 S W X r U k i n C a Q G Q s z y 5 8 W W t l k m b 8 F L 0 2 5 3 B 1 + c G s R 7 I u v a w 4 y D H J U / n 5 U / X 8 g B E b 6 V M i N s t z A K p c 7 O Q 2 b q / H c c L a E 4 S M k u x j t 0 o d X g a D s f m e w Q g s K z D p m 4 N s / C m 7 S / o f S V q H Y / r a i t y e h 1 N F M Q I W r w 3 8 X 2 i U a w F 1 Y e e l l Y Y 2 A D T X d l R f N 5 0 4 l 6 E u d h S t K 4 O L F 3 B w y e b x D L E A y 6 D N d h 8 t E e w T A h t 7 V z 0 L 6 / p W m z u 1 i H Z o V j X k q + Q a e B S 4 I o P I 5 S S E j n h k 5 p Y r K L m M 0 c b 5 K E n e X g D Y m g w M u Q E h I C 1 a E Q i l y d B Q v o H 4 l A o n Y z R T C h d g t 8 1 a n f P 2 d n l e q 1 x u K q 5 R g N 0 d R E 1 O d 7 t q S 3 o N P + I 9 M U A B Y Z T M R h Q g Z E X r 8 m Q 7 r E Q C h T U C j 4 Y o v M 4 B 1 c t Z E u r p 5 Y O 7 k 6 r N b N E T A P W C 9 P 7 b 0 8 q 9 b L c 4 y Y F / Z u y g 1 H e W e C r h L K 6 I m + 0 s n v 4 Z L E G 3 A g 8 0 U o A k d h c 5 1 K k j F B w F g k k M U u W S S C T P 6 Y J L M 1 X w K S c B q / Z 7 E W P s Q a M / W 2 e T W g 8 T f 9 Q k / l e 5 b 0 E 5 X v 2 W a K C M 9 5 d 0 i X Z H L S G w w v e 8 c W F 8 v H 8 N N O Z 3 C r b 8 T 1 a n n a 2 V h X + u m H M D E N P t G w x e D L 9 b W k o a u q z b p 6 s o Z i r K g J q 6 o + Q 9 5 9 B F y T a E N W D O F A 9 h J b 3 n u J 6 l j D c c O q 9 r m K S b Z k 9 0 6 E b e 4 R Y V Z q + F X w M t T 9 g t t V b H V P Y o w 4 p S X + i Q V b 4 Y B n n Y Z q O M h V W M h d 5 4 q z 3 g W y j Q k V + I L W N L A C D 6 g a l l f g g K h j j g U u E H C h l j 5 A R l a 4 4 B Z B 8 E U P m K m y p X q H g 9 U 8 S s n x Z D 6 F v U H 3 j b Y q K i k / M p v 7 C J R M d q B U + R C w L 7 6 a h M N W 1 B V Z + + Y h T + y 8 o D i B Q W s 1 j R r m V / k 0 I c K a F q K u V a q k T S L j u t U u 2 N a q w r f W L h n X b D l Y R w G 2 U o 6 C P K b / b O N T G W 8 Z v / I u X B 3 a o a q 7 v c d i v R i o j m 3 b w 3 p w S K N 6 N 4 G f Y 1 J O A u e n d g s A L y n V 7 j v 4 y q o 4 + 6 X h o 1 x a C M o w h Q B p a s W o 8 L U 8 p E / p + t b W T y k J z M q a B f g Y P U E j s B p 6 9 n F a b x b R j R 0 k 4 D C + Q y S A K w w O j 0 L n X T D 3 b a F M A h I t p V 1 m o 1 g M H K / e d F S F g Y J K R + o 1 M g V C 7 N Z R t i a u y e X p x d n D n J n s j 8 K 3 c y I 5 f j i y a p A x j G k L R l U 9 i U + C v / V v O D 6 s Q / 2 m d o E j 0 v H j 0 X 0 P Q p E I o 9 v j U a l h M 8 S B b H n j K 9 / n B z n T h j m j O 0 G m 7 P + N F B y x j 0 h l x s j o P X E P X F s S s a n o g I j o x j q X n 4 c k 7 0 s t c M g d I m w I q o d u V P k 8 H j A r k i E r z N n u M o n n 8 y z W J 7 A x F 0 C Z i V V p R E T u S S W R O x Q 3 3 C 2 o e 8 r b k V v e n s j y p n U Z m t w C h 2 j 3 / D q s x K 8 j J S O A j Q g L 3 2 q d Q j j k d 3 + c y n 6 n x 7 h h 5 W C l T F m B 2 7 i B o C L H O k P W K G a + Z O o F W P 0 c y r K U b G 6 u f w F X e 0 6 U O a a i h t V 9 V I 9 L c w K + + 4 3 f / c b v f u N 3 v / G 7 3 3 g X / M Z X S b x Z G X t R / G t 1 f / H W 5 a F x u + W M 1 m O r 2 B 7 m U O w X W 2 f z O T 8 u p m w O G q u f 1 i h g Q 2 I N q k u X w g p 5 2 c o I 7 i / n n 5 H F S w q L 1 t u V y 1 Y s M M U T y v D t L k z r O 0 h Y N w A C N X P w 6 D j C q a P y T k u p A p m i 3 O a u d v X d P F V X t C b v t + b d B j X 1 p X b b v Z K y 9 N W V d 1 M 1 / j k 1 Y z T T r q d q 8 t q y T i p d U d 7 i i Q e 0 u x y q 8 E k Y n G y o W p n y E / y i 3 R K B o k g S a g N d o C v 5 b / K I g q 4 + B 3 W c E x M 1 a T I r r Z e 3 r g H / r m h G E n j G j W g 5 T U 2 u t m W R B 0 9 5 S + 3 J C v z N Z p 5 G t I Q F Y C A F L j o + j h f X 0 T L c u 5 X 0 f S O P 3 L A / 6 h l O u W q H 5 n + 2 Y 6 5 d 6 d n F c X z Y j w A N Q t R / 9 A x g a i 4 k 6 i l u E 6 y y B m A 8 o g 2 V n S T w r H K p b O U F 3 x 4 f V y C 9 l G 5 Z o 7 r v h O D l H i G T Y 7 x + 0 V w T b 8 o C 4 z 8 O L l 9 V Z o p 9 L H b D + q r L n c 5 4 g 0 u o / B q M t j E Y b 0 U 6 I J y d H S m 1 n m O 7 Q s E 9 W J n V M 4 M o u i E j l 0 S w G w n M z C b U u l y q 4 C p Y O F + H H s 1 J g 1 Q Q S x Y O y g A O s I M Z Y A O e t O m S 7 E G n P k Y + N B v d 1 N 0 1 Q Y i l q x D G B j 1 o y c Q S l A W P u K 1 j X T c P m g E e j W 8 S P a D P x l f Q X M h E r D h J v d P 3 S W Z H D Z / T Y S 4 U 3 i Y e s n J E n a q 5 W / p S C r t b a v J i 3 C z F r V L T 4 z L y I e N + Y x W J 0 w N h t d 1 2 X 9 / G Q E 4 1 t 3 u G c R / k t m V x s l c z w b c J / b W Q F D a e N 6 r F 5 Z z / + G W i P / m N y 0 o D 6 L h 8 a e Z I 0 9 K Y t Z H v z i x p 2 n d n m j T t + z P k + 3 P k + w v k e 3 l z Q f e w / h W u U s q M Z J 1 q M V D + 7 d x w r V o 1 n D O 9 j 8 a t N e / U Y f l T u n r 5 t P w p 3 c K U c s V K 2 a p a j l S x e q Z Y l i c m z w V z B 6 7 5 V U 8 2 K t K 4 n G U k W C Y n H 6 C r w y u W / u Y q J x n J D A L C 7 i 4 h i A U V P A / I m 5 g K U R I y A 4 y a k 9 H 7 6 D q i Z s B n n s 4 H k H 0 6 r m j G G u / 8 F 5 0 F T w i y o h 5 7 f m Y 8 c 8 2 x Q 8 B a f v 1 6 e 7 f F O g b m z l Q g Y I D C 5 W O p a D G X D 0 7 L W c X 1 Q 5 B D s / y Z 8 E 0 Q t k Q 2 y 2 V k D s O g H A a L f w c i a D Z 6 o 4 1 t f s x E z 6 Q 0 f j z y I 0 F 2 X k S a p Y o U O O l u E H f L O R l 6 p q c 6 Z J S Z y y t S 4 o G l V + P F U T w z h X o d e k S y q o q 0 + O H p b D s n R U u Y V Y c M 7 4 X Y i Z M 1 d 7 8 t W b 8 j O 7 8 l H b 8 t / z 6 U c B / K s I + k 1 A d y 6 M N J 8 3 2 y 5 B t p 8 f 0 V m b 8 l Y u T r U 2 9 H W Z Y b X c F t t + R I O w Z S H L V c b 6 i 1 Q z + 1 f B e Z H L z i y l L 2 Y u Q f R 8 M 4 h V s G B 2 8 A J 7 F a y + J k i U / b c o z g t / L y m 3 2 t K k k 2 L 8 0 V g b o M E S 0 G d 1 9 K U J r H 2 p R v D 0 Y g a W M V 0 f y 0 A n K m 9 T f j G p 9 2 v A F H M M v u m u O W / / l g Z H J T w + m 8 + w r H R z r F L i U 6 c z K L Z 5 T N c N H g x O 8 x C H q g Y n b S P c M x Y 2 h n T M o S s z m x 4 n D j H + 7 5 o K X A a n h l S e J Q 1 B j e G W p F P j k H c i K p L o T b j y p m G S C B M e O J 7 V C 8 C m T k J H g O x B i U z 0 B K c D p O w E 1 U F M U M K c s V V p G k i O E i y e d Y x v k g m w N y + T 5 5 K C r l U q y S m V c p S v c z 8 P u l g M E 1 Z I C i k 5 L Z c C W p X K k j m I j V 4 K V S F i Y s s S L O X P h O M N I O M Y S j H H U m A d m 4 A 8 Y T K C 6 y T K F 1 D k B 1 S c 2 p / K I y b D S i G S b x L J X C P k S 4 w g + 6 a 0 t E 3 S w 2 M B 3 M C U d x s 2 y C C J t N c s 7 d B / + 5 q c c N T 7 m a N L Y Y E 8 h P P 7 Y O e N q L E Y w q h S A H z Y O 2 G N a W M Y T C m O y 6 k D V p K g x R X h f C 2 S C I i V i L I 7 t n I e j p 0 c E B i R M L Q Q f N 1 t E + R l B h C b s H w C B d N q S 7 1 Q b i J 0 q a f S A o B B 2 I I w x v b q o 7 c Q a p y w 3 9 6 r L j w p k 4 k K Y s X M f z i G U Z J S J e B V t 3 J n Y B 1 e A k D 3 E 5 1 r d M s Q k t m 4 O g S P A M J t i A a 9 g 2 5 J w n B R a y Q V y k W 8 l w U c s K l O o 4 o x D e j X J b h T 9 g 0 S D S m w D 5 I w B 5 1 v 8 y z X + e 1 1 9 J 0 Q / k 5 A e S 8 A N Z 9 6 1 p 9 o G 8 + l o i / R 0 6 F I 6 4 2 J b v B M k i K O e + 0 Q / N w d k 7 J L O 7 3 s K N L y 7 g W o C o W 0 x j m Z N u d 4 d 2 d c b 1 d v a k 6 y g b h n L a c f U k f w 1 E o l g u G g F Q / H Y p r j d d U 1 9 8 h p z d d Z + f M H P q S l 6 M m f q p c L s 8 M 2 s T A B S X I g i y F D + o V B F X s C P 4 I R D F B f H b L N C f H b Q + 7 I A E c B x h n 1 K y 1 B D 1 O q u w Q G K V e W A n 0 O J 8 W Q 4 c 5 T I l t k o + G q H G K 5 E N z r P u J O J 4 8 + c I 4 Q X I h n 4 2 k 6 Q m 5 J N J k k Y y F 0 e W F C w 7 W i T D V T 3 y q F G Q n x + Q P v G 9 G M t u k L o n Y w X 0 O o 5 n 3 3 i q d D D S g b X H Z s g O Y / j O O L S Y i y j K T R 9 0 L d V 9 K L F U 9 y T S 0 o K T / r r H R N 3 C a c i z v l d p 7 C s q h V 5 y a z 4 v X n U / U U P o m 2 w D F J u T 5 b c m 1 L E G A u G h g S B o a V A A l n o 7 A N I l + y f Q q y / u n V G 1 R + j p G C X K A n q 1 B 3 k k S A o O 4 m s O 9 8 k z 9 b 3 F J B 8 / s P b h i c o / C 1 Q c Q z 9 m U b C v h + 9 + h q 8 T D S 1 y C Y g W O O a g d O S 2 O / i 6 T z H k k I U t j 7 o f p 7 3 G 3 E O 1 f u V h h 3 a W y c M 9 W 2 M P t q U I G 3 s I F 3 X 4 d Z 2 B x 1 V h F Q S / 2 F S M v O 5 D 1 Z j r P + V 8 r s t A x 1 o 5 3 n b A 9 f 3 3 h 9 Z J 7 s L G P s c J O M w 6 B l V v k M O D i G U v h R + c w 1 K X I t B V 8 5 Z i z l C l y + Y + R C B P n 2 F v n V n U H 8 h W P R s 4 h E c T w 8 G n H o S j T z 2 E B p + q B o 0 7 S r Q K j 9 F t f f 7 V e h X Q e 8 Q Q D t Z 9 B t C 7 X 8 D s q / N g 4 N b J 8 H S V o R 6 K V R W E X u Z 3 m V o / Z V s p C Z 6 J j n 6 6 s z z y m Y M 1 D R B 1 4 4 c l h O d P K N q t Z L 3 r a u 9 K F o u p F T V 4 S 7 W O x h j r u 6 / A k 5 H o f l D B k S J 0 C z 4 4 K U J G 9 + v N y P H D 0 f 0 q L O T w d a c h r 1 x n P m m G l q G X L b u 8 I M v A V m T P a s 9 T Q H j E F 4 i F c 9 t s / 2 s 4 Y q 5 w y V e 2 y A 0 B d z l i 2 + G L G e O W e V b G T g E P H T X J U X M E a Y l I E w 9 2 0 7 m w w 3 J G i 5 B F L i v B j V D v D T 0 r G x q 3 x r 6 S t G 0 g 7 y 7 g 5 4 D + K j t R r o i 8 G Q n / / x w M N e N g d z 4 q p 9 s r h i F S 1 x v Y 3 e Y v t P F b 8 9 n t a v b Q F g 9 r 1 3 x J 2 7 k s Q w F P d L 2 u 6 j I 6 t X r 9 S 6 n Q 3 v S O n k 6 / a 6 + f b / e U + 3 Z P p 2 O b 1 Z B 0 g H v N 3 + j x d L 1 / 7 w t u 5 + E f 7 M R Z 4 f B Q J 2 D 6 I c S u Q s p 3 A / y P P O R 7 0 d k D n v I N e P 6 K p 3 7 7 f R c v e c K H a t D j O F g e q t q P e 0 o 3 + F w 7 / I p 7 7 Q T 2 8 r f d d 0 m q 7 M p 5 E G A x v h A D i 4 u 0 v e W m p V W P m v a H h C o m j P U b x H z I / z I v R r U C X + R w G d D D Y U g b 6 G h / 0 a M a q i H f W 0 6 T 0 B 3 J 8 S I C 7 C D K O y g 0 W D 2 x H T 8 e 1 e e C f L L e b 2 v A y i u X i s I 3 C B y g 9 d T T N l s D T t z r m r Z b G K v V r O K / p m k L 6 n f Z y 6 k x L q 7 x b t Y Y M 2 e b 1 Q b T 2 l T N k b a T b B E D a 0 V U R p y 1 Q A F y 1 k K k y 1 k P E D 1 3 X z 4 u F 7 V 9 H w s l w 3 J 0 C F Z Q + / e l e z F x 6 B y p Z V p W N C x H 0 F l I t L f O Y c r r I S P b C j T + q V X c A N z 5 1 B o / s P d N y l h u b 0 0 J F D h 7 o Y O E L O / l d 9 R 2 T 4 s y y K Q c 5 K l z 6 8 c m F M r I s m J t 3 2 Q X I 2 u F e u B i V p W 9 l e 3 G E 4 g z + 4 1 n F R S x Y R x O U q F K X E O J D b 0 x k o V y K s f 6 G 8 z T O s v V N v O 0 j o 4 u 7 5 P v n h R s f M U 6 a V P F D n k Q 4 4 u 1 + E 3 G t t b O o 2 t s t x h a f Z f H b 1 i 3 3 D 9 V B 0 H k N q 4 w Z 7 V R k 0 p p b 2 p r 5 Q a Z Z f H l u 2 Q W F Q 6 U G 4 q B w u B I 1 r 2 G a + M T C + 1 a C T e f p b f w E A C 2 q 0 F 7 B W 0 F x I E B Q 6 h W w P J N P A v n t S 7 W K D Z a 3 R w p + R E Z N G 6 q H q K 3 g H l 5 y r b w b J U Q n h V d 6 y D Z x 9 s t P t v M a K 2 u q o b 0 W C J G Y t N J n q s a Q r d P N Y w h W F U H p x z V M B Z 6 9 I b z V r / d D 2 R I s j t L F t k D Y z P 6 E o 1 P N t v Q G u l V 6 h 1 Y K l b J W j j o Z 8 4 8 W Y c y G g 8 t V W a Y u f b p D K t i q F d h k 9 k z k M L A l 1 U 4 O 6 x t 1 e G W a Q n o H K t 9 U q 0 q + 0 x U t G w K v u y z 8 w h t S 2 J f D W 1 m 8 K 2 W k Z n n x K n R f 6 W X j V E W g A F Y V s a v 9 W c J J B H 9 R o 1 I R H J p i W V Q a C m C 0 L j e 8 R A t b / j 3 s y H + 6 / t 3 a 6 K 6 N W F f 8 u t r 8 9 r T 9 C 7 s l N Q 4 7 w A d A P o + T 7 / P 0 6 9 g 9 V d I m G I + E m 2 f e 1 h p Y D 2 P Z V 4 J t x 7 L M m + L O 0 5 n g V f J L e e 0 j D v m X q e 1 A v S 4 9 E 5 f q b V o W 8 9 z d t C h O q s u 9 j g F i L W L y Y M J a s g A T E / T D g K f A w Y J s L e D H n 2 v F + T i Q 2 H k u N 8 y g 0 z V F 3 L + t G f 0 q x z G R / P 2 8 m S 8 W R B N y k h X v J Q I H f v j A q B m g 5 p T g L d S 5 l / 2 6 S 1 7 X 1 j r o F E + Q 1 L p h a G y C 0 a g J D G / i l c R l C t o w L W h b P t g G H 5 K m 5 d M H v f 4 T 3 F 6 k 9 1 L 4 j i N K X o H Q b M Z v A i + k P 3 G Q e M w u 8 8 c B K j x Y n l F S H c 6 A M r r H L x s B V q Q 1 o w V q 2 e Z o H K v s C w Y h K 4 S j 4 U x g 1 c q A 9 a 8 4 a B f b p Q F Q V y v c M T o I H y A N z R c 0 n S g 3 m F 0 Y 4 7 f N W r j 4 o O R 2 P D k l S U n e z v 4 x / 8 B U E s B A i 0 A F A A C A A g A h m U E W + u r O E u l A A A A 9 w A A A B I A A A A A A A A A A A A A A A A A A A A A A E N v b m Z p Z y 9 Q Y W N r Y W d l L n h t b F B L A Q I t A B Q A A g A I A I Z l B F s P y u m r p A A A A O k A A A A T A A A A A A A A A A A A A A A A A P E A A A B b Q 2 9 u d G V u d F 9 U e X B l c 1 0 u e G 1 s U E s B A i 0 A F A A C A A g A h m U E W 5 d c c 4 u h G Q A A t s Y A A B M A A A A A A A A A A A A A A A A A 4 g E A A E Z v c m 1 1 b G F z L 1 N l Y 3 R p b 2 4 x L m 1 Q S w U G A A A A A A M A A w D C A A A A 0 B s A A A A A E Q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Z m F s c 2 U 8 L 0 Z p c m V 3 Y W x s R W 5 h Y m x l Z D 4 8 L 1 B l c m 1 p c 3 N p b 2 5 M a X N 0 P k v J A Q A A A A A A K c k B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d 0 F B Q U F B Q U F B Q 1 B z W i 9 E Z D Z X S F F M L 0 h v V i t x a E p F a 0 V W T n Z k W E p q W l h N Z 2 R H O G d k W E J r W V h S b E F B Q U F B Q U F B Q U F B Q U F B a W 9 I Q k h 0 Q l p k R n R T T H g x c E R l N V p B U l U z Q n N h W F F n W T J G c 1 k z V n N Z W F J w Y j I 0 Q U F B R U F B Q U F B Q U F B Q X F I M U p l U 0 N l b D B l W k d 3 N j F a Z k t W b E E x U 1 p T M U V i e U J 4 Z F d W e W F X V n p B Q U F E Q U F B Q S I g L z 4 8 L 1 N 0 Y W J s Z U V u d H J p Z X M + P C 9 J d G V t P j x J d G V t P j x J d G V t T G 9 j Y X R p b 2 4 + P E l 0 Z W 1 U e X B l P k Z v c m 1 1 b G E 8 L 0 l 0 Z W 1 U e X B l P j x J d G V t U G F 0 a D 5 T Z W N 0 a W 9 u M S 9 G U l B M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F 1 Z X J 5 S U Q i I F Z h b H V l P S J z M D F j O T h k M z Q t M G M w N y 0 0 Y W Q z L W E 4 Y m M t O W J i N z g y M z h k M m M 5 I i A v P j x F b n R y e S B U e X B l P S J R d W V y e U d y b 3 V w S U Q i I F Z h b H V l P S J z Y z M 5 Z m I x O G Y t Y T U 3 N y 0 0 M D g 3 L W J m Y z c t Y T E 1 Z m F h O D Q 5 M T I 0 I i A v P j x F b n R y e S B U e X B l P S J G a W x s V G 9 E Y X R h T W 9 k Z W x F b m F i b G V k I i B W Y W x 1 Z T 0 i b D E i I C 8 + P E V u d H J 5 I F R 5 c G U 9 I k Z p b G x P Y m p l Y 3 R U e X B l I i B W Y W x 1 Z T 0 i c 0 N v b m 5 l Y 3 R p b 2 5 P b m x 5 I i A v P j x F b n R y e S B U e X B l P S J G a W x s T G F z d F V w Z G F 0 Z W Q i I F Z h b H V l P S J k M j A y N S 0 w O C 0 w N F Q x N z o w N D o w N i 4 2 N j E 3 N D Y z W i I g L z 4 8 R W 5 0 c n k g V H l w Z T 0 i R m l s b E N v b H V t b l R 5 c G V z I i B W Y W x 1 Z T 0 i c 0 J n Q U d B d 0 1 G I i A v P j x F b n R y e S B U e X B l P S J G a W x s Q 2 9 s d W 1 u T m F t Z X M i I F Z h b H V l P S J z W y Z x d W 9 0 O 3 N j a G 9 v b F l l Y X I m c X V v d D s s J n F 1 b 3 Q 7 Q 0 N E R E Q m c X V v d D s s J n F 1 b 3 Q 7 R G l z d H J p Y 3 R O Y W 1 l J n F 1 b 3 Q 7 L C Z x d W 9 0 O 1 R v d G F s U 3 R 1 Z G V u d H M m c X V v d D s s J n F 1 b 3 Q 7 V G 9 0 Y W x T d H V k Z W 5 0 c 0 l u U G 9 2 Z X J 0 e S Z x d W 9 0 O y w m c X V v d D t U b 3 R h b F B l c m N l b n R J b l B v d m V y d H k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z M z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Z S U E w v Q 2 h h b m d l Z C B U e X B l L n t z Y 2 h v b 2 x Z Z W F y L D B 9 J n F 1 b 3 Q 7 L C Z x d W 9 0 O 1 N l Y 3 R p b 2 4 x L 0 Z S U E w v Q W R k Z W Q g Q 3 V z d G 9 t L n t D Q 0 R E R C w 2 f S Z x d W 9 0 O y w m c X V v d D t T Z W N 0 a W 9 u M S 9 G U l B M L 0 N o Y W 5 n Z W Q g V H l w Z S 5 7 R G l z d H J p Y 3 R O Y W 1 l L D J 9 J n F 1 b 3 Q 7 L C Z x d W 9 0 O 1 N l Y 3 R p b 2 4 x L 0 Z S U E w v Q 2 h h b m d l Z C B U e X B l L n t U b 3 R h b F N 0 d W R l b n R z L D N 9 J n F 1 b 3 Q 7 L C Z x d W 9 0 O 1 N l Y 3 R p b 2 4 x L 0 Z S U E w v Q 2 h h b m d l Z C B U e X B l L n t U b 3 R h b F N 0 d W R l b n R z S W 5 Q b 3 Z l c n R 5 L D R 9 J n F 1 b 3 Q 7 L C Z x d W 9 0 O 1 N l Y 3 R p b 2 4 x L 0 Z S U E w v Q 2 h h b m d l Z C B U e X B l L n t U b 3 R h b F B l c m N l b n R J b l B v d m V y d H k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R l J Q T C 9 D a G F u Z 2 V k I F R 5 c G U u e 3 N j a G 9 v b F l l Y X I s M H 0 m c X V v d D s s J n F 1 b 3 Q 7 U 2 V j d G l v b j E v R l J Q T C 9 B Z G R l Z C B D d X N 0 b 2 0 u e 0 N D R E R E L D Z 9 J n F 1 b 3 Q 7 L C Z x d W 9 0 O 1 N l Y 3 R p b 2 4 x L 0 Z S U E w v Q 2 h h b m d l Z C B U e X B l L n t E a X N 0 c m l j d E 5 h b W U s M n 0 m c X V v d D s s J n F 1 b 3 Q 7 U 2 V j d G l v b j E v R l J Q T C 9 D a G F u Z 2 V k I F R 5 c G U u e 1 R v d G F s U 3 R 1 Z G V u d H M s M 3 0 m c X V v d D s s J n F 1 b 3 Q 7 U 2 V j d G l v b j E v R l J Q T C 9 D a G F u Z 2 V k I F R 5 c G U u e 1 R v d G F s U 3 R 1 Z G V u d H N J b l B v d m V y d H k s N H 0 m c X V v d D s s J n F 1 b 3 Q 7 U 2 V j d G l v b j E v R l J Q T C 9 D a G F u Z 2 V k I F R 5 c G U u e 1 R v d G F s U G V y Y 2 V u d E l u U G 9 2 Z X J 0 e S w 1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G U l B M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U E w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F y d G V y X 1 R y a W J h b F N l b m R p b m c l M j B E a X N 0 c m l j d H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X V l c n l H c m 9 1 c E l E I i B W Y W x 1 Z T 0 i c 2 M z O W Z i M T h m L W E 1 N z c t N D A 4 N y 1 i Z m M 3 L W E x N W Z h Y T g 0 O T E y N C I g L z 4 8 R W 5 0 c n k g V H l w Z T 0 i U X V l c n l J R C I g V m F s d W U 9 I n N i O W V i Y m I 0 N C 1 i O G N m L T Q w N m E t O D l l N C 0 z Z T A 4 Y m M 2 Y W F i N j M i I C 8 + P E V u d H J 5 I F R 5 c G U 9 I k Z p b G x F c n J v c k N v d W 5 0 I i B W Y W x 1 Z T 0 i b D A i I C 8 + P E V u d H J 5 I F R 5 c G U 9 I k Z p b G x U b 0 R h d G F N b 2 R l b E V u Y W J s Z W Q i I F Z h b H V l P S J s M S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R W 5 0 c n k g V H l w Z T 0 i R m l s b E x h c 3 R V c G R h d G V k I i B W Y W x 1 Z T 0 i Z D I w M j U t M D g t M D R U M T c 6 M D Q 6 M D Y u N j c 1 O T I 4 N 1 o i I C 8 + P E V u d H J 5 I F R 5 c G U 9 I k Z p b G x D b 2 x 1 b W 5 U e X B l c y I g V m F s d W U 9 I n N C Z 1 l H Q m d Z Q U F B P T 0 i I C 8 + P E V u d H J 5 I F R 5 c G U 9 I k Z p b G x D b 2 x 1 b W 5 O Y W 1 l c y I g V m F s d W U 9 I n N b J n F 1 b 3 Q 7 Q 0 N E R E Q m c X V v d D s s J n F 1 b 3 Q 7 Q 2 h h c n R l c i 9 U c m l i Y W w g J n F 1 b 3 Q 7 L C Z x d W 9 0 O 1 N l b m R p b m c g R G l z d H J p Y 3 Q m c X V v d D s s J n F 1 b 3 Q 7 U 2 V u Z G l u Z y B E a X N 0 c m l j d C B D Q 0 R E R C Z x d W 9 0 O y w m c X V v d D t M R U F J R C Z x d W 9 0 O y w m c X V v d D t J c 0 5 l d y Z x d W 9 0 O y w m c X V v d D t J c 0 V 4 c G F u Z G V k J n F 1 b 3 Q 7 X S I g L z 4 8 R W 5 0 c n k g V H l w Z T 0 i R m l s b F N 0 Y X R 1 c y I g V m F s d W U 9 I n N D b 2 1 w b G V 0 Z S I g L z 4 8 R W 5 0 c n k g V H l w Z T 0 i R m l s b E N v d W 5 0 I i B W Y W x 1 Z T 0 i b D E 5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a G F y d G V y X 1 R y a W J h b F N l b m R p b m c g R G l z d H J p Y 3 R z L 0 N o Y W 5 n Z W Q g V H l w Z S 5 7 Q 0 N E R E Q s M H 0 m c X V v d D s s J n F 1 b 3 Q 7 U 2 V j d G l v b j E v Q 2 h h c n R l c l 9 U c m l i Y W x T Z W 5 k a W 5 n I E R p c 3 R y a W N 0 c y 9 D a G F u Z 2 V k I F R 5 c G U u e 0 N o Y X J 0 Z X I v V H J p Y m F s I C w x f S Z x d W 9 0 O y w m c X V v d D t T Z W N 0 a W 9 u M S 9 D a G F y d G V y X 1 R y a W J h b F N l b m R p b m c g R G l z d H J p Y 3 R z L 0 N o Y W 5 n Z W Q g V H l w Z S 5 7 U 2 V u Z G l u Z y B E a X N 0 c m l j d C w y f S Z x d W 9 0 O y w m c X V v d D t T Z W N 0 a W 9 u M S 9 D a G F y d G V y X 1 R y a W J h b F N l b m R p b m c g R G l z d H J p Y 3 R z L 0 N o Y W 5 n Z W Q g V H l w Z S 5 7 U 2 V u Z G l u Z y B E a X N 0 c m l j d C B D b 2 R l L D N 9 J n F 1 b 3 Q 7 L C Z x d W 9 0 O 1 N l Y 3 R p b 2 4 x L 0 N o Y X J 0 Z X J f V H J p Y m F s U 2 V u Z G l u Z y B E a X N 0 c m l j d H M v Q 2 h h b m d l Z C B U e X B l L n t M R U F J R C w 0 f S Z x d W 9 0 O y w m c X V v d D t T Z W N 0 a W 9 u M S 9 D a G F y d G V y X 1 R y a W J h b F N l b m R p b m c g R G l z d H J p Y 3 R z L 1 B y b 2 1 v d G V k I E h l Y W R l c n M u e 0 l z T m V 3 L D V 9 J n F 1 b 3 Q 7 L C Z x d W 9 0 O 1 N l Y 3 R p b 2 4 x L 0 N o Y X J 0 Z X J f V H J p Y m F s U 2 V u Z G l u Z y B E a X N 0 c m l j d H M v U H J v b W 9 0 Z W Q g S G V h Z G V y c y 5 7 S X N F e H B h b m R l Z C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D a G F y d G V y X 1 R y a W J h b F N l b m R p b m c g R G l z d H J p Y 3 R z L 0 N o Y W 5 n Z W Q g V H l w Z S 5 7 Q 0 N E R E Q s M H 0 m c X V v d D s s J n F 1 b 3 Q 7 U 2 V j d G l v b j E v Q 2 h h c n R l c l 9 U c m l i Y W x T Z W 5 k a W 5 n I E R p c 3 R y a W N 0 c y 9 D a G F u Z 2 V k I F R 5 c G U u e 0 N o Y X J 0 Z X I v V H J p Y m F s I C w x f S Z x d W 9 0 O y w m c X V v d D t T Z W N 0 a W 9 u M S 9 D a G F y d G V y X 1 R y a W J h b F N l b m R p b m c g R G l z d H J p Y 3 R z L 0 N o Y W 5 n Z W Q g V H l w Z S 5 7 U 2 V u Z G l u Z y B E a X N 0 c m l j d C w y f S Z x d W 9 0 O y w m c X V v d D t T Z W N 0 a W 9 u M S 9 D a G F y d G V y X 1 R y a W J h b F N l b m R p b m c g R G l z d H J p Y 3 R z L 0 N o Y W 5 n Z W Q g V H l w Z S 5 7 U 2 V u Z G l u Z y B E a X N 0 c m l j d C B D b 2 R l L D N 9 J n F 1 b 3 Q 7 L C Z x d W 9 0 O 1 N l Y 3 R p b 2 4 x L 0 N o Y X J 0 Z X J f V H J p Y m F s U 2 V u Z G l u Z y B E a X N 0 c m l j d H M v Q 2 h h b m d l Z C B U e X B l L n t M R U F J R C w 0 f S Z x d W 9 0 O y w m c X V v d D t T Z W N 0 a W 9 u M S 9 D a G F y d G V y X 1 R y a W J h b F N l b m R p b m c g R G l z d H J p Y 3 R z L 1 B y b 2 1 v d G V k I E h l Y W R l c n M u e 0 l z T m V 3 L D V 9 J n F 1 b 3 Q 7 L C Z x d W 9 0 O 1 N l Y 3 R p b 2 4 x L 0 N o Y X J 0 Z X J f V H J p Y m F s U 2 V u Z G l u Z y B E a X N 0 c m l j d H M v U H J v b W 9 0 Z W Q g S G V h Z G V y c y 5 7 S X N F e H B h b m R l Z C w 2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D a G F y d G V y X 1 R y a W J h b F N l b m R p b m c l M j B E a X N 0 c m l j d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h c n R l c l 9 U c m l i Y W x T Z W 5 k a W 5 n J T I w R G l z d H J p Y 3 R z L 1 N o Z W V 0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f V H J p Y m F s U 2 V u Z G l u Z y U y M E R p c 3 R y a W N 0 c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F y d G V y T 2 5 s e T w v S X R l b V B h d G g + P C 9 J d G V t T G 9 j Y X R p b 2 4 + P F N 0 Y W J s Z U V u d H J p Z X M + P E V u d H J 5 I F R 5 c G U 9 I k Z p b G x F b m F i b G V k I i B W Y W x 1 Z T 0 i b D A i I C 8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2 U 2 Z T Q 3 N z c 5 L W F h O W M t N D d l M C 0 4 Y z A 1 L T h i N W E 3 O G I y M D c w M i I g L z 4 8 R W 5 0 c n k g V H l w Z T 0 i U X V l c n l H c m 9 1 c E l E I i B W Y W x 1 Z T 0 i c z E x M W N h O D A 4 L T A 1 Z W Q t N D U 5 N y 1 i N T I y L W Y x Z D Y 5 M G R l Z T U 5 M C I g L z 4 8 R W 5 0 c n k g V H l w Z T 0 i R m l s b F R v R G F 0 Y U 1 v Z G V s R W 5 h Y m x l Z C I g V m F s d W U 9 I m w x I i A v P j x F b n R y e S B U e X B l P S J G a W x s T 2 J q Z W N 0 V H l w Z S I g V m F s d W U 9 I n N D b 2 5 u Z W N 0 a W 9 u T 2 5 s e S I g L z 4 8 R W 5 0 c n k g V H l w Z T 0 i R m l s b E x h c 3 R V c G R h d G V k I i B W Y W x 1 Z T 0 i Z D I w M j U t M D g t M D R U M T c 6 M D Q 6 M D Y u N z A w M j Y x M 1 o i I C 8 + P E V u d H J 5 I F R 5 c G U 9 I k Z p b G x D b 2 x 1 b W 5 U e X B l c y I g V m F s d W U 9 I n N C Z 1 l H Q U F B R E F 3 W U Z B Q V F F Q U F R R U F B P T 0 i I C 8 + P E V u d H J 5 I F R 5 c G U 9 I k Z p b G x D b 2 x 1 b W 5 O Y W 1 l c y I g V m F s d W U 9 I n N b J n F 1 b 3 Q 7 Q 0 N E R E Q m c X V v d D s s J n F 1 b 3 Q 7 R G l z d H J p Y 3 R O Y W 1 l J n F 1 b 3 Q 7 L C Z x d W 9 0 O 0 x F Q W l k J n F 1 b 3 Q 7 L C Z x d W 9 0 O 0 l z T m V 3 J n F 1 b 3 Q 7 L C Z x d W 9 0 O 0 l z R X h w Y W 5 k Z W Q m c X V v d D s s J n F 1 b 3 Q 7 R l J Q T C 5 U b 3 R h b F N 0 d W R l b n R z J n F 1 b 3 Q 7 L C Z x d W 9 0 O 1 N l b m R p b m d U b 3 R h b F N 0 d W R l b n R z J n F 1 b 3 Q 7 L C Z x d W 9 0 O 1 N l b m R p b m d M R U F p Z C Z x d W 9 0 O y w m c X V v d D t D a G F y d G V y c 1 R v d G F s U 3 R 1 Z G V u d H M m c X V v d D s s J n F 1 b 3 Q 7 U 3 V t I G 9 m I E N o Y X J 0 Z X J z I F J G U E w r U 2 V u Z G l u Z y B S R l B M J n F 1 b 3 Q 7 L C Z x d W 9 0 O 1 N o Y X J l I G 9 m I E Z S U E w m c X V v d D s s J n F 1 b 3 Q 7 U 2 V u Z G l u Z y B T a G F y Z S B v Z i B G U l B M J n F 1 b 3 Q 7 L C Z x d W 9 0 O 1 N 1 b S B v Z i B j a G F y d G V y I H R v d G F s I H N 0 d W R l b n R z I C s g U 2 V u Z G l u Z y B 0 b 3 R h b C B z d H V k Z W 5 0 c y Z x d W 9 0 O y w m c X V v d D t T a G F y Z S B v Z i B U b 3 R h b C B F b n J v b G x t Z W 5 0 J n F 1 b 3 Q 7 L C Z x d W 9 0 O 1 N l b m R p b m c g U 2 h h c m U g b 2 Y g V G 9 0 Y W w g Z W 5 y b 2 x s b W V u d C Z x d W 9 0 O y w m c X V v d D t E a X N 0 c m l j d F R 5 c G U m c X V v d D t d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O S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w b G l 0 I E N h b G M v Q 2 h h b m d l Z C B U e X B l L n t D Q 0 R E R C w w f S Z x d W 9 0 O y w m c X V v d D t T Z W N 0 a W 9 u M S 9 D a G F y d G V y X 1 R y a W J h b F N l b m R p b m c g R G l z d H J p Y 3 R z L 0 N o Y W 5 n Z W Q g V H l w Z S 5 7 Q 2 h h c n R l c i 9 U c m l i Y W w g L D F 9 J n F 1 b 3 Q 7 L C Z x d W 9 0 O 1 N l Y 3 R p b 2 4 x L 0 N o Y X J 0 Z X J P b m x 5 L 0 N o Y W 5 n Z W Q g V H l w Z S 5 7 T E V B a W Q s M n 0 m c X V v d D s s J n F 1 b 3 Q 7 U 2 V j d G l v b j E v Q 2 h h c n R l c l 9 U c m l i Y W x T Z W 5 k a W 5 n I E R p c 3 R y a W N 0 c y 9 Q c m 9 t b 3 R l Z C B I Z W F k Z X J z L n t J c 0 5 l d y w 1 f S Z x d W 9 0 O y w m c X V v d D t T Z W N 0 a W 9 u M S 9 D a G F y d G V y X 1 R y a W J h b F N l b m R p b m c g R G l z d H J p Y 3 R z L 1 B y b 2 1 v d G V k I E h l Y W R l c n M u e 0 l z R X h w Y W 5 k Z W Q s N n 0 m c X V v d D s s J n F 1 b 3 Q 7 U 2 V j d G l v b j E v R l J Q T C 9 D a G F u Z 2 V k I F R 5 c G U u e 1 R v d G F s U 3 R 1 Z G V u d H M s M 3 0 m c X V v d D s s J n F 1 b 3 Q 7 U 2 V j d G l v b j E v R l J Q T C 9 D a G F u Z 2 V k I F R 5 c G U u e 1 R v d G F s U 3 R 1 Z G V u d H M s M 3 0 m c X V v d D s s J n F 1 b 3 Q 7 U 2 V j d G l v b j E v Q 0 N E R E R c X C 9 M R U F p Z C 9 T b 3 V y Y 2 U u e 0 5 D R V N M R U F O d W 1 i Z X I s M 3 0 m c X V v d D s s J n F 1 b 3 Q 7 U 2 V j d G l v b j E v c 3 V t a W Y v R 3 J v d X B l Z C B S b 3 d z L n t T d W 1 U b 3 R h b F N 0 d W R l b n R z L D J 9 J n F 1 b 3 Q 7 L C Z x d W 9 0 O 1 N l Y 3 R p b 2 4 x L 1 N w b G l 0 I E N h b G M v Q W R k Z W Q g Q 3 V z d G 9 t L n t T d W 0 g b 2 Y g Q 2 h h c n R l c n M g U k Z Q T C t T Z W 5 k a W 5 n I F J G U E w s M T R 9 J n F 1 b 3 Q 7 L C Z x d W 9 0 O 1 N l Y 3 R p b 2 4 x L 1 N w b G l 0 I E N h b G M v Q 2 h h b m d l Z C B U e X B l M S 5 7 J U 9 m I F J G U E w g a W 4 g c 2 V u Z G l u Z y B k a X N 0 c m l j d C w x N X 0 m c X V v d D s s J n F 1 b 3 Q 7 U 2 V j d G l v b j E v U 3 B s a X Q g Q 2 F s Y y 9 D a G F u Z 2 V k I F R 5 c G U y L n t T Z W 5 k a W 5 n I E R p c 3 R y a W N 0 I C U g L D E 1 f S Z x d W 9 0 O y w m c X V v d D t T Z W N 0 a W 9 u M S 9 T c G x p d C B D Y W x j L 0 F k Z G V k I E N 1 c 3 R v b T M u e 1 N 1 b S B v Z i B j a G F y d G V y I H R v d G F s I H N 0 d W R l b n R z I C s g U 2 V u Z G l u Z y B 0 b 3 R h b C B z d H V k Z W 5 0 c y w x N 3 0 m c X V v d D s s J n F 1 b 3 Q 7 U 2 V j d G l v b j E v U 3 B s a X Q g Q 2 F s Y y 9 D a G F u Z 2 V k I F R 5 c G U z L n t T a G F y Z S B v Z i B U b 3 R h b C B F b n J v b G x t Z W 5 0 L D E 4 f S Z x d W 9 0 O y w m c X V v d D t T Z W N 0 a W 9 u M S 9 T c G x p d C B D Y W x j L 0 N o Y W 5 n Z W Q g V H l w Z T Q u e 1 N l b m R p b m c g U 2 h h c m U g b 2 Y g V G 9 0 Y W w g Z W 5 y b 2 x s b W V u d C w x O X 0 m c X V v d D s s J n F 1 b 3 Q 7 U 2 V j d G l v b j E v Q 2 h h c n R l c k 9 u b H k v Q W R k Z W Q g Q 3 V z d G 9 t L n t E a X N 0 c m l j d F R 5 c G U s M T d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T c G x p d C B D Y W x j L 0 N o Y W 5 n Z W Q g V H l w Z S 5 7 Q 0 N E R E Q s M H 0 m c X V v d D s s J n F 1 b 3 Q 7 U 2 V j d G l v b j E v Q 2 h h c n R l c l 9 U c m l i Y W x T Z W 5 k a W 5 n I E R p c 3 R y a W N 0 c y 9 D a G F u Z 2 V k I F R 5 c G U u e 0 N o Y X J 0 Z X I v V H J p Y m F s I C w x f S Z x d W 9 0 O y w m c X V v d D t T Z W N 0 a W 9 u M S 9 D a G F y d G V y T 2 5 s e S 9 D a G F u Z 2 V k I F R 5 c G U u e 0 x F Q W l k L D J 9 J n F 1 b 3 Q 7 L C Z x d W 9 0 O 1 N l Y 3 R p b 2 4 x L 0 N o Y X J 0 Z X J f V H J p Y m F s U 2 V u Z G l u Z y B E a X N 0 c m l j d H M v U H J v b W 9 0 Z W Q g S G V h Z G V y c y 5 7 S X N O Z X c s N X 0 m c X V v d D s s J n F 1 b 3 Q 7 U 2 V j d G l v b j E v Q 2 h h c n R l c l 9 U c m l i Y W x T Z W 5 k a W 5 n I E R p c 3 R y a W N 0 c y 9 Q c m 9 t b 3 R l Z C B I Z W F k Z X J z L n t J c 0 V 4 c G F u Z G V k L D Z 9 J n F 1 b 3 Q 7 L C Z x d W 9 0 O 1 N l Y 3 R p b 2 4 x L 0 Z S U E w v Q 2 h h b m d l Z C B U e X B l L n t U b 3 R h b F N 0 d W R l b n R z L D N 9 J n F 1 b 3 Q 7 L C Z x d W 9 0 O 1 N l Y 3 R p b 2 4 x L 0 Z S U E w v Q 2 h h b m d l Z C B U e X B l L n t U b 3 R h b F N 0 d W R l b n R z L D N 9 J n F 1 b 3 Q 7 L C Z x d W 9 0 O 1 N l Y 3 R p b 2 4 x L 0 N D R E R E X F w v T E V B a W Q v U 2 9 1 c m N l L n t O Q 0 V T T E V B T n V t Y m V y L D N 9 J n F 1 b 3 Q 7 L C Z x d W 9 0 O 1 N l Y 3 R p b 2 4 x L 3 N 1 b W l m L 0 d y b 3 V w Z W Q g U m 9 3 c y 5 7 U 3 V t V G 9 0 Y W x T d H V k Z W 5 0 c y w y f S Z x d W 9 0 O y w m c X V v d D t T Z W N 0 a W 9 u M S 9 T c G x p d C B D Y W x j L 0 F k Z G V k I E N 1 c 3 R v b S 5 7 U 3 V t I G 9 m I E N o Y X J 0 Z X J z I F J G U E w r U 2 V u Z G l u Z y B S R l B M L D E 0 f S Z x d W 9 0 O y w m c X V v d D t T Z W N 0 a W 9 u M S 9 T c G x p d C B D Y W x j L 0 N o Y W 5 n Z W Q g V H l w Z T E u e y V P Z i B S R l B M I G l u I H N l b m R p b m c g Z G l z d H J p Y 3 Q s M T V 9 J n F 1 b 3 Q 7 L C Z x d W 9 0 O 1 N l Y 3 R p b 2 4 x L 1 N w b G l 0 I E N h b G M v Q 2 h h b m d l Z C B U e X B l M i 5 7 U 2 V u Z G l u Z y B E a X N 0 c m l j d C A l I C w x N X 0 m c X V v d D s s J n F 1 b 3 Q 7 U 2 V j d G l v b j E v U 3 B s a X Q g Q 2 F s Y y 9 B Z G R l Z C B D d X N 0 b 2 0 z L n t T d W 0 g b 2 Y g Y 2 h h c n R l c i B 0 b 3 R h b C B z d H V k Z W 5 0 c y A r I F N l b m R p b m c g d G 9 0 Y W w g c 3 R 1 Z G V u d H M s M T d 9 J n F 1 b 3 Q 7 L C Z x d W 9 0 O 1 N l Y 3 R p b 2 4 x L 1 N w b G l 0 I E N h b G M v Q 2 h h b m d l Z C B U e X B l M y 5 7 U 2 h h c m U g b 2 Y g V G 9 0 Y W w g R W 5 y b 2 x s b W V u d C w x O H 0 m c X V v d D s s J n F 1 b 3 Q 7 U 2 V j d G l v b j E v U 3 B s a X Q g Q 2 F s Y y 9 D a G F u Z 2 V k I F R 5 c G U 0 L n t T Z W 5 k a W 5 n I F N o Y X J l I G 9 m I F R v d G F s I G V u c m 9 s b G 1 l b n Q s M T l 9 J n F 1 b 3 Q 7 L C Z x d W 9 0 O 1 N l Y 3 R p b 2 4 x L 0 N o Y X J 0 Z X J P b m x 5 L 0 F k Z G V k I E N 1 c 3 R v b S 5 7 R G l z d H J p Y 3 R U e X B l L D E 3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D a G F y d G V y T 2 5 s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5 k a W 5 n T 2 5 s e T w v S X R l b V B h d G g + P C 9 J d G V t T G 9 j Y X R p b 2 4 + P F N 0 Y W J s Z U V u d H J p Z X M + P E V u d H J 5 I F R 5 c G U 9 I k Z p b G x F b m F i b G V k I i B W Y W x 1 Z T 0 i b D A i I C 8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2 J l N T g w Y z M w L T d l M z E t N D R l O S 0 5 N z Y 2 L T c z N m N h N D M 1 M W V k N C I g L z 4 8 R W 5 0 c n k g V H l w Z T 0 i U X V l c n l H c m 9 1 c E l E I i B W Y W x 1 Z T 0 i c z E x M W N h O D A 4 L T A 1 Z W Q t N D U 5 N y 1 i N T I y L W Y x Z D Y 5 M G R l Z T U 5 M C I g L z 4 8 R W 5 0 c n k g V H l w Z T 0 i R m l s b F R v R G F 0 Y U 1 v Z G V s R W 5 h Y m x l Z C I g V m F s d W U 9 I m w x I i A v P j x F b n R y e S B U e X B l P S J G a W x s T 2 J q Z W N 0 V H l w Z S I g V m F s d W U 9 I n N D b 2 5 u Z W N 0 a W 9 u T 2 5 s e S I g L z 4 8 R W 5 0 c n k g V H l w Z T 0 i R m l s b E x h c 3 R V c G R h d G V k I i B W Y W x 1 Z T 0 i Z D I w M j U t M D g t M D R U M T c 6 M D Q 6 M D Y u N z I 2 O D U 0 O F o i I C 8 + P E V u d H J 5 I F R 5 c G U 9 I k Z p b G x D b 2 x 1 b W 5 U e X B l c y I g V m F s d W U 9 I n N C Z 1 l H Q U F Z P S I g L z 4 8 R W 5 0 c n k g V H l w Z T 0 i R m l s b E N v b H V t b k 5 h b W V z I i B W Y W x 1 Z T 0 i c 1 s m c X V v d D t D Q 0 R E R C Z x d W 9 0 O y w m c X V v d D t E a X N 0 c m l j d E 5 h b W U m c X V v d D s s J n F 1 b 3 Q 7 U 2 V u Z G l u Z 0 x F Q W l k J n F 1 b 3 Q 7 L C Z x d W 9 0 O 0 R p c 3 R y a W N 0 V H l w Z S Z x d W 9 0 O y w m c X V v d D t M R U F p Z C Z x d W 9 0 O 1 0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s m c X V v d D t D Q 0 R E R C Z x d W 9 0 O 1 0 s J n F 1 b 3 Q 7 c X V l c n l S Z W x h d G l v b n N o a X B z J n F 1 b 3 Q 7 O l t d L C Z x d W 9 0 O 2 N v b H V t b k l k Z W 5 0 a X R p Z X M m c X V v d D s 6 W y Z x d W 9 0 O 1 N l Y 3 R p b 2 4 x L 1 N l b m R p b m d P b m x 5 L 0 N o Y W 5 n Z W Q g V H l w Z S 5 7 Q 0 N E R E Q s M H 0 m c X V v d D s s J n F 1 b 3 Q 7 U 2 V j d G l v b j E v Q 2 h h c n R l c l 9 U c m l i Y W x T Z W 5 k a W 5 n I E R p c 3 R y a W N 0 c y 9 D a G F u Z 2 V k I F R 5 c G U u e 1 N l b m R p b m c g R G l z d H J p Y 3 Q s M n 0 m c X V v d D s s J n F 1 b 3 Q 7 U 2 V j d G l v b j E v Q 0 N E R E R c X C 9 M R U F p Z C 9 T b 3 V y Y 2 U u e 0 5 D R V N M R U F O d W 1 i Z X I s M 3 0 m c X V v d D s s J n F 1 b 3 Q 7 U 2 V j d G l v b j E v U 2 V u Z G l u Z 0 9 u b H k v Q W R k Z W Q g Q 3 V z d G 9 t L n t E a X N 0 c m l j d F R 5 c G U s M n 0 m c X V v d D s s J n F 1 b 3 Q 7 U 2 V j d G l v b j E v U 2 V u Z G l u Z 0 9 u b H k v R H V w b G l j Y X R l Z C B D b 2 x 1 b W 4 u e 1 N l b m R p b m d M R U F p Z C A t I E N v c H k s N H 0 m c X V v d D t d L C Z x d W 9 0 O 0 N v b H V t b k N v d W 5 0 J n F 1 b 3 Q 7 O j U s J n F 1 b 3 Q 7 S 2 V 5 Q 2 9 s d W 1 u T m F t Z X M m c X V v d D s 6 W y Z x d W 9 0 O 0 N D R E R E J n F 1 b 3 Q 7 X S w m c X V v d D t D b 2 x 1 b W 5 J Z G V u d G l 0 a W V z J n F 1 b 3 Q 7 O l s m c X V v d D t T Z W N 0 a W 9 u M S 9 T Z W 5 k a W 5 n T 2 5 s e S 9 D a G F u Z 2 V k I F R 5 c G U u e 0 N D R E R E L D B 9 J n F 1 b 3 Q 7 L C Z x d W 9 0 O 1 N l Y 3 R p b 2 4 x L 0 N o Y X J 0 Z X J f V H J p Y m F s U 2 V u Z G l u Z y B E a X N 0 c m l j d H M v Q 2 h h b m d l Z C B U e X B l L n t T Z W 5 k a W 5 n I E R p c 3 R y a W N 0 L D J 9 J n F 1 b 3 Q 7 L C Z x d W 9 0 O 1 N l Y 3 R p b 2 4 x L 0 N D R E R E X F w v T E V B a W Q v U 2 9 1 c m N l L n t O Q 0 V T T E V B T n V t Y m V y L D N 9 J n F 1 b 3 Q 7 L C Z x d W 9 0 O 1 N l Y 3 R p b 2 4 x L 1 N l b m R p b m d P b m x 5 L 0 F k Z G V k I E N 1 c 3 R v b S 5 7 R G l z d H J p Y 3 R U e X B l L D J 9 J n F 1 b 3 Q 7 L C Z x d W 9 0 O 1 N l Y 3 R p b 2 4 x L 1 N l b m R p b m d P b m x 5 L 0 R 1 c G x p Y 2 F 0 Z W Q g Q 2 9 s d W 1 u L n t T Z W 5 k a W 5 n T E V B a W Q g L S B D b 3 B 5 L D R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N l b m R p b m d P b m x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b m R p b m d P b m x 5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5 k a W 5 n T 2 5 s e S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5 k a W 5 n T 2 5 s e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P b m x 5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h c n R l c k 9 u b H k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5 k a W 5 n T 2 5 s e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D R E R E J T J G T E V B a W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X V l c n l J R C I g V m F s d W U 9 I n N k Z j F k Z j A 0 Y S 0 w N W Y w L T Q 5 Y T Q t O D Q x O S 1 l M G Q 1 Z W Y 3 M m Q z Y j M i I C 8 + P E V u d H J 5 I F R 5 c G U 9 I l F 1 Z X J 5 R 3 J v d X B J R C I g V m F s d W U 9 I n N j M z l m Y j E 4 Z i 1 h N T c 3 L T Q w O D c t Y m Z j N y 1 h M T V m Y W E 4 N D k x M j Q i I C 8 + P E V u d H J 5 I F R 5 c G U 9 I k Z p b G x U b 0 R h d G F N b 2 R l b E V u Y W J s Z W Q i I F Z h b H V l P S J s M S I g L z 4 8 R W 5 0 c n k g V H l w Z T 0 i R m l s b E 9 i a m V j d F R 5 c G U i I F Z h b H V l P S J z Q 2 9 u b m V j d G l v b k 9 u b H k i I C 8 + P E V u d H J 5 I F R 5 c G U 9 I k J 1 Z m Z l c k 5 l e H R S Z W Z y Z X N o I i B W Y W x 1 Z T 0 i b D E i I C 8 + P E V u d H J 5 I F R 5 c G U 9 I k Z p b G x F c n J v c k N v d W 5 0 I i B W Y W x 1 Z T 0 i b D A i I C 8 + P E V u d H J 5 I F R 5 c G U 9 I k Z p b G x M Y X N 0 V X B k Y X R l Z C I g V m F s d W U 9 I m Q y M D I 1 L T A 4 L T A 0 V D E 3 O j A 0 O j A 2 L j c 3 N T g z N D h a I i A v P j x F b n R y e S B U e X B l P S J G a W x s R X J y b 3 J D b 2 R l I i B W Y W x 1 Z T 0 i c 1 V u a 2 5 v d 2 4 i I C 8 + P E V u d H J 5 I F R 5 c G U 9 I k Z p b G x D b 2 x 1 b W 5 U e X B l c y I g V m F s d W U 9 I n N C Z 0 l H Q m d Z Q y I g L z 4 8 R W 5 0 c n k g V H l w Z T 0 i R m l s b E N v b H V t b k 5 h b W V z I i B W Y W x 1 Z T 0 i c 1 s m c X V v d D t E a X N 0 c m l j d E N v Z G U m c X V v d D s s J n F 1 b 3 Q 7 T 3 J n Y W 5 p e m F 0 a W 9 u S W Q m c X V v d D s s J n F 1 b 3 Q 7 R G l z d H J p Y 3 R O Y W 1 l J n F 1 b 3 Q 7 L C Z x d W 9 0 O 0 5 D R V N M R U F O d W 1 i Z X I m c X V v d D s s J n F 1 b 3 Q 7 T k N F U 0 x F Q U 5 h b W U m c X V v d D s s J n F 1 b 3 Q 7 U 2 N o b 2 9 s W W V h c k l k J n F 1 b 3 Q 7 X S I g L z 4 8 R W 5 0 c n k g V H l w Z T 0 i R m l s b F N 0 Y X R 1 c y I g V m F s d W U 9 I n N D b 2 1 w b G V 0 Z S I g L z 4 8 R W 5 0 c n k g V H l w Z T 0 i R m l s b E N v d W 5 0 I i B W Y W x 1 Z T 0 i b D I 5 N y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0 N E R E R c X C 9 M R U F p Z C 9 T b 3 V y Y 2 U u e 0 R p c 3 R y a W N 0 Q 2 9 k Z S w w f S Z x d W 9 0 O y w m c X V v d D t T Z W N 0 a W 9 u M S 9 D Q 0 R E R F x c L 0 x F Q W l k L 1 N v d X J j Z S 5 7 T 3 J n Y W 5 p e m F 0 a W 9 u S W Q s M X 0 m c X V v d D s s J n F 1 b 3 Q 7 U 2 V j d G l v b j E v Q 0 N E R E R c X C 9 M R U F p Z C 9 T b 3 V y Y 2 U u e 0 R p c 3 R y a W N 0 T m F t Z S w y f S Z x d W 9 0 O y w m c X V v d D t T Z W N 0 a W 9 u M S 9 D Q 0 R E R F x c L 0 x F Q W l k L 1 N v d X J j Z S 5 7 T k N F U 0 x F Q U 5 1 b W J l c i w z f S Z x d W 9 0 O y w m c X V v d D t T Z W N 0 a W 9 u M S 9 D Q 0 R E R F x c L 0 x F Q W l k L 1 N v d X J j Z S 5 7 T k N F U 0 x F Q U 5 h b W U s N H 0 m c X V v d D s s J n F 1 b 3 Q 7 U 2 V j d G l v b j E v Q 0 N E R E R c X C 9 M R U F p Z C 9 T b 3 V y Y 2 U u e 1 N j a G 9 v b F l l Y X J J Z C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D Q 0 R E R F x c L 0 x F Q W l k L 1 N v d X J j Z S 5 7 R G l z d H J p Y 3 R D b 2 R l L D B 9 J n F 1 b 3 Q 7 L C Z x d W 9 0 O 1 N l Y 3 R p b 2 4 x L 0 N D R E R E X F w v T E V B a W Q v U 2 9 1 c m N l L n t P c m d h b m l 6 Y X R p b 2 5 J Z C w x f S Z x d W 9 0 O y w m c X V v d D t T Z W N 0 a W 9 u M S 9 D Q 0 R E R F x c L 0 x F Q W l k L 1 N v d X J j Z S 5 7 R G l z d H J p Y 3 R O Y W 1 l L D J 9 J n F 1 b 3 Q 7 L C Z x d W 9 0 O 1 N l Y 3 R p b 2 4 x L 0 N D R E R E X F w v T E V B a W Q v U 2 9 1 c m N l L n t O Q 0 V T T E V B T n V t Y m V y L D N 9 J n F 1 b 3 Q 7 L C Z x d W 9 0 O 1 N l Y 3 R p b 2 4 x L 0 N D R E R E X F w v T E V B a W Q v U 2 9 1 c m N l L n t O Q 0 V T T E V B T m F t Z S w 0 f S Z x d W 9 0 O y w m c X V v d D t T Z W N 0 a W 9 u M S 9 D Q 0 R E R F x c L 0 x F Q W l k L 1 N v d X J j Z S 5 7 U 2 N o b 2 9 s W W V h c k l k L D V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N D R E R E J T J G T E V B a W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P C 9 J d G V t U G F 0 a D 4 8 L 0 l 0 Z W 1 M b 2 N h d G l v b j 4 8 U 3 R h Y m x l R W 5 0 c m l l c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F b m F i b G V k I i B W Y W x 1 Z T 0 i b D E i I C 8 + P E V u d H J 5 I F R 5 c G U 9 I k l z U H J p d m F 0 Z S I g V m F s d W U 9 I m w w I i A v P j x F b n R y e S B U e X B l P S J R d W V y e U d y b 3 V w S U Q i I F Z h b H V l P S J z M T E x Y 2 E 4 M D g t M D V l Z C 0 0 N T k 3 L W I 1 M j I t Z j F k N j k w Z G V l N T k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0 x F Q S B T c G x p d C B D Y W x j I i A v P j x F b n R y e S B U e X B l P S J G a W x s Z W R D b 2 1 w b G V 0 Z V J l c 3 V s d F R v V 2 9 y a 3 N o Z W V 0 I i B W Y W x 1 Z T 0 i b D E i I C 8 + P E V u d H J 5 I F R 5 c G U 9 I l F 1 Z X J 5 S U Q i I F Z h b H V l P S J z N T E 0 N z g x M D c t N 2 Y 3 O S 0 0 M G V j L W I x Y W I t N T I 1 Z D k 4 Y j Q 3 Z m E 5 I i A v P j x F b n R y e S B U e X B l P S J G a W x s V G 9 E Y X R h T W 9 k Z W x F b m F i b G V k I i B W Y W x 1 Z T 0 i b D E i I C 8 + P E V u d H J 5 I F R 5 c G U 9 I k Z p b G x U Y X J n Z X Q i I F Z h b H V l P S J z U 3 B s a X R f Q 2 F s Y y I g L z 4 8 R W 5 0 c n k g V H l w Z T 0 i R m l s b E 9 i a m V j d F R 5 c G U i I F Z h b H V l P S J z V G F i b G U i I C 8 + P E V u d H J 5 I F R 5 c G U 9 I k Z p b G x M Y X N 0 V X B k Y X R l Z C I g V m F s d W U 9 I m Q y M D I 1 L T A 4 L T A 0 V D E 3 O j A 0 O j A 2 L j Y 5 M D c 4 N D V a I i A v P j x F b n R y e S B U e X B l P S J G a W x s Q 2 9 s d W 1 u V H l w Z X M i I F Z h b H V l P S J z Q m d Z R 0 J n W U F B Q U 1 E Q X d N R 0 J R Q U V C Q U F F Q k E 9 P S I g L z 4 8 R W 5 0 c n k g V H l w Z T 0 i R m l s b E N v b H V t b k 5 h b W V z I i B W Y W x 1 Z T 0 i c 1 s m c X V v d D t D Q 0 R E R C Z x d W 9 0 O y w m c X V v d D t D a G F y d G V y L 1 R y a W J h b C A m c X V v d D s s J n F 1 b 3 Q 7 U 2 V u Z G l u Z y B E a X N 0 c m l j d C Z x d W 9 0 O y w m c X V v d D t T Z W 5 k a W 5 n I E R p c 3 R y a W N 0 I E N D R E R E J n F 1 b 3 Q 7 L C Z x d W 9 0 O 0 x F Q U l E J n F 1 b 3 Q 7 L C Z x d W 9 0 O 0 l z T m V 3 J n F 1 b 3 Q 7 L C Z x d W 9 0 O 0 l z R X h w Y W 5 k Z W Q m c X V v d D s s J n F 1 b 3 Q 7 R l J Q T C 5 U b 3 R h b F N 0 d W R l b n R z J n F 1 b 3 Q 7 L C Z x d W 9 0 O 1 R v d G F s U 3 R 1 Z G V u d H N J b l B v d m V y d H k m c X V v d D s s J n F 1 b 3 Q 7 U 2 V u Z G l u Z 1 R v d G F s U 3 R 1 Z G V u d H M m c X V v d D s s J n F 1 b 3 Q 7 U 2 V u Z G l u Z 1 R v d G F s U 3 R 1 Z G V u d H N J b l B v d m V y d H k m c X V v d D s s J n F 1 b 3 Q 7 U 2 V u Z G l u Z 0 x F Q U l k J n F 1 b 3 Q 7 L C Z x d W 9 0 O 0 N o Y X J 0 Z X J z V G 9 0 Y W x T d H V k Z W 5 0 c y Z x d W 9 0 O y w m c X V v d D t T d W 0 g b 2 Y g Q 2 h h c n R l c n M g U k Z Q T C t T Z W 5 k a W 5 n I F J G U E w m c X V v d D s s J n F 1 b 3 Q 7 U 2 h h c m U g b 2 Y g R l J Q T C Z x d W 9 0 O y w m c X V v d D t T Z W 5 k a W 5 n I F N o Y X J l I G 9 m I E Z S U E w m c X V v d D s s J n F 1 b 3 Q 7 U 3 V t I G 9 m I G N o Y X J 0 Z X I g d G 9 0 Y W w g c 3 R 1 Z G V u d H M g K y B T Z W 5 k a W 5 n I H R v d G F s I H N 0 d W R l b n R z J n F 1 b 3 Q 7 L C Z x d W 9 0 O 1 N o Y X J l I G 9 m I F R v d G F s I E V u c m 9 s b G 1 l b n Q m c X V v d D s s J n F 1 b 3 Q 7 U 2 V u Z G l u Z y B T a G F y Z S B v Z i B U b 3 R h b C B l b n J v b G x t Z W 5 0 J n F 1 b 3 Q 7 X S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k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c G x p d C B D Y W x j L 0 N o Y W 5 n Z W Q g V H l w Z S 5 7 Q 0 N E R E Q s M H 0 m c X V v d D s s J n F 1 b 3 Q 7 U 2 V j d G l v b j E v Q 2 h h c n R l c l 9 U c m l i Y W x T Z W 5 k a W 5 n I E R p c 3 R y a W N 0 c y 9 D a G F u Z 2 V k I F R 5 c G U u e 0 N o Y X J 0 Z X I v V H J p Y m F s I C w x f S Z x d W 9 0 O y w m c X V v d D t T Z W N 0 a W 9 u M S 9 D a G F y d G V y X 1 R y a W J h b F N l b m R p b m c g R G l z d H J p Y 3 R z L 0 N o Y W 5 n Z W Q g V H l w Z S 5 7 U 2 V u Z G l u Z y B E a X N 0 c m l j d C w y f S Z x d W 9 0 O y w m c X V v d D t T Z W N 0 a W 9 u M S 9 D a G F y d G V y X 1 R y a W J h b F N l b m R p b m c g R G l z d H J p Y 3 R z L 0 N o Y W 5 n Z W Q g V H l w Z S 5 7 U 2 V u Z G l u Z y B E a X N 0 c m l j d C B D b 2 R l L D N 9 J n F 1 b 3 Q 7 L C Z x d W 9 0 O 1 N l Y 3 R p b 2 4 x L 0 N o Y X J 0 Z X J f V H J p Y m F s U 2 V u Z G l u Z y B E a X N 0 c m l j d H M v Q 2 h h b m d l Z C B U e X B l L n t M R U F J R C w 0 f S Z x d W 9 0 O y w m c X V v d D t T Z W N 0 a W 9 u M S 9 D a G F y d G V y X 1 R y a W J h b F N l b m R p b m c g R G l z d H J p Y 3 R z L 1 B y b 2 1 v d G V k I E h l Y W R l c n M u e 0 l z T m V 3 L D V 9 J n F 1 b 3 Q 7 L C Z x d W 9 0 O 1 N l Y 3 R p b 2 4 x L 0 N o Y X J 0 Z X J f V H J p Y m F s U 2 V u Z G l u Z y B E a X N 0 c m l j d H M v U H J v b W 9 0 Z W Q g S G V h Z G V y c y 5 7 S X N F e H B h b m R l Z C w 2 f S Z x d W 9 0 O y w m c X V v d D t T Z W N 0 a W 9 u M S 9 G U l B M L 0 N o Y W 5 n Z W Q g V H l w Z S 5 7 V G 9 0 Y W x T d H V k Z W 5 0 c y w z f S Z x d W 9 0 O y w m c X V v d D t T Z W N 0 a W 9 u M S 9 G U l B M L 0 N o Y W 5 n Z W Q g V H l w Z S 5 7 V G 9 0 Y W x T d H V k Z W 5 0 c 0 l u U G 9 2 Z X J 0 e S w 0 f S Z x d W 9 0 O y w m c X V v d D t T Z W N 0 a W 9 u M S 9 G U l B M L 0 N o Y W 5 n Z W Q g V H l w Z S 5 7 V G 9 0 Y W x T d H V k Z W 5 0 c y w z f S Z x d W 9 0 O y w m c X V v d D t T Z W N 0 a W 9 u M S 9 G U l B M L 0 N o Y W 5 n Z W Q g V H l w Z S 5 7 V G 9 0 Y W x T d H V k Z W 5 0 c 0 l u U G 9 2 Z X J 0 e S w 0 f S Z x d W 9 0 O y w m c X V v d D t T Z W N 0 a W 9 u M S 9 D Q 0 R E R F x c L 0 x F Q W l k L 1 N v d X J j Z S 5 7 T k N F U 0 x F Q U 5 1 b W J l c i w z f S Z x d W 9 0 O y w m c X V v d D t T Z W N 0 a W 9 u M S 9 z d W 1 p Z i 9 H c m 9 1 c G V k I F J v d 3 M u e 1 N 1 b V R v d G F s U 3 R 1 Z G V u d H M s M n 0 m c X V v d D s s J n F 1 b 3 Q 7 U 2 V j d G l v b j E v U 3 B s a X Q g Q 2 F s Y y 9 B Z G R l Z C B D d X N 0 b 2 0 u e 1 N 1 b S B v Z i B D a G F y d G V y c y B S R l B M K 1 N l b m R p b m c g U k Z Q T C w x N H 0 m c X V v d D s s J n F 1 b 3 Q 7 U 2 V j d G l v b j E v U 3 B s a X Q g Q 2 F s Y y 9 D a G F u Z 2 V k I F R 5 c G U x L n s l T 2 Y g U k Z Q T C B p b i B z Z W 5 k a W 5 n I G R p c 3 R y a W N 0 L D E 1 f S Z x d W 9 0 O y w m c X V v d D t T Z W N 0 a W 9 u M S 9 T c G x p d C B D Y W x j L 0 N o Y W 5 n Z W Q g V H l w Z T I u e 1 N l b m R p b m c g R G l z d H J p Y 3 Q g J S A s M T V 9 J n F 1 b 3 Q 7 L C Z x d W 9 0 O 1 N l Y 3 R p b 2 4 x L 1 N w b G l 0 I E N h b G M v Q W R k Z W Q g Q 3 V z d G 9 t M y 5 7 U 3 V t I G 9 m I G N o Y X J 0 Z X I g d G 9 0 Y W w g c 3 R 1 Z G V u d H M g K y B T Z W 5 k a W 5 n I H R v d G F s I H N 0 d W R l b n R z L D E 3 f S Z x d W 9 0 O y w m c X V v d D t T Z W N 0 a W 9 u M S 9 T c G x p d C B D Y W x j L 0 N o Y W 5 n Z W Q g V H l w Z T M u e 1 N o Y X J l I G 9 m I F R v d G F s I E V u c m 9 s b G 1 l b n Q s M T h 9 J n F 1 b 3 Q 7 L C Z x d W 9 0 O 1 N l Y 3 R p b 2 4 x L 1 N w b G l 0 I E N h b G M v Q 2 h h b m d l Z C B U e X B l N C 5 7 U 2 V u Z G l u Z y B T a G F y Z S B v Z i B U b 3 R h b C B l b n J v b G x t Z W 5 0 L D E 5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U 3 B s a X Q g Q 2 F s Y y 9 D a G F u Z 2 V k I F R 5 c G U u e 0 N D R E R E L D B 9 J n F 1 b 3 Q 7 L C Z x d W 9 0 O 1 N l Y 3 R p b 2 4 x L 0 N o Y X J 0 Z X J f V H J p Y m F s U 2 V u Z G l u Z y B E a X N 0 c m l j d H M v Q 2 h h b m d l Z C B U e X B l L n t D a G F y d G V y L 1 R y a W J h b C A s M X 0 m c X V v d D s s J n F 1 b 3 Q 7 U 2 V j d G l v b j E v Q 2 h h c n R l c l 9 U c m l i Y W x T Z W 5 k a W 5 n I E R p c 3 R y a W N 0 c y 9 D a G F u Z 2 V k I F R 5 c G U u e 1 N l b m R p b m c g R G l z d H J p Y 3 Q s M n 0 m c X V v d D s s J n F 1 b 3 Q 7 U 2 V j d G l v b j E v Q 2 h h c n R l c l 9 U c m l i Y W x T Z W 5 k a W 5 n I E R p c 3 R y a W N 0 c y 9 D a G F u Z 2 V k I F R 5 c G U u e 1 N l b m R p b m c g R G l z d H J p Y 3 Q g Q 2 9 k Z S w z f S Z x d W 9 0 O y w m c X V v d D t T Z W N 0 a W 9 u M S 9 D a G F y d G V y X 1 R y a W J h b F N l b m R p b m c g R G l z d H J p Y 3 R z L 0 N o Y W 5 n Z W Q g V H l w Z S 5 7 T E V B S U Q s N H 0 m c X V v d D s s J n F 1 b 3 Q 7 U 2 V j d G l v b j E v Q 2 h h c n R l c l 9 U c m l i Y W x T Z W 5 k a W 5 n I E R p c 3 R y a W N 0 c y 9 Q c m 9 t b 3 R l Z C B I Z W F k Z X J z L n t J c 0 5 l d y w 1 f S Z x d W 9 0 O y w m c X V v d D t T Z W N 0 a W 9 u M S 9 D a G F y d G V y X 1 R y a W J h b F N l b m R p b m c g R G l z d H J p Y 3 R z L 1 B y b 2 1 v d G V k I E h l Y W R l c n M u e 0 l z R X h w Y W 5 k Z W Q s N n 0 m c X V v d D s s J n F 1 b 3 Q 7 U 2 V j d G l v b j E v R l J Q T C 9 D a G F u Z 2 V k I F R 5 c G U u e 1 R v d G F s U 3 R 1 Z G V u d H M s M 3 0 m c X V v d D s s J n F 1 b 3 Q 7 U 2 V j d G l v b j E v R l J Q T C 9 D a G F u Z 2 V k I F R 5 c G U u e 1 R v d G F s U 3 R 1 Z G V u d H N J b l B v d m V y d H k s N H 0 m c X V v d D s s J n F 1 b 3 Q 7 U 2 V j d G l v b j E v R l J Q T C 9 D a G F u Z 2 V k I F R 5 c G U u e 1 R v d G F s U 3 R 1 Z G V u d H M s M 3 0 m c X V v d D s s J n F 1 b 3 Q 7 U 2 V j d G l v b j E v R l J Q T C 9 D a G F u Z 2 V k I F R 5 c G U u e 1 R v d G F s U 3 R 1 Z G V u d H N J b l B v d m V y d H k s N H 0 m c X V v d D s s J n F 1 b 3 Q 7 U 2 V j d G l v b j E v Q 0 N E R E R c X C 9 M R U F p Z C 9 T b 3 V y Y 2 U u e 0 5 D R V N M R U F O d W 1 i Z X I s M 3 0 m c X V v d D s s J n F 1 b 3 Q 7 U 2 V j d G l v b j E v c 3 V t a W Y v R 3 J v d X B l Z C B S b 3 d z L n t T d W 1 U b 3 R h b F N 0 d W R l b n R z L D J 9 J n F 1 b 3 Q 7 L C Z x d W 9 0 O 1 N l Y 3 R p b 2 4 x L 1 N w b G l 0 I E N h b G M v Q W R k Z W Q g Q 3 V z d G 9 t L n t T d W 0 g b 2 Y g Q 2 h h c n R l c n M g U k Z Q T C t T Z W 5 k a W 5 n I F J G U E w s M T R 9 J n F 1 b 3 Q 7 L C Z x d W 9 0 O 1 N l Y 3 R p b 2 4 x L 1 N w b G l 0 I E N h b G M v Q 2 h h b m d l Z C B U e X B l M S 5 7 J U 9 m I F J G U E w g a W 4 g c 2 V u Z G l u Z y B k a X N 0 c m l j d C w x N X 0 m c X V v d D s s J n F 1 b 3 Q 7 U 2 V j d G l v b j E v U 3 B s a X Q g Q 2 F s Y y 9 D a G F u Z 2 V k I F R 5 c G U y L n t T Z W 5 k a W 5 n I E R p c 3 R y a W N 0 I C U g L D E 1 f S Z x d W 9 0 O y w m c X V v d D t T Z W N 0 a W 9 u M S 9 T c G x p d C B D Y W x j L 0 F k Z G V k I E N 1 c 3 R v b T M u e 1 N 1 b S B v Z i B j a G F y d G V y I H R v d G F s I H N 0 d W R l b n R z I C s g U 2 V u Z G l u Z y B 0 b 3 R h b C B z d H V k Z W 5 0 c y w x N 3 0 m c X V v d D s s J n F 1 b 3 Q 7 U 2 V j d G l v b j E v U 3 B s a X Q g Q 2 F s Y y 9 D a G F u Z 2 V k I F R 5 c G U z L n t T a G F y Z S B v Z i B U b 3 R h b C B F b n J v b G x t Z W 5 0 L D E 4 f S Z x d W 9 0 O y w m c X V v d D t T Z W N 0 a W 9 u M S 9 T c G x p d C B D Y W x j L 0 N o Y W 5 n Z W Q g V H l w Z T Q u e 1 N l b m R p b m c g U 2 h h c m U g b 2 Y g V G 9 0 Y W w g Z W 5 y b 2 x s b W V u d C w x O X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3 B s a X Q l M j B D Y W x j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b m R p b m d P b m x 5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5 k a W 5 n T 2 5 s e S 9 F e H B h b m R l Z C U y M E N D R E R E J T J G T E V B a W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5 k a W 5 n T 2 5 s e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5 k a W 5 n T 2 5 s e S 9 S Z W 9 y Z G V y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P b m x 5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P b m x 5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h c n R l c k 9 u b H k v U m V t b 3 Z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v R H V w b G l j Y X R l Z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b m R p b m d P b m x 5 L 1 J l b m F t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R S U y M E F s b G 9 j Y X R p b 2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N k Z m Q 2 M 2 Q y N S 1 m M j U 3 L T Q 1 Y z Q t O D A z Z C 0 z N 2 M 3 N m N k Y W U 5 Z D k i I C 8 + P E V u d H J 5 I F R 5 c G U 9 I l F 1 Z X J 5 R 3 J v d X B J R C I g V m F s d W U 9 I n N j M z l m Y j E 4 Z i 1 h N T c 3 L T Q w O D c t Y m Z j N y 1 h M T V m Y W E 4 N D k x M j Q i I C 8 + P E V u d H J 5 I F R 5 c G U 9 I k Z p b G x M Y X N 0 V X B k Y X R l Z C I g V m F s d W U 9 I m Q y M D I 1 L T A 4 L T A 0 V D E 3 O j A 0 O j A 2 L j c 2 N D E 1 N D Z a I i A v P j x F b n R y e S B U e X B l P S J G a W x s Q 2 9 s d W 1 u V H l w Z X M i I F Z h b H V l P S J z Q m d Z R k J R V U Z C U V V G Q l F V R k J R V T 0 i I C 8 + P E V u d H J 5 I F R 5 c G U 9 I l J l Y 2 9 2 Z X J 5 V G F y Z 2 V 0 Q 2 9 s d W 1 u I i B W Y W x 1 Z T 0 i b D E i I C 8 + P E V u d H J 5 I F R 5 c G U 9 I l J l Y 2 9 2 Z X J 5 V G F y Z 2 V 0 U 2 h l Z X Q i I F Z h b H V l P S J z R E 9 F I E F s b G 9 j Y X R p b 2 4 i I C 8 + P E V u d H J 5 I F R 5 c G U 9 I l J l Y 2 9 2 Z X J 5 V G F y Z 2 V 0 U m 9 3 I i B W Y W x 1 Z T 0 i b D E i I C 8 + P E V u d H J 5 I F R 5 c G U 9 I k Z p b G x D b 2 x 1 b W 5 O Y W 1 l c y I g V m F s d W U 9 I n N b J n F 1 b 3 Q 7 T E V B a W Q m c X V v d D s s J n F 1 b 3 Q 7 T E V B T m F t Z S Z x d W 9 0 O y w m c X V v d D t C Q V N J Q y B I T 0 x E I E h h c m 1 s Z X N z I E J h c 2 U m c X V v d D s s J n F 1 b 3 Q 7 Q 0 9 O Q y 4 g S E 9 M R C B I Y X J t b G V z c y B C Y X N l J n F 1 b 3 Q 7 L C Z x d W 9 0 O 1 R B U k d F V E V E I E h P T E Q g S G F y b W x l c 3 M g Q m F z Z S Z x d W 9 0 O y w m c X V v d D t F R k l H I E h P T E Q g S G F y b W x l c 3 M g Q m F z Z S Z x d W 9 0 O y w m c X V v d D t U T 1 R B T C B I T 0 x E I E h h c m 1 s Z X N z I E J h c 2 U m c X V v d D s s J n F 1 b 3 Q 7 Q m F z a W M g Q W x s b 2 N h d G l v b i Z x d W 9 0 O y w m c X V v d D t D b 2 5 j L i B B b G x v Y 2 F 0 a W 9 u J n F 1 b 3 Q 7 L C Z x d W 9 0 O 1 R h c m d l d G V k I E F s b G 9 j Y X R p b 2 4 m c X V v d D s s J n F 1 b 3 Q 7 R U Z J R y B B b G x v Y 2 F 0 a W 9 u J n F 1 b 3 Q 7 L C Z x d W 9 0 O 1 R p d G x l I E k g Q W x s b 2 N h d G l v b i Z x d W 9 0 O y w m c X V v d D t Q Z X J j Z W 5 0 Y W d l I G 9 m I E h v b G Q g S G F y b W x l c 3 M g Q m F z Z S Z x d W 9 0 O y w m c X V v d D t S Z X N p Z G V u d C B Q b 3 A u J n F 1 b 3 Q 7 X S I g L z 4 8 R W 5 0 c n k g V H l w Z T 0 i R m l s b F R v R G F 0 Y U 1 v Z G V s R W 5 h Y m x l Z C I g V m F s d W U 9 I m w x I i A v P j x F b n R y e S B U e X B l P S J G a W x s U 3 R h d H V z I i B W Y W x 1 Z T 0 i c 0 N v b X B s Z X R l I i A v P j x F b n R y e S B U e X B l P S J G a W x s T 2 J q Z W N 0 V H l w Z S I g V m F s d W U 9 I n N D b 2 5 u Z W N 0 a W 9 u T 2 5 s e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9 F I E F s b G 9 j Y X R p b 2 4 v Q 2 h h b m d l Z C B U e X B l L n t M R U F p Z C w w f S Z x d W 9 0 O y w m c X V v d D t T Z W N 0 a W 9 u M S 9 E T 0 U g Q W x s b 2 N h d G l v b i 9 D a G F u Z 2 V k I F R 5 c G U u e 0 x F Q U 5 h b W U s M X 0 m c X V v d D s s J n F 1 b 3 Q 7 U 2 V j d G l v b j E v R E 9 F I E F s b G 9 j Y X R p b 2 4 v Q 2 h h b m d l Z C B U e X B l L n t C Q V N J Q y B I T 0 x E I E h h c m 1 s Z X N z I E J h c 2 U s M n 0 m c X V v d D s s J n F 1 b 3 Q 7 U 2 V j d G l v b j E v R E 9 F I E F s b G 9 j Y X R p b 2 4 v Q 2 h h b m d l Z C B U e X B l L n t D T 0 5 D L i B I T 0 x E I E h h c m 1 s Z X N z I E J h c 2 U s M 3 0 m c X V v d D s s J n F 1 b 3 Q 7 U 2 V j d G l v b j E v R E 9 F I E F s b G 9 j Y X R p b 2 4 v Q 2 h h b m d l Z C B U e X B l L n t U Q V J H R V R F R C B I T 0 x E I E h h c m 1 s Z X N z I E J h c 2 U s N H 0 m c X V v d D s s J n F 1 b 3 Q 7 U 2 V j d G l v b j E v R E 9 F I E F s b G 9 j Y X R p b 2 4 v Q 2 h h b m d l Z C B U e X B l L n t F R k l H I E h P T E Q g S G F y b W x l c 3 M g Q m F z Z S w 1 f S Z x d W 9 0 O y w m c X V v d D t T Z W N 0 a W 9 u M S 9 E T 0 U g Q W x s b 2 N h d G l v b i 9 D a G F u Z 2 V k I F R 5 c G U u e 1 R P V E F M I E h P T E Q g S G F y b W x l c 3 M g Q m F z Z S w 2 f S Z x d W 9 0 O y w m c X V v d D t T Z W N 0 a W 9 u M S 9 E T 0 U g Q W x s b 2 N h d G l v b i 9 D a G F u Z 2 V k I F R 5 c G U u e 0 J h c 2 l j I E F s b G 9 j Y X R p b 2 4 s N 3 0 m c X V v d D s s J n F 1 b 3 Q 7 U 2 V j d G l v b j E v R E 9 F I E F s b G 9 j Y X R p b 2 4 v Q 2 h h b m d l Z C B U e X B l L n t D b 2 5 j L i B B b G x v Y 2 F 0 a W 9 u L D h 9 J n F 1 b 3 Q 7 L C Z x d W 9 0 O 1 N l Y 3 R p b 2 4 x L 0 R P R S B B b G x v Y 2 F 0 a W 9 u L 0 N o Y W 5 n Z W Q g V H l w Z S 5 7 V G F y Z 2 V 0 Z W Q g Q W x s b 2 N h d G l v b i w 5 f S Z x d W 9 0 O y w m c X V v d D t T Z W N 0 a W 9 u M S 9 E T 0 U g Q W x s b 2 N h d G l v b i 9 D a G F u Z 2 V k I F R 5 c G U u e 0 V G S U c g Q W x s b 2 N h d G l v b i w x M H 0 m c X V v d D s s J n F 1 b 3 Q 7 U 2 V j d G l v b j E v R E 9 F I E F s b G 9 j Y X R p b 2 4 v Q 2 h h b m d l Z C B U e X B l L n t U a X R s Z S B J I E F s b G 9 j Y X R p b 2 4 s M T F 9 J n F 1 b 3 Q 7 L C Z x d W 9 0 O 1 N l Y 3 R p b 2 4 x L 0 R P R S B B b G x v Y 2 F 0 a W 9 u L 0 N o Y W 5 n Z W Q g V H l w Z S 5 7 U G V y Y 2 V u d G F n Z S B v Z i B I b 2 x k I E h h c m 1 s Z X N z I E J h c 2 U s M T J 9 J n F 1 b 3 Q 7 L C Z x d W 9 0 O 1 N l Y 3 R p b 2 4 x L 0 R P R S B B b G x v Y 2 F 0 a W 9 u L 0 N o Y W 5 n Z W Q g V H l w Z S 5 7 U m V z a W R l b n Q g U G 9 w L i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0 R P R S B B b G x v Y 2 F 0 a W 9 u L 0 N o Y W 5 n Z W Q g V H l w Z S 5 7 T E V B a W Q s M H 0 m c X V v d D s s J n F 1 b 3 Q 7 U 2 V j d G l v b j E v R E 9 F I E F s b G 9 j Y X R p b 2 4 v Q 2 h h b m d l Z C B U e X B l L n t M R U F O Y W 1 l L D F 9 J n F 1 b 3 Q 7 L C Z x d W 9 0 O 1 N l Y 3 R p b 2 4 x L 0 R P R S B B b G x v Y 2 F 0 a W 9 u L 0 N o Y W 5 n Z W Q g V H l w Z S 5 7 Q k F T S U M g S E 9 M R C B I Y X J t b G V z c y B C Y X N l L D J 9 J n F 1 b 3 Q 7 L C Z x d W 9 0 O 1 N l Y 3 R p b 2 4 x L 0 R P R S B B b G x v Y 2 F 0 a W 9 u L 0 N o Y W 5 n Z W Q g V H l w Z S 5 7 Q 0 9 O Q y 4 g S E 9 M R C B I Y X J t b G V z c y B C Y X N l L D N 9 J n F 1 b 3 Q 7 L C Z x d W 9 0 O 1 N l Y 3 R p b 2 4 x L 0 R P R S B B b G x v Y 2 F 0 a W 9 u L 0 N o Y W 5 n Z W Q g V H l w Z S 5 7 V E F S R 0 V U R U Q g S E 9 M R C B I Y X J t b G V z c y B C Y X N l L D R 9 J n F 1 b 3 Q 7 L C Z x d W 9 0 O 1 N l Y 3 R p b 2 4 x L 0 R P R S B B b G x v Y 2 F 0 a W 9 u L 0 N o Y W 5 n Z W Q g V H l w Z S 5 7 R U Z J R y B I T 0 x E I E h h c m 1 s Z X N z I E J h c 2 U s N X 0 m c X V v d D s s J n F 1 b 3 Q 7 U 2 V j d G l v b j E v R E 9 F I E F s b G 9 j Y X R p b 2 4 v Q 2 h h b m d l Z C B U e X B l L n t U T 1 R B T C B I T 0 x E I E h h c m 1 s Z X N z I E J h c 2 U s N n 0 m c X V v d D s s J n F 1 b 3 Q 7 U 2 V j d G l v b j E v R E 9 F I E F s b G 9 j Y X R p b 2 4 v Q 2 h h b m d l Z C B U e X B l L n t C Y X N p Y y B B b G x v Y 2 F 0 a W 9 u L D d 9 J n F 1 b 3 Q 7 L C Z x d W 9 0 O 1 N l Y 3 R p b 2 4 x L 0 R P R S B B b G x v Y 2 F 0 a W 9 u L 0 N o Y W 5 n Z W Q g V H l w Z S 5 7 Q 2 9 u Y y 4 g Q W x s b 2 N h d G l v b i w 4 f S Z x d W 9 0 O y w m c X V v d D t T Z W N 0 a W 9 u M S 9 E T 0 U g Q W x s b 2 N h d G l v b i 9 D a G F u Z 2 V k I F R 5 c G U u e 1 R h c m d l d G V k I E F s b G 9 j Y X R p b 2 4 s O X 0 m c X V v d D s s J n F 1 b 3 Q 7 U 2 V j d G l v b j E v R E 9 F I E F s b G 9 j Y X R p b 2 4 v Q 2 h h b m d l Z C B U e X B l L n t F R k l H I E F s b G 9 j Y X R p b 2 4 s M T B 9 J n F 1 b 3 Q 7 L C Z x d W 9 0 O 1 N l Y 3 R p b 2 4 x L 0 R P R S B B b G x v Y 2 F 0 a W 9 u L 0 N o Y W 5 n Z W Q g V H l w Z S 5 7 V G l 0 b G U g S S B B b G x v Y 2 F 0 a W 9 u L D E x f S Z x d W 9 0 O y w m c X V v d D t T Z W N 0 a W 9 u M S 9 E T 0 U g Q W x s b 2 N h d G l v b i 9 D a G F u Z 2 V k I F R 5 c G U u e 1 B l c m N l b n R h Z 2 U g b 2 Y g S G 9 s Z C B I Y X J t b G V z c y B C Y X N l L D E y f S Z x d W 9 0 O y w m c X V v d D t T Z W N 0 a W 9 u M S 9 E T 0 U g Q W x s b 2 N h d G l v b i 9 D a G F u Z 2 V k I F R 5 c G U u e 1 J l c 2 l k Z W 5 0 I F B v c C 4 s M T N 9 J n F 1 b 3 Q 7 X S w m c X V v d D t S Z W x h d G l v b n N o a X B J b m Z v J n F 1 b 3 Q 7 O l t d f S I g L z 4 8 R W 5 0 c n k g V H l w Z T 0 i R m l s b E N v d W 5 0 I i B W Y W x 1 Z T 0 i b D I 5 O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R P R S U y M E F s b G 9 j Y X R p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Q W x s b 2 N h d G l v b i 9 B b G x v Y 2 F 0 a W 9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R m 9 y b X V s Y S U y M G N v d W 5 0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R d W V y e U l E I i B W Y W x 1 Z T 0 i c z Y z M W R k N z d l L W U 4 M j U t N G U w Y i 1 h Y m M y L T Y z Z T c 5 O D U 3 M 2 Y x N S I g L z 4 8 R W 5 0 c n k g V H l w Z T 0 i U X V l c n l H c m 9 1 c E l E I i B W Y W x 1 Z T 0 i c 2 M z O W Z i M T h m L W E 1 N z c t N D A 4 N y 1 i Z m M 3 L W E x N W Z h Y T g 0 O T E y N C I g L z 4 8 R W 5 0 c n k g V H l w Z T 0 i R m l s b E x h c 3 R V c G R h d G V k I i B W Y W x 1 Z T 0 i Z D I w M j U t M D g t M D R U M T c 6 M D Q 6 M D Y u N z g 0 N j A 0 N l o i I C 8 + P E V u d H J 5 I F R 5 c G U 9 I k Z p b G x D b 2 x 1 b W 5 U e X B l c y I g V m F s d W U 9 I n N C Z 1 l G Q l F V R k J R V U Z C U V V G Q l F V R i I g L z 4 8 R W 5 0 c n k g V H l w Z T 0 i U m V j b 3 Z l c n l U Y X J n Z X R D b 2 x 1 b W 4 i I F Z h b H V l P S J s M S I g L z 4 8 R W 5 0 c n k g V H l w Z T 0 i U m V j b 3 Z l c n l U Y X J n Z X R T a G V l d C I g V m F s d W U 9 I n N E T 0 U g R m 9 y b X V s Y S B j b 3 V u d H M i I C 8 + P E V u d H J 5 I F R 5 c G U 9 I k Z p b G x U b 0 R h d G F N b 2 R l b E V u Y W J s Z W Q i I F Z h b H V l P S J s M S I g L z 4 8 R W 5 0 c n k g V H l w Z T 0 i U m V j b 3 Z l c n l U Y X J n Z X R S b 3 c i I F Z h b H V l P S J s M S I g L z 4 8 R W 5 0 c n k g V H l w Z T 0 i R m l s b E N v b H V t b k 5 h b W V z I i B W Y W x 1 Z T 0 i c 1 s m c X V v d D t M R U F p Z C Z x d W 9 0 O y w m c X V v d D t M R U E m c X V v d D s s J n F 1 b 3 Q 7 U E 9 W R V J U W S Z x d W 9 0 O y w m c X V v d D t O R U c u J n F 1 b 3 Q 7 L C Z x d W 9 0 O 0 R F T C 4 m c X V v d D s s J n F 1 b 3 Q 7 R k 9 T V E V S J n F 1 b 3 Q 7 L C Z x d W 9 0 O 1 R B T k Y m c X V v d D s s J n F 1 b 3 Q 7 V E 9 U Q U w g R k 9 S T V V M Q S B D T 1 V O V C Z x d W 9 0 O y w m c X V v d D s 1 L T E 3 I F B P U C 4 m c X V v d D s s J n F 1 b 3 Q 7 U E V S Q 0 V O V C B G T 1 J N V U x B J n F 1 b 3 Q 7 L C Z x d W 9 0 O 0 J B U 0 l D I E V M S U d J Q k x F U y Z x d W 9 0 O y w m c X V v d D t D T 0 5 D L i B F T E l H S U J M R V M m c X V v d D s s J n F 1 b 3 Q 7 V E F S R 0 V U R U Q g X H U w M D I 2 I E V G S U c g R U x J R 0 l C T E V T J n F 1 b 3 Q 7 L C Z x d W 9 0 O 0 N P V U 5 U U y B U Q V J H R V R F R C Z x d W 9 0 O y w m c X V v d D t D T 1 V O V F M g R U Z J R y Z x d W 9 0 O 1 0 i I C 8 + P E V u d H J 5 I F R 5 c G U 9 I k Z p b G x P Y m p l Y 3 R U e X B l I i B W Y W x 1 Z T 0 i c 0 N v b m 5 l Y 3 R p b 2 5 P b m x 5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T 0 U g R m 9 y b X V s Y S B j b 3 V u d H M v Q 2 h h b m d l Z C B U e X B l M i 5 7 T E V B a W Q s M H 0 m c X V v d D s s J n F 1 b 3 Q 7 U 2 V j d G l v b j E v R E 9 F I E Z v c m 1 1 b G E g Y 2 9 1 b n R z L 0 N o Y W 5 n Z W Q g V H l w Z S 5 7 Q 2 9 s d W 1 u N S w 0 f S Z x d W 9 0 O y w m c X V v d D t T Z W N 0 a W 9 u M S 9 E T 0 U g R m 9 y b X V s Y S B j b 3 V u d H M v Q 2 h h b m d l Z C B U e X B l M i 5 7 U E 9 W R V J U W S w y f S Z x d W 9 0 O y w m c X V v d D t T Z W N 0 a W 9 u M S 9 E T 0 U g R m 9 y b X V s Y S B j b 3 V u d H M v Q 2 h h b m d l Z C B U e X B l M i 5 7 T k V H L i w z f S Z x d W 9 0 O y w m c X V v d D t T Z W N 0 a W 9 u M S 9 E T 0 U g R m 9 y b X V s Y S B j b 3 V u d H M v Q 2 h h b m d l Z C B U e X B l M i 5 7 R E V M L i w 0 f S Z x d W 9 0 O y w m c X V v d D t T Z W N 0 a W 9 u M S 9 E T 0 U g R m 9 y b X V s Y S B j b 3 V u d H M v Q 2 h h b m d l Z C B U e X B l M i 5 7 R k 9 T V E V S L D V 9 J n F 1 b 3 Q 7 L C Z x d W 9 0 O 1 N l Y 3 R p b 2 4 x L 0 R P R S B G b 3 J t d W x h I G N v d W 5 0 c y 9 D a G F u Z 2 V k I F R 5 c G U y L n t U Q U 5 G L D Z 9 J n F 1 b 3 Q 7 L C Z x d W 9 0 O 1 N l Y 3 R p b 2 4 x L 0 R P R S B G b 3 J t d W x h I G N v d W 5 0 c y 9 D a G F u Z 2 V k I F R 5 c G U y L n t U T 1 R B T C B G T 1 J N V U x B I E N P V U 5 U L D d 9 J n F 1 b 3 Q 7 L C Z x d W 9 0 O 1 N l Y 3 R p b 2 4 x L 0 R P R S B G b 3 J t d W x h I G N v d W 5 0 c y 9 D a G F u Z 2 V k I F R 5 c G U y L n s 1 L T E 3 I F B P U C 4 s O H 0 m c X V v d D s s J n F 1 b 3 Q 7 U 2 V j d G l v b j E v R E 9 F I E Z v c m 1 1 b G E g Y 2 9 1 b n R z L 0 N o Y W 5 n Z W Q g V H l w Z T I u e 1 B F U k N F T l Q g R k 9 S T V V M Q S w 5 f S Z x d W 9 0 O y w m c X V v d D t T Z W N 0 a W 9 u M S 9 E T 0 U g R m 9 y b X V s Y S B j b 3 V u d H M v Q 2 h h b m d l Z C B U e X B l M i 5 7 Q k F T S U M g R U x J R 0 l C T E V T L D E w f S Z x d W 9 0 O y w m c X V v d D t T Z W N 0 a W 9 u M S 9 E T 0 U g R m 9 y b X V s Y S B j b 3 V u d H M v Q 2 h h b m d l Z C B U e X B l M i 5 7 Q 0 9 O Q y 4 g R U x J R 0 l C T E V T L D E x f S Z x d W 9 0 O y w m c X V v d D t T Z W N 0 a W 9 u M S 9 E T 0 U g R m 9 y b X V s Y S B j b 3 V u d H M v Q 2 h h b m d l Z C B U e X B l M i 5 7 V E F S R 0 V U R U Q g X H U w M D I 2 I E V G S U c g R U x J R 0 l C T E V T L D E y f S Z x d W 9 0 O y w m c X V v d D t T Z W N 0 a W 9 u M S 9 E T 0 U g R m 9 y b X V s Y S B j b 3 V u d H M v Q 2 h h b m d l Z C B U e X B l M i 5 7 Q 0 9 V T l R T I F R B U k d F V E V E L D E z f S Z x d W 9 0 O y w m c X V v d D t T Z W N 0 a W 9 u M S 9 E T 0 U g R m 9 y b X V s Y S B j b 3 V u d H M v Q 2 h h b m d l Z C B U e X B l M i 5 7 Q 0 9 V T l R T I E V G S U c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E T 0 U g R m 9 y b X V s Y S B j b 3 V u d H M v Q 2 h h b m d l Z C B U e X B l M i 5 7 T E V B a W Q s M H 0 m c X V v d D s s J n F 1 b 3 Q 7 U 2 V j d G l v b j E v R E 9 F I E Z v c m 1 1 b G E g Y 2 9 1 b n R z L 0 N o Y W 5 n Z W Q g V H l w Z S 5 7 Q 2 9 s d W 1 u N S w 0 f S Z x d W 9 0 O y w m c X V v d D t T Z W N 0 a W 9 u M S 9 E T 0 U g R m 9 y b X V s Y S B j b 3 V u d H M v Q 2 h h b m d l Z C B U e X B l M i 5 7 U E 9 W R V J U W S w y f S Z x d W 9 0 O y w m c X V v d D t T Z W N 0 a W 9 u M S 9 E T 0 U g R m 9 y b X V s Y S B j b 3 V u d H M v Q 2 h h b m d l Z C B U e X B l M i 5 7 T k V H L i w z f S Z x d W 9 0 O y w m c X V v d D t T Z W N 0 a W 9 u M S 9 E T 0 U g R m 9 y b X V s Y S B j b 3 V u d H M v Q 2 h h b m d l Z C B U e X B l M i 5 7 R E V M L i w 0 f S Z x d W 9 0 O y w m c X V v d D t T Z W N 0 a W 9 u M S 9 E T 0 U g R m 9 y b X V s Y S B j b 3 V u d H M v Q 2 h h b m d l Z C B U e X B l M i 5 7 R k 9 T V E V S L D V 9 J n F 1 b 3 Q 7 L C Z x d W 9 0 O 1 N l Y 3 R p b 2 4 x L 0 R P R S B G b 3 J t d W x h I G N v d W 5 0 c y 9 D a G F u Z 2 V k I F R 5 c G U y L n t U Q U 5 G L D Z 9 J n F 1 b 3 Q 7 L C Z x d W 9 0 O 1 N l Y 3 R p b 2 4 x L 0 R P R S B G b 3 J t d W x h I G N v d W 5 0 c y 9 D a G F u Z 2 V k I F R 5 c G U y L n t U T 1 R B T C B G T 1 J N V U x B I E N P V U 5 U L D d 9 J n F 1 b 3 Q 7 L C Z x d W 9 0 O 1 N l Y 3 R p b 2 4 x L 0 R P R S B G b 3 J t d W x h I G N v d W 5 0 c y 9 D a G F u Z 2 V k I F R 5 c G U y L n s 1 L T E 3 I F B P U C 4 s O H 0 m c X V v d D s s J n F 1 b 3 Q 7 U 2 V j d G l v b j E v R E 9 F I E Z v c m 1 1 b G E g Y 2 9 1 b n R z L 0 N o Y W 5 n Z W Q g V H l w Z T I u e 1 B F U k N F T l Q g R k 9 S T V V M Q S w 5 f S Z x d W 9 0 O y w m c X V v d D t T Z W N 0 a W 9 u M S 9 E T 0 U g R m 9 y b X V s Y S B j b 3 V u d H M v Q 2 h h b m d l Z C B U e X B l M i 5 7 Q k F T S U M g R U x J R 0 l C T E V T L D E w f S Z x d W 9 0 O y w m c X V v d D t T Z W N 0 a W 9 u M S 9 E T 0 U g R m 9 y b X V s Y S B j b 3 V u d H M v Q 2 h h b m d l Z C B U e X B l M i 5 7 Q 0 9 O Q y 4 g R U x J R 0 l C T E V T L D E x f S Z x d W 9 0 O y w m c X V v d D t T Z W N 0 a W 9 u M S 9 E T 0 U g R m 9 y b X V s Y S B j b 3 V u d H M v Q 2 h h b m d l Z C B U e X B l M i 5 7 V E F S R 0 V U R U Q g X H U w M D I 2 I E V G S U c g R U x J R 0 l C T E V T L D E y f S Z x d W 9 0 O y w m c X V v d D t T Z W N 0 a W 9 u M S 9 E T 0 U g R m 9 y b X V s Y S B j b 3 V u d H M v Q 2 h h b m d l Z C B U e X B l M i 5 7 Q 0 9 V T l R T I F R B U k d F V E V E L D E z f S Z x d W 9 0 O y w m c X V v d D t T Z W N 0 a W 9 u M S 9 E T 0 U g R m 9 y b X V s Y S B j b 3 V u d H M v Q 2 h h b m d l Z C B U e X B l M i 5 7 Q 0 9 V T l R T I E V G S U c s M T R 9 J n F 1 b 3 Q 7 X S w m c X V v d D t S Z W x h d G l v b n N o a X B J b m Z v J n F 1 b 3 Q 7 O l t d f S I g L z 4 8 R W 5 0 c n k g V H l w Z T 0 i R m l s b E N v d W 5 0 I i B W Y W x 1 Z T 0 i b D I 5 O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R P R S U y M E Z v c m 1 1 b G E l M j B j b 3 V u d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R m 9 y b X V s Y S U y M G N v d W 5 0 c y 9 G b 3 J t d W x h J T I w Y 2 9 1 b n R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R m 9 y b X V s Y S U y M G N v d W 5 0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R S U y M E Z v c m 1 1 b G E l M j B j b 3 V u d H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G b 3 J t d W x h J T I w Y 2 9 1 b n R z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G F k a n V z d G V k J T I w Y W x s b 2 N h d G l v b n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1 Y m M w O T R k Z C 0 w N W Y y L T R h M m I t Y W E z M y 0 y Z W V i Z j c y Y W Q z Y T A i I C 8 + P E V u d H J 5 I F R 5 c G U 9 I l F 1 Z X J 5 R 3 J v d X B J R C I g V m F s d W U 9 I n N j M z l m Y j E 4 Z i 1 h N T c 3 L T Q w O D c t Y m Z j N y 1 h M T V m Y W E 4 N D k x M j Q i I C 8 + P E V u d H J 5 I F R 5 c G U 9 I k Z p b G x F c n J v c k N v d W 5 0 I i B W Y W x 1 Z T 0 i b D A i I C 8 + P E V u d H J 5 I F R 5 c G U 9 I k Z p b G x M Y X N 0 V X B k Y X R l Z C I g V m F s d W U 9 I m Q y M D I 1 L T A 4 L T A 0 V D E 3 O j A 0 O j A 2 L j c 4 N T U 3 M D B a I i A v P j x F b n R y e S B U e X B l P S J G a W x s R X J y b 3 J D b 2 R l I i B W Y W x 1 Z T 0 i c 1 V u a 2 5 v d 2 4 i I C 8 + P E V u d H J 5 I F R 5 c G U 9 I k Z p b G x D b 2 x 1 b W 5 U e X B l c y I g V m F s d W U 9 I n N C Z 1 l G Q l F V R k J R V U Z C U V V G I i A v P j x F b n R y e S B U e X B l P S J G a W x s Q 2 9 s d W 1 u T m F t Z X M i I F Z h b H V l P S J z W y Z x d W 9 0 O 0 x F Q U l E J n F 1 b 3 Q 7 L C Z x d W 9 0 O 0 x F Q U 5 B T U U m c X V v d D s s J n F 1 b 3 Q 7 Q k F T S U M g S G 9 s Z C B I Y X J t b G V z c y B i Y X N l I C h Q c m l v c i B 5 Z W F y I G F k a n V z d G V k I G F s b G 9 j K S Z x d W 9 0 O y w m c X V v d D t D b 2 5 j I E h v b G Q g S G F y b W x l c 3 M g Q m F z Z S A o I D Q g e W V h c i B s b 2 9 r Y m F j a y k m c X V v d D s s J n F 1 b 3 Q 7 V E F S R 0 V U R U Q g S G 9 s Z C B I Y X J t b G V z c y B C Y X N l I C h Q c m l v c i B Z Z W F y I G F k a n V z d G V k I G F s b G 9 j K S Z x d W 9 0 O y w m c X V v d D t F R k l H I E h v b G Q g S G F y b W x l c 3 M g Y m F z Z S A o U H J p b 3 I g W W V h c i B h Z G p 1 c 3 R l Z C B h b G x v Y y k m c X V v d D s s J n F 1 b 3 Q 7 V G 9 0 Y W w g S G 9 s Z C B I Y X J t b G V z c y B i Y X N l J n F 1 b 3 Q 7 L C Z x d W 9 0 O 0 F k a i B C Y X N p Y y B B b G x v Y 2 F 0 a W 9 u J n F 1 b 3 Q 7 L C Z x d W 9 0 O 0 F k a i B D b 2 5 j L i B B b G x v Y 2 F 0 a W 9 u J n F 1 b 3 Q 7 L C Z x d W 9 0 O 0 F k a i B U Y X J n Z X R l Z C B h b G x v Y 2 F 0 a W 9 u J n F 1 b 3 Q 7 L C Z x d W 9 0 O 0 F k a i B F R k l H I E F s b G 9 j Y X R p b 2 4 m c X V v d D s s J n F 1 b 3 Q 7 Q W R q I F R v d G F s I F R p d G x l I E k g Q W x s b 2 N h d G l v b i Z x d W 9 0 O 1 0 i I C 8 + P E V u d H J 5 I F R 5 c G U 9 I k Z p b G x T d G F 0 d X M i I F Z h b H V l P S J z Q 2 9 t c G x l d G U i I C 8 + P E V u d H J 5 I F R 5 c G U 9 I k Z p b G x D b 3 V u d C I g V m F s d W U 9 I m w z M T Y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l v c i B Z Z W F y I G F k a n V z d G V k I G F s b G 9 j Y X R p b 2 5 z L 0 N o Y W 5 n Z W Q g V H l w Z S 5 7 T E V B S U Q s M H 0 m c X V v d D s s J n F 1 b 3 Q 7 U 2 V j d G l v b j E v U H J p b 3 I g W W V h c i B h Z G p 1 c 3 R l Z C B h b G x v Y 2 F 0 a W 9 u c y 9 D a G F u Z 2 V k I F R 5 c G U u e 0 x F Q U 5 B T U U s M X 0 m c X V v d D s s J n F 1 b 3 Q 7 U 2 V j d G l v b j E v U H J p b 3 I g W W V h c i B h Z G p 1 c 3 R l Z C B h b G x v Y 2 F 0 a W 9 u c y 9 D a G F u Z 2 V k I F R 5 c G U u e 0 J B U 0 l D I E h v b G Q g S G F y b W x l c 3 M g Y m F z Z S A o U H J p b 3 I g e W V h c i B h Z G p 1 c 3 R l Z C B h b G x v Y y k s M n 0 m c X V v d D s s J n F 1 b 3 Q 7 U 2 V j d G l v b j E v U H J p b 3 I g W W V h c i B h Z G p 1 c 3 R l Z C B h b G x v Y 2 F 0 a W 9 u c y 9 D a G F u Z 2 V k I F R 5 c G U u e 0 N v b m M g S G 9 s Z C B I Y X J t b G V z c y B C Y X N l I C g g N C B 5 Z W F y I G x v b 2 t i Y W N r K S w z f S Z x d W 9 0 O y w m c X V v d D t T Z W N 0 a W 9 u M S 9 Q c m l v c i B Z Z W F y I G F k a n V z d G V k I G F s b G 9 j Y X R p b 2 5 z L 0 N o Y W 5 n Z W Q g V H l w Z S 5 7 V E F S R 0 V U R U Q g S G 9 s Z C B I Y X J t b G V z c y B C Y X N l I C h Q c m l v c i B Z Z W F y I G F k a n V z d G V k I G F s b G 9 j K S w 0 f S Z x d W 9 0 O y w m c X V v d D t T Z W N 0 a W 9 u M S 9 Q c m l v c i B Z Z W F y I G F k a n V z d G V k I G F s b G 9 j Y X R p b 2 5 z L 0 N o Y W 5 n Z W Q g V H l w Z S 5 7 R U Z J R y B I b 2 x k I E h h c m 1 s Z X N z I G J h c 2 U g K F B y a W 9 y I F l l Y X I g Y W R q d X N 0 Z W Q g Y W x s b 2 M p L D V 9 J n F 1 b 3 Q 7 L C Z x d W 9 0 O 1 N l Y 3 R p b 2 4 x L 1 B y a W 9 y I F l l Y X I g Y W R q d X N 0 Z W Q g Y W x s b 2 N h d G l v b n M v Q 2 h h b m d l Z C B U e X B l L n t U b 3 R h b C B I b 2 x k I E h h c m 1 s Z X N z I G J h c 2 U s N n 0 m c X V v d D s s J n F 1 b 3 Q 7 U 2 V j d G l v b j E v U H J p b 3 I g W W V h c i B h Z G p 1 c 3 R l Z C B h b G x v Y 2 F 0 a W 9 u c y 9 D a G F u Z 2 V k I F R 5 c G U u e 0 F k a i B C Y X N p Y y B B b G x v Y 2 F 0 a W 9 u L D d 9 J n F 1 b 3 Q 7 L C Z x d W 9 0 O 1 N l Y 3 R p b 2 4 x L 1 B y a W 9 y I F l l Y X I g Y W R q d X N 0 Z W Q g Y W x s b 2 N h d G l v b n M v Q 2 h h b m d l Z C B U e X B l L n t B Z G o g Q 2 9 u Y y 4 g Q W x s b 2 N h d G l v b i w 4 f S Z x d W 9 0 O y w m c X V v d D t T Z W N 0 a W 9 u M S 9 Q c m l v c i B Z Z W F y I G F k a n V z d G V k I G F s b G 9 j Y X R p b 2 5 z L 0 N o Y W 5 n Z W Q g V H l w Z S 5 7 Q W R q I F R h c m d l d G V k I G F s b G 9 j Y X R p b 2 4 s O X 0 m c X V v d D s s J n F 1 b 3 Q 7 U 2 V j d G l v b j E v U H J p b 3 I g W W V h c i B h Z G p 1 c 3 R l Z C B h b G x v Y 2 F 0 a W 9 u c y 9 D a G F u Z 2 V k I F R 5 c G U u e 0 F k a i B F R k l H I E F s b G 9 j Y X R p b 2 4 s M T B 9 J n F 1 b 3 Q 7 L C Z x d W 9 0 O 1 N l Y 3 R p b 2 4 x L 1 B y a W 9 y I F l l Y X I g Y W R q d X N 0 Z W Q g Y W x s b 2 N h d G l v b n M v Q 2 h h b m d l Z C B U e X B l L n t B Z G o g V G 9 0 Y W w g V G l 0 b G U g S S B B b G x v Y 2 F 0 a W 9 u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U H J p b 3 I g W W V h c i B h Z G p 1 c 3 R l Z C B h b G x v Y 2 F 0 a W 9 u c y 9 D a G F u Z 2 V k I F R 5 c G U u e 0 x F Q U l E L D B 9 J n F 1 b 3 Q 7 L C Z x d W 9 0 O 1 N l Y 3 R p b 2 4 x L 1 B y a W 9 y I F l l Y X I g Y W R q d X N 0 Z W Q g Y W x s b 2 N h d G l v b n M v Q 2 h h b m d l Z C B U e X B l L n t M R U F O Q U 1 F L D F 9 J n F 1 b 3 Q 7 L C Z x d W 9 0 O 1 N l Y 3 R p b 2 4 x L 1 B y a W 9 y I F l l Y X I g Y W R q d X N 0 Z W Q g Y W x s b 2 N h d G l v b n M v Q 2 h h b m d l Z C B U e X B l L n t C Q V N J Q y B I b 2 x k I E h h c m 1 s Z X N z I G J h c 2 U g K F B y a W 9 y I H l l Y X I g Y W R q d X N 0 Z W Q g Y W x s b 2 M p L D J 9 J n F 1 b 3 Q 7 L C Z x d W 9 0 O 1 N l Y 3 R p b 2 4 x L 1 B y a W 9 y I F l l Y X I g Y W R q d X N 0 Z W Q g Y W x s b 2 N h d G l v b n M v Q 2 h h b m d l Z C B U e X B l L n t D b 2 5 j I E h v b G Q g S G F y b W x l c 3 M g Q m F z Z S A o I D Q g e W V h c i B s b 2 9 r Y m F j a y k s M 3 0 m c X V v d D s s J n F 1 b 3 Q 7 U 2 V j d G l v b j E v U H J p b 3 I g W W V h c i B h Z G p 1 c 3 R l Z C B h b G x v Y 2 F 0 a W 9 u c y 9 D a G F u Z 2 V k I F R 5 c G U u e 1 R B U k d F V E V E I E h v b G Q g S G F y b W x l c 3 M g Q m F z Z S A o U H J p b 3 I g W W V h c i B h Z G p 1 c 3 R l Z C B h b G x v Y y k s N H 0 m c X V v d D s s J n F 1 b 3 Q 7 U 2 V j d G l v b j E v U H J p b 3 I g W W V h c i B h Z G p 1 c 3 R l Z C B h b G x v Y 2 F 0 a W 9 u c y 9 D a G F u Z 2 V k I F R 5 c G U u e 0 V G S U c g S G 9 s Z C B I Y X J t b G V z c y B i Y X N l I C h Q c m l v c i B Z Z W F y I G F k a n V z d G V k I G F s b G 9 j K S w 1 f S Z x d W 9 0 O y w m c X V v d D t T Z W N 0 a W 9 u M S 9 Q c m l v c i B Z Z W F y I G F k a n V z d G V k I G F s b G 9 j Y X R p b 2 5 z L 0 N o Y W 5 n Z W Q g V H l w Z S 5 7 V G 9 0 Y W w g S G 9 s Z C B I Y X J t b G V z c y B i Y X N l L D Z 9 J n F 1 b 3 Q 7 L C Z x d W 9 0 O 1 N l Y 3 R p b 2 4 x L 1 B y a W 9 y I F l l Y X I g Y W R q d X N 0 Z W Q g Y W x s b 2 N h d G l v b n M v Q 2 h h b m d l Z C B U e X B l L n t B Z G o g Q m F z a W M g Q W x s b 2 N h d G l v b i w 3 f S Z x d W 9 0 O y w m c X V v d D t T Z W N 0 a W 9 u M S 9 Q c m l v c i B Z Z W F y I G F k a n V z d G V k I G F s b G 9 j Y X R p b 2 5 z L 0 N o Y W 5 n Z W Q g V H l w Z S 5 7 Q W R q I E N v b m M u I E F s b G 9 j Y X R p b 2 4 s O H 0 m c X V v d D s s J n F 1 b 3 Q 7 U 2 V j d G l v b j E v U H J p b 3 I g W W V h c i B h Z G p 1 c 3 R l Z C B h b G x v Y 2 F 0 a W 9 u c y 9 D a G F u Z 2 V k I F R 5 c G U u e 0 F k a i B U Y X J n Z X R l Z C B h b G x v Y 2 F 0 a W 9 u L D l 9 J n F 1 b 3 Q 7 L C Z x d W 9 0 O 1 N l Y 3 R p b 2 4 x L 1 B y a W 9 y I F l l Y X I g Y W R q d X N 0 Z W Q g Y W x s b 2 N h d G l v b n M v Q 2 h h b m d l Z C B U e X B l L n t B Z G o g R U Z J R y B B b G x v Y 2 F 0 a W 9 u L D E w f S Z x d W 9 0 O y w m c X V v d D t T Z W N 0 a W 9 u M S 9 Q c m l v c i B Z Z W F y I G F k a n V z d G V k I G F s b G 9 j Y X R p b 2 5 z L 0 N o Y W 5 n Z W Q g V H l w Z S 5 7 Q W R q I F R v d G F s I F R p d G x l I E k g Q W x s b 2 N h d G l v b i w x M X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H J p b 3 I l M j B Z Z W F y J T I w Y W R q d X N 0 Z W Q l M j B h b G x v Y 2 F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B Z G p 1 c 3 R l Z C U y M E Z v c m 1 1 b G E l M j B j b 3 V u d H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X V l c n l J R C I g V m F s d W U 9 I n M 5 N j M 2 Y T F m O S 0 w O D M 1 L T R m N j M t Y T A w O S 0 3 Y j V k O T A 1 N W M 0 Z W I i I C 8 + P E V u d H J 5 I F R 5 c G U 9 I l F 1 Z X J 5 R 3 J v d X B J R C I g V m F s d W U 9 I n N j M z l m Y j E 4 Z i 1 h N T c 3 L T Q w O D c t Y m Z j N y 1 h M T V m Y W E 4 N D k x M j Q i I C 8 + P E V u d H J 5 I F R 5 c G U 9 I k Z p b G x F c n J v c k N v d W 5 0 I i B W Y W x 1 Z T 0 i b D A i I C 8 + P E V u d H J 5 I F R 5 c G U 9 I k Z p b G x M Y X N 0 V X B k Y X R l Z C I g V m F s d W U 9 I m Q y M D I 1 L T A 4 L T A 0 V D E 3 O j A 0 O j A 2 L j g w M T U 2 M j V a I i A v P j x F b n R y e S B U e X B l P S J G a W x s R X J y b 3 J D b 2 R l I i B W Y W x 1 Z T 0 i c 1 V u a 2 5 v d 2 4 i I C 8 + P E V u d H J 5 I F R 5 c G U 9 I k Z p b G x D b 2 x 1 b W 5 U e X B l c y I g V m F s d W U 9 I n N C Z 1 l H Q X d N R E F 3 T U R B d 0 1 G Q U F B Q U F B P T 0 i I C 8 + P E V u d H J 5 I F R 5 c G U 9 I k Z p b G x D b 2 x 1 b W 5 O Y W 1 l c y I g V m F s d W U 9 I n N b J n F 1 b 3 Q 7 T E V B S U Q m c X V v d D s s J n F 1 b 3 Q 7 T E V B T k F N R S Z x d W 9 0 O y w m c X V v d D t T Z W 5 k a W 5 n T E V B a W Q m c X V v d D s s J n F 1 b 3 Q 7 T k V H L i B h Z G o m c X V v d D s s J n F 1 b 3 Q 7 Q W R q I E R F T C 4 m c X V v d D s s J n F 1 b 3 Q 7 Q W R q I E Z v c 3 R l c i Z x d W 9 0 O y w m c X V v d D t B Z G o g V E F O R i Z x d W 9 0 O y w m c X V v d D t B Z G o g L S A 1 L T E 3 I H B v c C Z x d W 9 0 O y w m c X V v d D t B Z G o g c G 9 2 Z X J 0 e S Z x d W 9 0 O y w m c X V v d D t B Z G o g V G 9 0 Y W w g Z m 9 y b X V s Y S B j b 3 V u d C Z x d W 9 0 O y w m c X V v d D t U b 3 R h b C B G b 3 J t d W x h I E N v d W 5 0 I E R P R S Z x d W 9 0 O y w m c X V v d D t B Z G o g c G 9 2 Z X J 0 e S B w Z X J j Z W 5 0 Y W d l J n F 1 b 3 Q 7 L C Z x d W 9 0 O 0 J B U 0 l D I G V s a W d p Y m l s a X R 5 J n F 1 b 3 Q 7 L C Z x d W 9 0 O 0 N v b m M u I E V s a W d p Z 2 l i a W x p d H k m c X V v d D s s J n F 1 b 3 Q 7 V G F y Z 2 V 0 Z W Q g R W x p Z 2 l i a W x p d H k m c X V v d D s s J n F 1 b 3 Q 7 R U Z J R y B l b G l n a W J p b G l 0 e S Z x d W 9 0 O 1 0 i I C 8 + P E V u d H J 5 I F R 5 c G U 9 I k Z p b G x T d G F 0 d X M i I F Z h b H V l P S J z Q 2 9 t c G x l d G U i I C 8 + P E V u d H J 5 I F R 5 c G U 9 I k Z p b G x D b 3 V u d C I g V m F s d W U 9 I m w z M T Y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l v c i B Z Z W F y I E F k a n V z d G V k I E Z v c m 1 1 b G E g Y 2 9 1 b n R z L 0 N o Y W 5 n Z W Q g V H l w Z S 5 7 T E V B S U Q s M H 0 m c X V v d D s s J n F 1 b 3 Q 7 U 2 V j d G l v b j E v U H J p b 3 I g W W V h c i B B Z G p 1 c 3 R l Z C B G b 3 J t d W x h I G N v d W 5 0 c y 9 D a G F u Z 2 V k I F R 5 c G U u e 0 x F Q U 5 B T U U s M X 0 m c X V v d D s s J n F 1 b 3 Q 7 U 2 V j d G l v b j E v U H J p b 3 I g W W V h c i B B Z G p 1 c 3 R l Z C B G b 3 J t d W x h I G N v d W 5 0 c y 9 D a G F u Z 2 V k I F R 5 c G U u e 1 N l b m R p b m d M R U F p Z C w y f S Z x d W 9 0 O y w m c X V v d D t T Z W N 0 a W 9 u M S 9 Q c m l v c i B Z Z W F y I E F k a n V z d G V k I E Z v c m 1 1 b G E g Y 2 9 1 b n R z L 0 N o Y W 5 n Z W Q g V H l w Z S 5 7 T k V H L i B h Z G o s M 3 0 m c X V v d D s s J n F 1 b 3 Q 7 U 2 V j d G l v b j E v U H J p b 3 I g W W V h c i B B Z G p 1 c 3 R l Z C B G b 3 J t d W x h I G N v d W 5 0 c y 9 D a G F u Z 2 V k I F R 5 c G U u e 0 F k a i B E R U w u L D R 9 J n F 1 b 3 Q 7 L C Z x d W 9 0 O 1 N l Y 3 R p b 2 4 x L 1 B y a W 9 y I F l l Y X I g Q W R q d X N 0 Z W Q g R m 9 y b X V s Y S B j b 3 V u d H M v Q 2 h h b m d l Z C B U e X B l L n t B Z G o g R m 9 z d G V y L D V 9 J n F 1 b 3 Q 7 L C Z x d W 9 0 O 1 N l Y 3 R p b 2 4 x L 1 B y a W 9 y I F l l Y X I g Q W R q d X N 0 Z W Q g R m 9 y b X V s Y S B j b 3 V u d H M v Q 2 h h b m d l Z C B U e X B l L n t B Z G o g V E F O R i w 2 f S Z x d W 9 0 O y w m c X V v d D t T Z W N 0 a W 9 u M S 9 Q c m l v c i B Z Z W F y I E F k a n V z d G V k I E Z v c m 1 1 b G E g Y 2 9 1 b n R z L 0 N o Y W 5 n Z W Q g V H l w Z S 5 7 Q W R q I C 0 g N S 0 x N y B w b 3 A s N 3 0 m c X V v d D s s J n F 1 b 3 Q 7 U 2 V j d G l v b j E v U H J p b 3 I g W W V h c i B B Z G p 1 c 3 R l Z C B G b 3 J t d W x h I G N v d W 5 0 c y 9 D a G F u Z 2 V k I F R 5 c G U u e 0 F k a i B w b 3 Z l c n R 5 L D h 9 J n F 1 b 3 Q 7 L C Z x d W 9 0 O 1 N l Y 3 R p b 2 4 x L 1 B y a W 9 y I F l l Y X I g Q W R q d X N 0 Z W Q g R m 9 y b X V s Y S B j b 3 V u d H M v Q 2 h h b m d l Z C B U e X B l L n t B Z G o g V G 9 0 Y W w g Z m 9 y b X V s Y S B j b 3 V u d C w 5 f S Z x d W 9 0 O y w m c X V v d D t T Z W N 0 a W 9 u M S 9 Q c m l v c i B Z Z W F y I E F k a n V z d G V k I E Z v c m 1 1 b G E g Y 2 9 1 b n R z L 0 N o Y W 5 n Z W Q g V H l w Z S 5 7 V G 9 0 Y W w g R m 9 y b X V s Y S B D b 3 V u d C B E T 0 U s M T B 9 J n F 1 b 3 Q 7 L C Z x d W 9 0 O 1 N l Y 3 R p b 2 4 x L 1 B y a W 9 y I F l l Y X I g Q W R q d X N 0 Z W Q g R m 9 y b X V s Y S B j b 3 V u d H M v Q 2 h h b m d l Z C B U e X B l L n t B Z G o g c G 9 2 Z X J 0 e S B w Z X J j Z W 5 0 Y W d l L D E x f S Z x d W 9 0 O y w m c X V v d D t T Z W N 0 a W 9 u M S 9 Q c m l v c i B Z Z W F y I E F k a n V z d G V k I E Z v c m 1 1 b G E g Y 2 9 1 b n R z L 0 l u a X R p Y W x f Y W R q d X N 0 Z W R f Z m 9 y b X V s Y V 9 j b 3 V u d F 9 U Y W J s Z S 5 7 Q k F T S U M g Z W x p Z 2 l i a W x p d H k s M T J 9 J n F 1 b 3 Q 7 L C Z x d W 9 0 O 1 N l Y 3 R p b 2 4 x L 1 B y a W 9 y I F l l Y X I g Q W R q d X N 0 Z W Q g R m 9 y b X V s Y S B j b 3 V u d H M v S W 5 p d G l h b F 9 h Z G p 1 c 3 R l Z F 9 m b 3 J t d W x h X 2 N v d W 5 0 X 1 R h Y m x l L n t D b 2 5 j L i B F b G l n a W d p Y m l s a X R 5 L D E z f S Z x d W 9 0 O y w m c X V v d D t T Z W N 0 a W 9 u M S 9 Q c m l v c i B Z Z W F y I E F k a n V z d G V k I E Z v c m 1 1 b G E g Y 2 9 1 b n R z L 0 l u a X R p Y W x f Y W R q d X N 0 Z W R f Z m 9 y b X V s Y V 9 j b 3 V u d F 9 U Y W J s Z S 5 7 V G F y Z 2 V 0 Z W Q g R W x p Z 2 l i a W x p d H k s M T R 9 J n F 1 b 3 Q 7 L C Z x d W 9 0 O 1 N l Y 3 R p b 2 4 x L 1 B y a W 9 y I F l l Y X I g Q W R q d X N 0 Z W Q g R m 9 y b X V s Y S B j b 3 V u d H M v S W 5 p d G l h b F 9 h Z G p 1 c 3 R l Z F 9 m b 3 J t d W x h X 2 N v d W 5 0 X 1 R h Y m x l L n t F R k l H I G V s a W d p Y m l s a X R 5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U H J p b 3 I g W W V h c i B B Z G p 1 c 3 R l Z C B G b 3 J t d W x h I G N v d W 5 0 c y 9 D a G F u Z 2 V k I F R 5 c G U u e 0 x F Q U l E L D B 9 J n F 1 b 3 Q 7 L C Z x d W 9 0 O 1 N l Y 3 R p b 2 4 x L 1 B y a W 9 y I F l l Y X I g Q W R q d X N 0 Z W Q g R m 9 y b X V s Y S B j b 3 V u d H M v Q 2 h h b m d l Z C B U e X B l L n t M R U F O Q U 1 F L D F 9 J n F 1 b 3 Q 7 L C Z x d W 9 0 O 1 N l Y 3 R p b 2 4 x L 1 B y a W 9 y I F l l Y X I g Q W R q d X N 0 Z W Q g R m 9 y b X V s Y S B j b 3 V u d H M v Q 2 h h b m d l Z C B U e X B l L n t T Z W 5 k a W 5 n T E V B a W Q s M n 0 m c X V v d D s s J n F 1 b 3 Q 7 U 2 V j d G l v b j E v U H J p b 3 I g W W V h c i B B Z G p 1 c 3 R l Z C B G b 3 J t d W x h I G N v d W 5 0 c y 9 D a G F u Z 2 V k I F R 5 c G U u e 0 5 F R y 4 g Y W R q L D N 9 J n F 1 b 3 Q 7 L C Z x d W 9 0 O 1 N l Y 3 R p b 2 4 x L 1 B y a W 9 y I F l l Y X I g Q W R q d X N 0 Z W Q g R m 9 y b X V s Y S B j b 3 V u d H M v Q 2 h h b m d l Z C B U e X B l L n t B Z G o g R E V M L i w 0 f S Z x d W 9 0 O y w m c X V v d D t T Z W N 0 a W 9 u M S 9 Q c m l v c i B Z Z W F y I E F k a n V z d G V k I E Z v c m 1 1 b G E g Y 2 9 1 b n R z L 0 N o Y W 5 n Z W Q g V H l w Z S 5 7 Q W R q I E Z v c 3 R l c i w 1 f S Z x d W 9 0 O y w m c X V v d D t T Z W N 0 a W 9 u M S 9 Q c m l v c i B Z Z W F y I E F k a n V z d G V k I E Z v c m 1 1 b G E g Y 2 9 1 b n R z L 0 N o Y W 5 n Z W Q g V H l w Z S 5 7 Q W R q I F R B T k Y s N n 0 m c X V v d D s s J n F 1 b 3 Q 7 U 2 V j d G l v b j E v U H J p b 3 I g W W V h c i B B Z G p 1 c 3 R l Z C B G b 3 J t d W x h I G N v d W 5 0 c y 9 D a G F u Z 2 V k I F R 5 c G U u e 0 F k a i A t I D U t M T c g c G 9 w L D d 9 J n F 1 b 3 Q 7 L C Z x d W 9 0 O 1 N l Y 3 R p b 2 4 x L 1 B y a W 9 y I F l l Y X I g Q W R q d X N 0 Z W Q g R m 9 y b X V s Y S B j b 3 V u d H M v Q 2 h h b m d l Z C B U e X B l L n t B Z G o g c G 9 2 Z X J 0 e S w 4 f S Z x d W 9 0 O y w m c X V v d D t T Z W N 0 a W 9 u M S 9 Q c m l v c i B Z Z W F y I E F k a n V z d G V k I E Z v c m 1 1 b G E g Y 2 9 1 b n R z L 0 N o Y W 5 n Z W Q g V H l w Z S 5 7 Q W R q I F R v d G F s I G Z v c m 1 1 b G E g Y 2 9 1 b n Q s O X 0 m c X V v d D s s J n F 1 b 3 Q 7 U 2 V j d G l v b j E v U H J p b 3 I g W W V h c i B B Z G p 1 c 3 R l Z C B G b 3 J t d W x h I G N v d W 5 0 c y 9 D a G F u Z 2 V k I F R 5 c G U u e 1 R v d G F s I E Z v c m 1 1 b G E g Q 2 9 1 b n Q g R E 9 F L D E w f S Z x d W 9 0 O y w m c X V v d D t T Z W N 0 a W 9 u M S 9 Q c m l v c i B Z Z W F y I E F k a n V z d G V k I E Z v c m 1 1 b G E g Y 2 9 1 b n R z L 0 N o Y W 5 n Z W Q g V H l w Z S 5 7 Q W R q I H B v d m V y d H k g c G V y Y 2 V u d G F n Z S w x M X 0 m c X V v d D s s J n F 1 b 3 Q 7 U 2 V j d G l v b j E v U H J p b 3 I g W W V h c i B B Z G p 1 c 3 R l Z C B G b 3 J t d W x h I G N v d W 5 0 c y 9 J b m l 0 a W F s X 2 F k a n V z d G V k X 2 Z v c m 1 1 b G F f Y 2 9 1 b n R f V G F i b G U u e 0 J B U 0 l D I G V s a W d p Y m l s a X R 5 L D E y f S Z x d W 9 0 O y w m c X V v d D t T Z W N 0 a W 9 u M S 9 Q c m l v c i B Z Z W F y I E F k a n V z d G V k I E Z v c m 1 1 b G E g Y 2 9 1 b n R z L 0 l u a X R p Y W x f Y W R q d X N 0 Z W R f Z m 9 y b X V s Y V 9 j b 3 V u d F 9 U Y W J s Z S 5 7 Q 2 9 u Y y 4 g R W x p Z 2 l n a W J p b G l 0 e S w x M 3 0 m c X V v d D s s J n F 1 b 3 Q 7 U 2 V j d G l v b j E v U H J p b 3 I g W W V h c i B B Z G p 1 c 3 R l Z C B G b 3 J t d W x h I G N v d W 5 0 c y 9 J b m l 0 a W F s X 2 F k a n V z d G V k X 2 Z v c m 1 1 b G F f Y 2 9 1 b n R f V G F i b G U u e 1 R h c m d l d G V k I E V s a W d p Y m l s a X R 5 L D E 0 f S Z x d W 9 0 O y w m c X V v d D t T Z W N 0 a W 9 u M S 9 Q c m l v c i B Z Z W F y I E F k a n V z d G V k I E Z v c m 1 1 b G E g Y 2 9 1 b n R z L 0 l u a X R p Y W x f Y W R q d X N 0 Z W R f Z m 9 y b X V s Y V 9 j b 3 V u d F 9 U Y W J s Z S 5 7 R U Z J R y B l b G l n a W J p b G l 0 e S w x N X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H J p b 3 I l M j B Z Z W F y J T I w Q W R q d X N 0 Z W Q l M j B G b 3 J t d W x h J T I w Y 2 9 1 b n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R S U y M E Z v c m 1 1 b G E l M j B j b 3 V u d H M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F e H B h b m R l Z C U y M E Z S U E w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R X h w Y W 5 k Z W Q l M j B G U l B M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N Z X J n Z W Q l M j B R d W V y a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F e H B h b m R l Z C U y M E N D R E R E J T J G T E V B a W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8 L 0 l 0 Z W 1 Q Y X R o P j w v S X R l b U x v Y 2 F 0 a W 9 u P j x T d G F i b G V F b n R y a W V z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S X N Q c m l 2 Y X R l I i B W Y W x 1 Z T 0 i b D A i I C 8 + P E V u d H J 5 I F R 5 c G U 9 I l F 1 Z X J 5 R 3 J v d X B J R C I g V m F s d W U 9 I n M x M T F j Y T g w O C 0 w N W V k L T Q 1 O T c t Y j U y M i 1 m M W Q 2 O T B k Z W U 1 O T A i I C 8 + P E V u d H J 5 I F R 5 c G U 9 I l J l Y 2 9 2 Z X J 5 V G F y Z 2 V 0 U 2 h l Z X Q i I F Z h b H V l P S J z c 3 V t a W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x I i A v P j x F b n R y e S B U e X B l P S J G a W x s T 2 J q Z W N 0 V H l w Z S I g V m F s d W U 9 I n N D b 2 5 u Z W N 0 a W 9 u T 2 5 s e S I g L z 4 8 R W 5 0 c n k g V H l w Z T 0 i T G 9 h Z G V k V G 9 B b m F s e X N p c 1 N l c n Z p Y 2 V z I i B W Y W x 1 Z T 0 i b D A i I C 8 + P E V u d H J 5 I F R 5 c G U 9 I l F 1 Z X J 5 S U Q i I F Z h b H V l P S J z N 2 N h M 2 Y w Y W Q t M W E 0 Y i 0 0 N G Q 5 L W J j N T E t M m E w M m U 2 M z M y Y 2 R j I i A v P j x F b n R y e S B U e X B l P S J G a W x s T G F z d F V w Z G F 0 Z W Q i I F Z h b H V l P S J k M j A y N S 0 w O C 0 w N F Q x N z o w N D o w N i 4 4 N D c 3 N z E x W i I g L z 4 8 R W 5 0 c n k g V H l w Z T 0 i R m l s b E N v b H V t b l R 5 c G V z I i B W Y W x 1 Z T 0 i c 0 J n V U Y i I C 8 + P E V u d H J 5 I F R 5 c G U 9 I k Z p b G x D b 2 x 1 b W 5 O Y W 1 l c y I g V m F s d W U 9 I n N b J n F 1 b 3 Q 7 U 2 V u Z G l u Z y B E a X N 0 c m l j d C B D Q 0 R E R C Z x d W 9 0 O y w m c X V v d D t T d W 1 U b 3 R h b F N 0 d W R l b n R z I G l u I H B v d m V y d H k m c X V v d D s s J n F 1 b 3 Q 7 U 3 V t V G 9 0 Y W x T d H V k Z W 5 0 c y Z x d W 9 0 O 1 0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s m c X V v d D t T Z W 5 k a W 5 n I E R p c 3 R y a W N 0 I E N D R E R E J n F 1 b 3 Q 7 X S w m c X V v d D t x d W V y e V J l b G F 0 a W 9 u c 2 h p c H M m c X V v d D s 6 W 1 0 s J n F 1 b 3 Q 7 Y 2 9 s d W 1 u S W R l b n R p d G l l c y Z x d W 9 0 O z p b J n F 1 b 3 Q 7 U 2 V j d G l v b j E v c 3 V t a W Y v R 3 J v d X B l Z C B S b 3 d z L n t T Z W 5 k a W 5 n I E R p c 3 R y a W N 0 I E N D R E R E L D B 9 J n F 1 b 3 Q 7 L C Z x d W 9 0 O 1 N l Y 3 R p b 2 4 x L 3 N 1 b W l m L 0 d y b 3 V w Z W Q g U m 9 3 c y 5 7 U 3 V t V G 9 0 Y W x T d H V k Z W 5 0 c y B p b i B w b 3 Z l c n R 5 L D F 9 J n F 1 b 3 Q 7 L C Z x d W 9 0 O 1 N l Y 3 R p b 2 4 x L 3 N 1 b W l m L 0 d y b 3 V w Z W Q g U m 9 3 c y 5 7 U 3 V t V G 9 0 Y W x T d H V k Z W 5 0 c y w y f S Z x d W 9 0 O 1 0 s J n F 1 b 3 Q 7 Q 2 9 s d W 1 u Q 2 9 1 b n Q m c X V v d D s 6 M y w m c X V v d D t L Z X l D b 2 x 1 b W 5 O Y W 1 l c y Z x d W 9 0 O z p b J n F 1 b 3 Q 7 U 2 V u Z G l u Z y B E a X N 0 c m l j d C B D Q 0 R E R C Z x d W 9 0 O 1 0 s J n F 1 b 3 Q 7 Q 2 9 s d W 1 u S W R l b n R p d G l l c y Z x d W 9 0 O z p b J n F 1 b 3 Q 7 U 2 V j d G l v b j E v c 3 V t a W Y v R 3 J v d X B l Z C B S b 3 d z L n t T Z W 5 k a W 5 n I E R p c 3 R y a W N 0 I E N D R E R E L D B 9 J n F 1 b 3 Q 7 L C Z x d W 9 0 O 1 N l Y 3 R p b 2 4 x L 3 N 1 b W l m L 0 d y b 3 V w Z W Q g U m 9 3 c y 5 7 U 3 V t V G 9 0 Y W x T d H V k Z W 5 0 c y B p b i B w b 3 Z l c n R 5 L D F 9 J n F 1 b 3 Q 7 L C Z x d W 9 0 O 1 N l Y 3 R p b 2 4 x L 3 N 1 b W l m L 0 d y b 3 V w Z W Q g U m 9 3 c y 5 7 U 3 V t V G 9 0 Y W x T d H V k Z W 5 0 c y w y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z d W 1 p Z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1 p Z i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v R X h w Y W 5 k Z W Q l M j B G U l B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1 p Z i 9 F e H B h b m R l Z C U y M E Z S U E w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1 p Z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W l m L 0 1 l c m d l Z C U y M F F 1 Z X J p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v R X h w Y W 5 k Z W Q l M j B D Q 0 R E R C U y R k x F Q W l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T W V y Z 2 V k J T I w U X V l c m l l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R X h w Y W 5 k Z W Q l M j B z d W 1 p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0 F k Z G V k J T I w Q 3 V z d G 9 t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1 b X B 0 a W 9 u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G a W x s V G F y Z 2 V 0 I i B W Y W x 1 Z T 0 i c 0 F z c 3 V t c H R p b 2 5 z I i A v P j x F b n R y e S B U e X B l P S J R d W V y e U l E I i B W Y W x 1 Z T 0 i c z Q 1 M z E y M G R h L W I x O W Y t N D k z O S 1 i Y z J m L T k 1 N z U 4 Y W M z Z D F j M S I g L z 4 8 R W 5 0 c n k g V H l w Z T 0 i U X V l c n l H c m 9 1 c E l E I i B W Y W x 1 Z T 0 i c 2 M z O W Z i M T h m L W E 1 N z c t N D A 4 N y 1 i Z m M 3 L W E x N W Z h Y T g 0 O T E y N C I g L z 4 8 R W 5 0 c n k g V H l w Z T 0 i U m V j b 3 Z l c n l U Y X J n Z X R T a G V l d C I g V m F s d W U 9 I n N B c 3 N 1 b X B 0 a W 9 u c y A i I C 8 + P E V u d H J 5 I F R 5 c G U 9 I l J l Y 2 9 2 Z X J 5 V G F y Z 2 V 0 Q 2 9 s d W 1 u I i B W Y W x 1 Z T 0 i b D M i I C 8 + P E V u d H J 5 I F R 5 c G U 9 I l J l Y 2 9 2 Z X J 5 V G F y Z 2 V 0 U m 9 3 I i B W Y W x 1 Z T 0 i b D E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i I C 8 + P E V u d H J 5 I F R 5 c G U 9 I k Z p b G x M Y X N 0 V X B k Y X R l Z C I g V m F s d W U 9 I m Q y M D I 1 L T A 4 L T A 0 V D E 5 O j Q 0 O j E w L j M z M j Y 0 N j N a I i A v P j x F b n R y e S B U e X B l P S J G a W x s Q 2 9 s d W 1 u V H l w Z X M i I F Z h b H V l P S J z Q U F B Q U F B Q U F C U T 0 9 I i A v P j x F b n R y e S B U e X B l P S J G a W x s Q 2 9 s d W 1 u T m F t Z X M i I F Z h b H V l P S J z W y Z x d W 9 0 O 0 N v b H V t b j E m c X V v d D s s J n F 1 b 3 Q 7 Q k F T S U M g R 1 J B T l R T J n F 1 b 3 Q 7 L C Z x d W 9 0 O 0 N P T k N F T l R S Q V R J T 0 4 g R 1 J B T l R T J n F 1 b 3 Q 7 L C Z x d W 9 0 O 1 R B U k d F V E V E I E d S Q U 5 U U y Z x d W 9 0 O y w m c X V v d D t F R k l H I E d S Q U 5 U U y Z x d W 9 0 O y w m c X V v d D t U T 1 R B T C B M R U E g R 1 J B T l R T J n F 1 b 3 Q 7 L C Z x d W 9 0 O 1 Q t S S B T d G F 0 Z S B B Z G 0 g I D E w M D Q o Y i k u V E l U T E U g S S w g U E F S V C B B I F R P V E F M I E x F Q S B H U k F O V F M m c X V v d D t d I i A v P j x F b n R y e S B U e X B l P S J B Z G R l Z F R v R G F 0 Y U 1 v Z G V s I i B W Y W x 1 Z T 0 i b D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z c 3 V t c H R p b 2 5 z L 1 N 0 Y X R l I F R h Y m x l I E Z Z I D I 1 I E Z p b m F s X 1 N o Z W V 0 L n t D b 2 x 1 b W 4 x L D B 9 J n F 1 b 3 Q 7 L C Z x d W 9 0 O 1 N l Y 3 R p b 2 4 x L 0 F z c 3 V t c H R p b 2 5 z L 1 N 0 Y X R l I F R h Y m x l I E Z Z I D I 1 I E Z p b m F s X 1 N o Z W V 0 L n t D b 2 x 1 b W 4 y L D F 9 J n F 1 b 3 Q 7 L C Z x d W 9 0 O 1 N l Y 3 R p b 2 4 x L 0 F z c 3 V t c H R p b 2 5 z L 1 N 0 Y X R l I F R h Y m x l I E Z Z I D I 1 I E Z p b m F s X 1 N o Z W V 0 L n t D b 2 x 1 b W 4 0 L D N 9 J n F 1 b 3 Q 7 L C Z x d W 9 0 O 1 N l Y 3 R p b 2 4 x L 0 F z c 3 V t c H R p b 2 5 z L 1 N 0 Y X R l I F R h Y m x l I E Z Z I D I 1 I E Z p b m F s X 1 N o Z W V 0 L n t D b 2 x 1 b W 4 2 L D V 9 J n F 1 b 3 Q 7 L C Z x d W 9 0 O 1 N l Y 3 R p b 2 4 x L 0 F z c 3 V t c H R p b 2 5 z L 1 N 0 Y X R l I F R h Y m x l I E Z Z I D I 1 I E Z p b m F s X 1 N o Z W V 0 L n t D b 2 x 1 b W 4 4 L D d 9 J n F 1 b 3 Q 7 L C Z x d W 9 0 O 1 N l Y 3 R p b 2 4 x L 0 F z c 3 V t c H R p b 2 5 z L 1 N 0 Y X R l I F R h Y m x l I E Z Z I D I 1 I E Z p b m F s X 1 N o Z W V 0 L n t D b 2 x 1 b W 4 x M C w 5 f S Z x d W 9 0 O y w m c X V v d D t T Z W N 0 a W 9 u M S 9 U L U k g U 3 R h d G U g Q W R t I C A x M D A 0 K G I p L 0 N o Y W 5 n Z W Q g V H l w Z S 5 7 V E l U T E U g S S w g U E F S V C B B I F R P V E F M I E x F Q S B H U k F O V F M s M X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Q X N z d W 1 w d G l v b n M v U 3 R h d G U g V G F i b G U g R l k g M j U g R m l u Y W x f U 2 h l Z X Q u e 0 N v b H V t b j E s M H 0 m c X V v d D s s J n F 1 b 3 Q 7 U 2 V j d G l v b j E v Q X N z d W 1 w d G l v b n M v U 3 R h d G U g V G F i b G U g R l k g M j U g R m l u Y W x f U 2 h l Z X Q u e 0 N v b H V t b j I s M X 0 m c X V v d D s s J n F 1 b 3 Q 7 U 2 V j d G l v b j E v Q X N z d W 1 w d G l v b n M v U 3 R h d G U g V G F i b G U g R l k g M j U g R m l u Y W x f U 2 h l Z X Q u e 0 N v b H V t b j Q s M 3 0 m c X V v d D s s J n F 1 b 3 Q 7 U 2 V j d G l v b j E v Q X N z d W 1 w d G l v b n M v U 3 R h d G U g V G F i b G U g R l k g M j U g R m l u Y W x f U 2 h l Z X Q u e 0 N v b H V t b j Y s N X 0 m c X V v d D s s J n F 1 b 3 Q 7 U 2 V j d G l v b j E v Q X N z d W 1 w d G l v b n M v U 3 R h d G U g V G F i b G U g R l k g M j U g R m l u Y W x f U 2 h l Z X Q u e 0 N v b H V t b j g s N 3 0 m c X V v d D s s J n F 1 b 3 Q 7 U 2 V j d G l v b j E v Q X N z d W 1 w d G l v b n M v U 3 R h d G U g V G F i b G U g R l k g M j U g R m l u Y W x f U 2 h l Z X Q u e 0 N v b H V t b j E w L D l 9 J n F 1 b 3 Q 7 L C Z x d W 9 0 O 1 N l Y 3 R p b 2 4 x L 1 Q t S S B T d G F 0 Z S B B Z G 0 g I D E w M D Q o Y i k v Q 2 h h b m d l Z C B U e X B l L n t U S V R M R S B J L C B Q Q V J U I E E g V E 9 U Q U w g T E V B I E d S Q U 5 U U y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N z d W 1 w d G l v b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z d W 1 w d G l v b n M v U m V t b 3 Z l Z C U y M F R v c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z d W 1 w d G l v b n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E 5 l d C U y M H R v J T I w Z G l z d H J p Y 3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U X V l c n l J R C I g V m F s d W U 9 I n N i O D N m M z B i N S 0 4 N j d m L T R i Z W E t Y T A y N i 0 x Z j F m Y W N k M 2 Q y N D I i I C 8 + P E V u d H J 5 I F R 5 c G U 9 I l F 1 Z X J 5 R 3 J v d X B J R C I g V m F s d W U 9 I n N j M z l m Y j E 4 Z i 1 h N T c 3 L T Q w O D c t Y m Z j N y 1 h M T V m Y W E 4 N D k x M j Q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H J p b 3 I g W W V h c i B O Z X Q g d G 8 g Z G l z d H J p Y 3 Q i I C 8 + P E V u d H J 5 I F R 5 c G U 9 I k Z p b G x U Y X J n Z X Q i I F Z h b H V l P S J z V G F i b G V f U H J p b 3 J f W W V h c l 9 O Z X R f d G 9 f Z G l z d H J p Y 3 Q i I C 8 + P E V u d H J 5 I F R 5 c G U 9 I k Z p b G x F c n J v c k N v d W 5 0 I i B W Y W x 1 Z T 0 i b D A i I C 8 + P E V u d H J 5 I F R 5 c G U 9 I k Z p b G x M Y X N 0 V X B k Y X R l Z C I g V m F s d W U 9 I m Q y M D I 1 L T A 4 L T A 0 V D E 3 O j A 0 O j A 2 L j g 3 M j M z O T J a I i A v P j x F b n R y e S B U e X B l P S J G a W x s R X J y b 3 J D b 2 R l I i B W Y W x 1 Z T 0 i c 1 V u a 2 5 v d 2 4 i I C 8 + P E V u d H J 5 I F R 5 c G U 9 I k Z p b G x D b 2 x 1 b W 5 U e X B l c y I g V m F s d W U 9 I n N C Z 1 l G Q l F V R k J R V U Z C U V V G Q X d N R i I g L z 4 8 R W 5 0 c n k g V H l w Z T 0 i R m l s b E N v b H V t b k 5 h b W V z I i B W Y W x 1 Z T 0 i c 1 s m c X V v d D t M R U F J R C Z x d W 9 0 O y w m c X V v d D t M R U F O Q U 1 F J n F 1 b 3 Q 7 L C Z x d W 9 0 O 0 J h c 2 l j I E J l Z m 9 y Z S B T d G F 0 Z S B S Z X N l c n Z h d G l v b n M m c X V v d D s s J n F 1 b 3 Q 7 Q 2 9 u Y 2 V u d H J h d G l v b i B C Z W Z v c m U g U 3 R h d G U g U m V z Z X J 2 Y X R p b 2 5 z J n F 1 b 3 Q 7 L C Z x d W 9 0 O 1 R h c m d l d G V k I E J l Z m 9 y Z S B T d G F 0 Z S B S Z X N l c n Z h d G l v b n M m c X V v d D s s J n F 1 b 3 Q 7 R U Z J R y B C Z W Z v c m U g U 3 R h d G U g U m V z Z X J 2 Y X R p b 2 5 z J n F 1 b 3 Q 7 L C Z x d W 9 0 O 1 R v d G F s I E J l Z m 9 y Z S B T d G F 0 Z S B S Z X N l c n Z h d G l v b n M m c X V v d D s s J n F 1 b 3 Q 7 Q W x s b 2 N h d G l v b i B h Z n R l c i B T Y 2 h v b 2 w g S W 1 w c m 9 2 Z W 1 u d C B I S C Z x d W 9 0 O y w m c X V v d D t O Z X Q g U 2 N o b 2 9 s I E l t c H J v d m V t Z W 5 0 I H R h a 2 V u I G 9 1 d C Z x d W 9 0 O y w m c X V v d D t T d G F 0 Z S B B Z G 1 p b i Z x d W 9 0 O y w m c X V v d D t N T 0 U g U m V k d W N 0 a W 9 u J n F 1 b 3 Q 7 L C Z x d W 9 0 O 0 5 F V C B U T y B E S V N U U k l D U y Z x d W 9 0 O y w m c X V v d D t B Z G o g L S A 1 L T E 3 I H B v c C Z x d W 9 0 O y w m c X V v d D t B Z G o g V G 9 0 Y W w g Z m 9 y b X V s Y S B j b 3 V u d C Z x d W 9 0 O y w m c X V v d D t B Z G o g c G 9 2 Z X J 0 e S B w Z X J j Z W 5 0 Y W d l J n F 1 b 3 Q 7 X S I g L z 4 8 R W 5 0 c n k g V H l w Z T 0 i R m l s b F N 0 Y X R 1 c y I g V m F s d W U 9 I n N D b 2 1 w b G V 0 Z S I g L z 4 8 R W 5 0 c n k g V H l w Z T 0 i R m l s b E N v d W 5 0 I i B W Y W x 1 Z T 0 i b D M x N i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a W 9 y I F l l Y X I g T m V 0 I H R v I G R p c 3 R y a W N 0 L 0 N o Y W 5 n Z W Q g V H l w Z T E u e 0 x F Q U l E L D B 9 J n F 1 b 3 Q 7 L C Z x d W 9 0 O 1 N l Y 3 R p b 2 4 x L 1 B y a W 9 y I F l l Y X I g T m V 0 I H R v I G R p c 3 R y a W N 0 L 0 N o Y W 5 n Z W Q g V H l w Z S 5 7 T E V B T k F N R S w x f S Z x d W 9 0 O y w m c X V v d D t T Z W N 0 a W 9 u M S 9 Q c m l v c i B Z Z W F y I E 5 l d C B 0 b y B k a X N 0 c m l j d C 9 D a G F u Z 2 V k I F R 5 c G U u e 0 N 1 c n J l b n Q g W W V h c i B C Y X N p Y y B C Z W Z v c m U g U 3 R h d G U g U m V z Z X J 2 Y X R p b 2 5 z L D R 9 J n F 1 b 3 Q 7 L C Z x d W 9 0 O 1 N l Y 3 R p b 2 4 x L 1 B y a W 9 y I F l l Y X I g T m V 0 I H R v I G R p c 3 R y a W N 0 L 0 N o Y W 5 n Z W Q g V H l w Z S 5 7 Q 3 V y c m V u d C B Z Z W F y I E N v b m N l b n R y Y X R p b 2 4 g Q m V m b 3 J l I F N 0 Y X R l I F J l c 2 V y d m F 0 a W 9 u c y w 1 f S Z x d W 9 0 O y w m c X V v d D t T Z W N 0 a W 9 u M S 9 Q c m l v c i B Z Z W F y I E 5 l d C B 0 b y B k a X N 0 c m l j d C 9 D a G F u Z 2 V k I F R 5 c G U u e 0 N 1 c n J l b n Q g W W V h c i B U Y X J n Z X R l Z C B C Z W Z v c m U g U 3 R h d G U g U m V z Z X J 2 Y X R p b 2 5 z L D Z 9 J n F 1 b 3 Q 7 L C Z x d W 9 0 O 1 N l Y 3 R p b 2 4 x L 1 B y a W 9 y I F l l Y X I g T m V 0 I H R v I G R p c 3 R y a W N 0 L 0 N o Y W 5 n Z W Q g V H l w Z S 5 7 Q 3 V y c m V u d C B Z Z W F y I E V G S U c g Q m V m b 3 J l I F N 0 Y X R l I F J l c 2 V y d m F 0 a W 9 u c y w 3 f S Z x d W 9 0 O y w m c X V v d D t T Z W N 0 a W 9 u M S 9 Q c m l v c i B Z Z W F y I E 5 l d C B 0 b y B k a X N 0 c m l j d C 9 D a G F u Z 2 V k I F R 5 c G U u e 0 N 1 c n J l b n Q g W W V h c i B U b 3 R h b C B C Z W Z v c m U g U 3 R h d G U g U m V z Z X J 2 Y X R p b 2 5 z L D h 9 J n F 1 b 3 Q 7 L C Z x d W 9 0 O 1 N l Y 3 R p b 2 4 x L 1 B y a W 9 y I F l l Y X I g T m V 0 I H R v I G R p c 3 R y a W N 0 L 0 N o Y W 5 n Z W Q g V H l w Z S 5 7 Q W x s b 2 N h d G l v b l 8 x M C w y M 3 0 m c X V v d D s s J n F 1 b 3 Q 7 U 2 V j d G l v b j E v U H J p b 3 I g W W V h c i B O Z X Q g d G 8 g Z G l z d H J p Y 3 Q v Q 2 h h b m d l Z C B U e X B l L n t O Z X Q g U 2 N o b 2 9 s I E l t c H J v d m V t Z W 5 0 I H R h a 2 V u I G 9 1 d C w y N H 0 m c X V v d D s s J n F 1 b 3 Q 7 U 2 V j d G l v b j E v U H J p b 3 I g W W V h c i B O Z X Q g d G 8 g Z G l z d H J p Y 3 Q v Q 2 h h b m d l Z C B U e X B l L n t T d G F 0 Z S B B Z G 1 p b i w y N X 0 m c X V v d D s s J n F 1 b 3 Q 7 U 2 V j d G l v b j E v U H J p b 3 I g W W V h c i B O Z X Q g d G 8 g Z G l z d H J p Y 3 Q v Q 2 h h b m d l Z C B U e X B l L n t N T 0 U g U m V k d W N 0 a W 9 u L D M w f S Z x d W 9 0 O y w m c X V v d D t T Z W N 0 a W 9 u M S 9 Q c m l v c i B Z Z W F y I E 5 l d C B 0 b y B k a X N 0 c m l j d C 9 D a G F u Z 2 V k I F R 5 c G U u e 0 5 F V C B U T y B E S V N U U k l D U y w z M X 0 m c X V v d D s s J n F 1 b 3 Q 7 U 2 V j d G l v b j E v U H J p b 3 I g W W V h c i B B Z G p 1 c 3 R l Z C B G b 3 J t d W x h I G N v d W 5 0 c y 9 D a G F u Z 2 V k I F R 5 c G U u e 0 F k a i A t I D U t M T c g c G 9 w L D d 9 J n F 1 b 3 Q 7 L C Z x d W 9 0 O 1 N l Y 3 R p b 2 4 x L 1 B y a W 9 y I F l l Y X I g Q W R q d X N 0 Z W Q g R m 9 y b X V s Y S B j b 3 V u d H M v Q 2 h h b m d l Z C B U e X B l L n t B Z G o g V G 9 0 Y W w g Z m 9 y b X V s Y S B j b 3 V u d C w 5 f S Z x d W 9 0 O y w m c X V v d D t T Z W N 0 a W 9 u M S 9 Q c m l v c i B Z Z W F y I E F k a n V z d G V k I E Z v c m 1 1 b G E g Y 2 9 1 b n R z L 0 N o Y W 5 n Z W Q g V H l w Z S 5 7 Q W R q I H B v d m V y d H k g c G V y Y 2 V u d G F n Z S w x M X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B y a W 9 y I F l l Y X I g T m V 0 I H R v I G R p c 3 R y a W N 0 L 0 N o Y W 5 n Z W Q g V H l w Z T E u e 0 x F Q U l E L D B 9 J n F 1 b 3 Q 7 L C Z x d W 9 0 O 1 N l Y 3 R p b 2 4 x L 1 B y a W 9 y I F l l Y X I g T m V 0 I H R v I G R p c 3 R y a W N 0 L 0 N o Y W 5 n Z W Q g V H l w Z S 5 7 T E V B T k F N R S w x f S Z x d W 9 0 O y w m c X V v d D t T Z W N 0 a W 9 u M S 9 Q c m l v c i B Z Z W F y I E 5 l d C B 0 b y B k a X N 0 c m l j d C 9 D a G F u Z 2 V k I F R 5 c G U u e 0 N 1 c n J l b n Q g W W V h c i B C Y X N p Y y B C Z W Z v c m U g U 3 R h d G U g U m V z Z X J 2 Y X R p b 2 5 z L D R 9 J n F 1 b 3 Q 7 L C Z x d W 9 0 O 1 N l Y 3 R p b 2 4 x L 1 B y a W 9 y I F l l Y X I g T m V 0 I H R v I G R p c 3 R y a W N 0 L 0 N o Y W 5 n Z W Q g V H l w Z S 5 7 Q 3 V y c m V u d C B Z Z W F y I E N v b m N l b n R y Y X R p b 2 4 g Q m V m b 3 J l I F N 0 Y X R l I F J l c 2 V y d m F 0 a W 9 u c y w 1 f S Z x d W 9 0 O y w m c X V v d D t T Z W N 0 a W 9 u M S 9 Q c m l v c i B Z Z W F y I E 5 l d C B 0 b y B k a X N 0 c m l j d C 9 D a G F u Z 2 V k I F R 5 c G U u e 0 N 1 c n J l b n Q g W W V h c i B U Y X J n Z X R l Z C B C Z W Z v c m U g U 3 R h d G U g U m V z Z X J 2 Y X R p b 2 5 z L D Z 9 J n F 1 b 3 Q 7 L C Z x d W 9 0 O 1 N l Y 3 R p b 2 4 x L 1 B y a W 9 y I F l l Y X I g T m V 0 I H R v I G R p c 3 R y a W N 0 L 0 N o Y W 5 n Z W Q g V H l w Z S 5 7 Q 3 V y c m V u d C B Z Z W F y I E V G S U c g Q m V m b 3 J l I F N 0 Y X R l I F J l c 2 V y d m F 0 a W 9 u c y w 3 f S Z x d W 9 0 O y w m c X V v d D t T Z W N 0 a W 9 u M S 9 Q c m l v c i B Z Z W F y I E 5 l d C B 0 b y B k a X N 0 c m l j d C 9 D a G F u Z 2 V k I F R 5 c G U u e 0 N 1 c n J l b n Q g W W V h c i B U b 3 R h b C B C Z W Z v c m U g U 3 R h d G U g U m V z Z X J 2 Y X R p b 2 5 z L D h 9 J n F 1 b 3 Q 7 L C Z x d W 9 0 O 1 N l Y 3 R p b 2 4 x L 1 B y a W 9 y I F l l Y X I g T m V 0 I H R v I G R p c 3 R y a W N 0 L 0 N o Y W 5 n Z W Q g V H l w Z S 5 7 Q W x s b 2 N h d G l v b l 8 x M C w y M 3 0 m c X V v d D s s J n F 1 b 3 Q 7 U 2 V j d G l v b j E v U H J p b 3 I g W W V h c i B O Z X Q g d G 8 g Z G l z d H J p Y 3 Q v Q 2 h h b m d l Z C B U e X B l L n t O Z X Q g U 2 N o b 2 9 s I E l t c H J v d m V t Z W 5 0 I H R h a 2 V u I G 9 1 d C w y N H 0 m c X V v d D s s J n F 1 b 3 Q 7 U 2 V j d G l v b j E v U H J p b 3 I g W W V h c i B O Z X Q g d G 8 g Z G l z d H J p Y 3 Q v Q 2 h h b m d l Z C B U e X B l L n t T d G F 0 Z S B B Z G 1 p b i w y N X 0 m c X V v d D s s J n F 1 b 3 Q 7 U 2 V j d G l v b j E v U H J p b 3 I g W W V h c i B O Z X Q g d G 8 g Z G l z d H J p Y 3 Q v Q 2 h h b m d l Z C B U e X B l L n t N T 0 U g U m V k d W N 0 a W 9 u L D M w f S Z x d W 9 0 O y w m c X V v d D t T Z W N 0 a W 9 u M S 9 Q c m l v c i B Z Z W F y I E 5 l d C B 0 b y B k a X N 0 c m l j d C 9 D a G F u Z 2 V k I F R 5 c G U u e 0 5 F V C B U T y B E S V N U U k l D U y w z M X 0 m c X V v d D s s J n F 1 b 3 Q 7 U 2 V j d G l v b j E v U H J p b 3 I g W W V h c i B B Z G p 1 c 3 R l Z C B G b 3 J t d W x h I G N v d W 5 0 c y 9 D a G F u Z 2 V k I F R 5 c G U u e 0 F k a i A t I D U t M T c g c G 9 w L D d 9 J n F 1 b 3 Q 7 L C Z x d W 9 0 O 1 N l Y 3 R p b 2 4 x L 1 B y a W 9 y I F l l Y X I g Q W R q d X N 0 Z W Q g R m 9 y b X V s Y S B j b 3 V u d H M v Q 2 h h b m d l Z C B U e X B l L n t B Z G o g V G 9 0 Y W w g Z m 9 y b X V s Y S B j b 3 V u d C w 5 f S Z x d W 9 0 O y w m c X V v d D t T Z W N 0 a W 9 u M S 9 Q c m l v c i B Z Z W F y I E F k a n V z d G V k I E Z v c m 1 1 b G E g Y 2 9 1 b n R z L 0 N o Y W 5 n Z W Q g V H l w Z S 5 7 Q W R q I H B v d m V y d H k g c G V y Y 2 V u d G F n Z S w x M X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H J p b 3 I l M j B Z Z W F y J T I w T m V 0 J T I w d G 8 l M j B k a X N 0 c m l j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L U k l M j B T d G F 0 Z S U y M E F k b S U y M C U y M D E w M D Q o Y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S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X V l c n l J R C I g V m F s d W U 9 I n N i Z W V i M z F k M C 1 j N D M 2 L T Q 3 Y j k t O D Q w Z i 1 j O G I 5 Z j B m N D A x N T g i I C 8 + P E V u d H J 5 I F R 5 c G U 9 I l F 1 Z X J 5 R 3 J v d X B J R C I g V m F s d W U 9 I n N j M z l m Y j E 4 Z i 1 h N T c 3 L T Q w O D c t Y m Z j N y 1 h M T V m Y W E 4 N D k x M j Q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N S 0 w O C 0 w N F Q x N z o w N D o w O C 4 2 N D E 2 M T c 5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V 2 I E Z p b i A g V C 1 J I F N 0 Y X R l I E F k b S A g M T A w N C h i K S 9 D a G F u Z 2 V k I F R 5 c G U x L n t D b 2 x 1 b W 4 x L D B 9 J n F 1 b 3 Q 7 L C Z x d W 9 0 O 1 N l Y 3 R p b 2 4 x L 1 J l d i B G a W 4 g I F Q t S S B T d G F 0 Z S B B Z G 0 g I D E w M D Q o Y i k v Q 2 h h b m d l Z C B U e X B l M S 5 7 V E l U T E U g S S w g U E F S V C B B I F R P V E F M I E x F Q S B H U k F O V F M s M X 0 m c X V v d D s s J n F 1 b 3 Q 7 U 2 V j d G l v b j E v U m V 2 I E Z p b i A g V C 1 J I F N 0 Y X R l I E F k b S A g M T A w N C h i K S 9 D a G F u Z 2 V k I F R 5 c G U x L n t U S V R M R S B J L C B Q Q V J U I E M g T U l H U k F O V C B F R F V D Q V R J T 0 4 g L D J 9 J n F 1 b 3 Q 7 L C Z x d W 9 0 O 1 N l Y 3 R p b 2 4 x L 1 J l d i B G a W 4 g I F Q t S S B T d G F 0 Z S B B Z G 0 g I D E w M D Q o Y i k v Q 2 h h b m d l Z C B U e X B l M S 5 7 V E l U T E U g S S w g U E F S V C B E L C B T V U J Q Q V J U I D E g U 1 R B V E U g T k V H T E V D V E V E I F x 1 M D A y N i B E R U x J T l F V R U 5 U I F B S T 0 d S Q U 0 g L D N 9 J n F 1 b 3 Q 7 L C Z x d W 9 0 O 1 N l Y 3 R p b 2 4 x L 1 J l d i B G a W 4 g I F Q t S S B T d G F 0 Z S B B Z G 0 g I D E w M D Q o Y i k v Q 2 h h b m d l Z C B U e X B l M S 5 7 V E 9 U Q U w g V E l U T E U g S S w g U E F S V F M g Q S w g Q y w g X H U w M D I 2 I E Q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m V 2 I E Z p b i A g V C 1 J I F N 0 Y X R l I E F k b S A g M T A w N C h i K S 9 D a G F u Z 2 V k I F R 5 c G U x L n t D b 2 x 1 b W 4 x L D B 9 J n F 1 b 3 Q 7 L C Z x d W 9 0 O 1 N l Y 3 R p b 2 4 x L 1 J l d i B G a W 4 g I F Q t S S B T d G F 0 Z S B B Z G 0 g I D E w M D Q o Y i k v Q 2 h h b m d l Z C B U e X B l M S 5 7 V E l U T E U g S S w g U E F S V C B B I F R P V E F M I E x F Q S B H U k F O V F M s M X 0 m c X V v d D s s J n F 1 b 3 Q 7 U 2 V j d G l v b j E v U m V 2 I E Z p b i A g V C 1 J I F N 0 Y X R l I E F k b S A g M T A w N C h i K S 9 D a G F u Z 2 V k I F R 5 c G U x L n t U S V R M R S B J L C B Q Q V J U I E M g T U l H U k F O V C B F R F V D Q V R J T 0 4 g L D J 9 J n F 1 b 3 Q 7 L C Z x d W 9 0 O 1 N l Y 3 R p b 2 4 x L 1 J l d i B G a W 4 g I F Q t S S B T d G F 0 Z S B B Z G 0 g I D E w M D Q o Y i k v Q 2 h h b m d l Z C B U e X B l M S 5 7 V E l U T E U g S S w g U E F S V C B E L C B T V U J Q Q V J U I D E g U 1 R B V E U g T k V H T E V D V E V E I F x 1 M D A y N i B E R U x J T l F V R U 5 U I F B S T 0 d S Q U 0 g L D N 9 J n F 1 b 3 Q 7 L C Z x d W 9 0 O 1 N l Y 3 R p b 2 4 x L 1 J l d i B G a W 4 g I F Q t S S B T d G F 0 Z S B B Z G 0 g I D E w M D Q o Y i k v Q 2 h h b m d l Z C B U e X B l M S 5 7 V E 9 U Q U w g V E l U T E U g S S w g U E F S V F M g Q S w g Q y w g X H U w M D I 2 I E Q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Q t S S U y M F N 0 Y X R l J T I w Q W R t J T I w J T I w M T A w N C h i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1 b X B 0 a W 9 u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1 b X B 0 a W 9 u c y 9 F e H B h b m R l Z C U y M F J l d i U y M E Z p b i U y M C U y M F Q t S S U y M F N 0 Y X R l J T I w Q W R t J T I w J T I w M T A w N C h i K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d G x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F 1 Z X J 5 R 3 J v d X B J R C I g V m F s d W U 9 I n N j M z l m Y j E 4 Z i 1 h N T c 3 L T Q w O D c t Y m Z j N y 1 h M T V m Y W E 4 N D k x M j Q i I C 8 + P E V u d H J 5 I F R 5 c G U 9 I l J l Y 2 9 2 Z X J 5 V G F y Z 2 V 0 U m 9 3 I i B W Y W x 1 Z T 0 i b D E i I C 8 + P E V u d H J 5 I F R 5 c G U 9 I l J l Y 2 9 2 Z X J 5 V G F y Z 2 V 0 Q 2 9 s d W 1 u I i B W Y W x 1 Z T 0 i b D I i I C 8 + P E V u d H J 5 I F R 5 c G U 9 I l J l Y 2 9 2 Z X J 5 V G F y Z 2 V 0 U 2 h l Z X Q i I F Z h b H V l P S J z Q X N z d W 1 w d G l v b n M g I i A v P j x F b n R y e S B U e X B l P S J M b 2 F k Z W R U b 0 F u Y W x 5 c 2 l z U 2 V y d m l j Z X M i I F Z h b H V l P S J s M C I g L z 4 8 R W 5 0 c n k g V H l w Z T 0 i R m l s b F R h c m d l d C I g V m F s d W U 9 I n N U a X R s Z S I g L z 4 8 R W 5 0 c n k g V H l w Z T 0 i U X V l c n l J R C I g V m F s d W U 9 I n M z O T l l N j Y 1 Z i 0 5 N D h l L T R k Z T E t O D R j Y S 0 4 N T E 1 N z R i N m V h N G E i I C 8 + P E V u d H J 5 I F R 5 c G U 9 I k Z p b G x M Y X N 0 V X B k Y X R l Z C I g V m F s d W U 9 I m Q y M D I 1 L T A 4 L T A 0 V D E 3 O j A 0 O j A 2 L j g 4 M z E x N j F a I i A v P j x F b n R y e S B U e X B l P S J G a W x s Q 2 9 s d W 1 u V H l w Z X M i I F Z h b H V l P S J z Q m c 9 P S I g L z 4 8 R W 5 0 c n k g V H l w Z T 0 i R m l s b E V y c m 9 y Q 2 9 1 b n Q i I F Z h b H V l P S J s M C I g L z 4 8 R W 5 0 c n k g V H l w Z T 0 i R m l s b E N v b H V t b k 5 h b W V z I i B W Y W x 1 Z T 0 i c 1 s m c X V v d D t D b 2 x 1 b W 4 x J n F 1 b 3 Q 7 X S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a X R s Z S 9 D a G F u Z 2 V k I F R 5 c G U u e 0 N v b H V t b j E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V G l 0 b G U v Q 2 h h b m d l Z C B U e X B l L n t D b 2 x 1 b W 4 x L D B 9 J n F 1 b 3 Q 7 X S w m c X V v d D t S Z W x h d G l v b n N o a X B J b m Z v J n F 1 b 3 Q 7 O l t d f S I g L z 4 8 R W 5 0 c n k g V H l w Z T 0 i R m l s b E N v d W 5 0 I i B W Y W x 1 Z T 0 i b D E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a X R s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R s Z S 9 L Z X B 0 J T I w R m l y c 3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h c n R l c k 9 u b H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b G 9 v a 2 J h Y 2 s 8 L 0 l 0 Z W 1 Q Y X R o P j w v S X R l b U x v Y 2 F 0 a W 9 u P j x T d G F i b G V F b n R y a W V z P j x F b n R y e S B U e X B l P S J J c 1 B y a X Z h d G U i I F Z h b H V l P S J s M C I g L z 4 8 R W 5 0 c n k g V H l w Z T 0 i U X V l c n l H c m 9 1 c E l E I i B W Y W x 1 Z T 0 i c 2 M z O W Z i M T h m L W E 1 N z c t N D A 4 N y 1 i Z m M 3 L W E x N W Z h Y T g 0 O T E y N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N i M D E 0 O W J m M i 0 w N T E w L T Q 2 M D k t Y W M 3 M i 1 j Z j I 1 M j g x Z D g 2 M j Q i I C 8 + P E V u d H J 5 I F R 5 c G U 9 I k Z p b G x M Y X N 0 V X B k Y X R l Z C I g V m F s d W U 9 I m Q y M D I 1 L T A 4 L T A 0 V D E 3 O j A 0 O j A 2 L j k w M j Y z M D d a I i A v P j x F b n R y e S B U e X B l P S J G a W x s Q 2 9 s d W 1 u V H l w Z X M i I F Z h b H V l P S J z Q m d Z R i I g L z 4 8 R W 5 0 c n k g V H l w Z T 0 i R m l s b E N v b H V t b k 5 h b W V z I i B W Y W x 1 Z T 0 i c 1 s m c X V v d D t M R U F J R C Z x d W 9 0 O y w m c X V v d D t N b 3 N 0 I H J l Y 2 V u d C B l b G l n a W J p b G l 0 e S B 5 Z W F y J n F 1 b 3 Q 7 L C Z x d W 9 0 O 0 N v b m M g Y W x s b 2 N h d G l v b i Z x d W 9 0 O 1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M x N y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Y y B s b 2 9 r Y m F j a y 9 D a G F u Z 2 V k I F R 5 c G U u e 0 x F Q U l E L D B 9 J n F 1 b 3 Q 7 L C Z x d W 9 0 O 1 N l Y 3 R p b 2 4 x L 0 N v b m M g b G 9 v a 2 J h Y 2 s v Q 2 h h b m d l Z C B U e X B l L n t N b 3 N 0 I H J l Y 2 V u d C B l b G l n a W J p b G l 0 e S B 5 Z W F y L D F 9 J n F 1 b 3 Q 7 L C Z x d W 9 0 O 1 N l Y 3 R p b 2 4 x L 0 N v b m M g b G 9 v a 2 J h Y 2 s v Q 2 h h b m d l Z C B U e X B l L n t D b 2 5 j I G F s b G 9 j Y X R p b 2 4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2 9 u Y y B s b 2 9 r Y m F j a y 9 D a G F u Z 2 V k I F R 5 c G U u e 0 x F Q U l E L D B 9 J n F 1 b 3 Q 7 L C Z x d W 9 0 O 1 N l Y 3 R p b 2 4 x L 0 N v b m M g b G 9 v a 2 J h Y 2 s v Q 2 h h b m d l Z C B U e X B l L n t N b 3 N 0 I H J l Y 2 V u d C B l b G l n a W J p b G l 0 e S B 5 Z W F y L D F 9 J n F 1 b 3 Q 7 L C Z x d W 9 0 O 1 N l Y 3 R p b 2 4 x L 0 N v b m M g b G 9 v a 2 J h Y 2 s v Q 2 h h b m d l Z C B U e X B l L n t D b 2 5 j I G F s b G 9 j Y X R p b 2 4 s M n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Q 2 9 u Y y U y M G x v b 2 t i Y W N r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D w v S X R l b V B h d G g + P C 9 J d G V t T G 9 j Y X R p b 2 4 + P F N 0 Y W J s Z U V u d H J p Z X M + P E V u d H J 5 I F R 5 c G U 9 I l F 1 Z X J 5 R 3 J v d X B J R C I g V m F s d W U 9 I n M 3 O T Q 5 N 2 R h O C 0 5 Z T I w L T Q 3 O T c t O T k x Y i 0 w Z W I 1 N j V m M j k 1 O T Q i I C 8 + P E V u d H J 5 I F R 5 c G U 9 I k Z p b G x F b m F i b G V k I i B W Y W x 1 Z T 0 i b D E i I C 8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E 2 M j Y x M W Q 4 L W Y y N z Q t N D U 1 N C 0 5 Y 2 M 3 L T J l O T g 2 Y j l m Y j d i M i I g L z 4 8 R W 5 0 c n k g V H l w Z T 0 i R m l s b F R v R G F 0 Y U 1 v Z G V s R W 5 h Y m x l Z C I g V m F s d W U 9 I m w x I i A v P j x F b n R y e S B U e X B l P S J G a W x s V G F y Z 2 V 0 I i B W Y W x 1 Z T 0 i c 0 l u a X R p Y W x f Y W R q d X N 0 Z W R f Z m 9 y b X V s Y V 9 j b 3 V u d C I g L z 4 8 R W 5 0 c n k g V H l w Z T 0 i R m l s b E 9 i a m V j d F R 5 c G U i I F Z h b H V l P S J z V G F i b G U i I C 8 + P E V u d H J 5 I F R 5 c G U 9 I k Z p b G x M Y X N 0 V X B k Y X R l Z C I g V m F s d W U 9 I m Q y M D I 1 L T A 4 L T A 0 V D E 3 O j A 0 O j A 2 L j k x N D A z N j B a I i A v P j x F b n R y e S B U e X B l P S J G a W x s Q 2 9 s d W 1 u V H l w Z X M i I F Z h b H V l P S J z Q U F B R 0 J R V U Z C U V V G Q l F V R U F B Q U F B Q T 0 9 I i A v P j x F b n R y e S B U e X B l P S J G a W x s Q 2 9 s d W 1 u T m F t Z X M i I F Z h b H V l P S J z W y Z x d W 9 0 O 0 x F Q U l E J n F 1 b 3 Q 7 L C Z x d W 9 0 O 0 x F Q U 5 B T U U m c X V v d D s s J n F 1 b 3 Q 7 U 2 V u Z G l u Z 0 x F Q W l k J n F 1 b 3 Q 7 L C Z x d W 9 0 O 0 5 F R y 4 g Y W R q J n F 1 b 3 Q 7 L C Z x d W 9 0 O 0 F k a i B E R U w u J n F 1 b 3 Q 7 L C Z x d W 9 0 O 0 F k a i B G b 3 N 0 Z X I m c X V v d D s s J n F 1 b 3 Q 7 Q W R q I F R B T k Y m c X V v d D s s J n F 1 b 3 Q 7 Q W R q I C 0 g N S 0 x N y B w b 3 A m c X V v d D s s J n F 1 b 3 Q 7 Q W R q I H B v d m V y d H k m c X V v d D s s J n F 1 b 3 Q 7 Q W R q I F R v d G F s I G Z v c m 1 1 b G E g Y 2 9 1 b n Q m c X V v d D s s J n F 1 b 3 Q 7 V G 9 0 Y W w g R m 9 y b X V s Y S B D b 3 V u d C B E T 0 U g J n F 1 b 3 Q 7 L C Z x d W 9 0 O 0 F k a i B w b 3 Z l c n R 5 I H B l c m N l b n R h Z 2 U m c X V v d D s s J n F 1 b 3 Q 7 Q k F T S U M g Z W x p Z 2 l i a W x p d H k m c X V v d D s s J n F 1 b 3 Q 7 Q 2 9 u Y y 4 g R W x p Z 2 l n a W J p b G l 0 e S Z x d W 9 0 O y w m c X V v d D t U Y X J n Z X R l Z C B F b G l n a W J p b G l 0 e S Z x d W 9 0 O y w m c X V v d D t F R k l H I G V s a W d p Y m l s a X R 5 J n F 1 b 3 Q 7 X S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E 1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W 5 p d G l h b C B h Z G p 1 c 3 R l Z C B m b 3 J t d W x h I G N v d W 5 0 L 0 N v b n N v b G l k Y X R l I E x F Q U l E L n t h Z G o g T E V B S U Q s M z N 9 J n F 1 b 3 Q 7 L C Z x d W 9 0 O 1 N l Y 3 R p b 2 4 x L 0 l u a X R p Y W w g Y W R q d X N 0 Z W Q g Z m 9 y b X V s Y S B j b 3 V u d C 9 D b 2 5 z b 2 x p Z G F 0 Z S B M R U F O Q U 1 F L n t M R U F O Q U 1 F L D M 0 f S Z x d W 9 0 O y w m c X V v d D t T Z W N 0 a W 9 u M S 9 N d W x 0 a X B s a W V y c y 9 T b 3 V y Y 2 U u e 1 N l b m R p b m d M R U F p Z C w y f S Z x d W 9 0 O y w m c X V v d D t T Z W N 0 a W 9 u M S 9 J b m l 0 a W F s I G F k a n V z d G V k I G Z v c m 1 1 b G E g Y 2 9 1 b n Q v Q 2 h h b m d l Z C B U e X B l M S 5 7 T k V H L i B h Z G o s M 3 0 m c X V v d D s s J n F 1 b 3 Q 7 U 2 V j d G l v b j E v S W 5 p d G l h b C B h Z G p 1 c 3 R l Z C B m b 3 J t d W x h I G N v d W 5 0 L 0 N o Y W 5 n Z W Q g V H l w Z T E u e 0 F k a i B E R U w u L D R 9 J n F 1 b 3 Q 7 L C Z x d W 9 0 O 1 N l Y 3 R p b 2 4 x L 0 l u a X R p Y W w g Y W R q d X N 0 Z W Q g Z m 9 y b X V s Y S B j b 3 V u d C 9 D a G F u Z 2 V k I F R 5 c G U x L n t B Z G o g R m 9 z d G V y L D V 9 J n F 1 b 3 Q 7 L C Z x d W 9 0 O 1 N l Y 3 R p b 2 4 x L 0 l u a X R p Y W w g Y W R q d X N 0 Z W Q g Z m 9 y b X V s Y S B j b 3 V u d C 9 D a G F u Z 2 V k I F R 5 c G U x L n t B Z G o g V E F O R i w 2 f S Z x d W 9 0 O y w m c X V v d D t T Z W N 0 a W 9 u M S 9 J b m l 0 a W F s I G F k a n V z d G V k I G Z v c m 1 1 b G E g Y 2 9 1 b n Q v Q 2 h h b m d l Z C B U e X B l M S 5 7 Q W R q I C 0 g N S 0 x N y B w b 3 A s N 3 0 m c X V v d D s s J n F 1 b 3 Q 7 U 2 V j d G l v b j E v S W 5 p d G l h b C B h Z G p 1 c 3 R l Z C B m b 3 J t d W x h I G N v d W 5 0 L 0 N o Y W 5 n Z W Q g V H l w Z T E u e 0 F k a i B w b 3 Z l c n R 5 L D h 9 J n F 1 b 3 Q 7 L C Z x d W 9 0 O 1 N l Y 3 R p b 2 4 x L 0 l u a X R p Y W w g Y W R q d X N 0 Z W Q g Z m 9 y b X V s Y S B j b 3 V u d C 9 D a G F u Z 2 V k I F R 5 c G U x L n t B Z G o g V G 9 0 Y W w g Z m 9 y b X V s Y S B j b 3 V u d C w 5 f S Z x d W 9 0 O y w m c X V v d D t T Z W N 0 a W 9 u M S 9 J b m l 0 a W F s I G F k a n V z d G V k I G Z v c m 1 1 b G E g Y 2 9 1 b n Q v Q 2 h h b m d l Z C B U e X B l M S 5 7 V G 9 0 Y W w g R m 9 y b X V s Y S B D b 3 V u d C B E T 0 U g L D E w f S Z x d W 9 0 O y w m c X V v d D t T Z W N 0 a W 9 u M S 9 J b m l 0 a W F s I G F k a n V z d G V k I G Z v c m 1 1 b G E g Y 2 9 1 b n Q v Q 2 h h b m d l Z C B U e X B l L n t B Z G o g c G 9 2 Z X J 0 e S B w Z X J j Z W 5 0 Y W d l L D I 4 f S Z x d W 9 0 O y w m c X V v d D t T Z W N 0 a W 9 u M S 9 J b m l 0 a W F s I G F k a n V z d G V k I G Z v c m 1 1 b G E g Y 2 9 1 b n Q v Q m F z a W M g Z W x p Z 2 l i a W x p d H k u e 0 J B U 0 l D I G V s a W d p Y m l s a X R 5 L D I 5 f S Z x d W 9 0 O y w m c X V v d D t T Z W N 0 a W 9 u M S 9 J b m l 0 a W F s I G F k a n V z d G V k I G Z v c m 1 1 b G E g Y 2 9 1 b n Q v Q 2 9 u Y y 4 g R W x p Z 2 l i a W x p d H k u e 0 N v b m M u I E V s a W d p Z 2 l i a W x p d H k s M z B 9 J n F 1 b 3 Q 7 L C Z x d W 9 0 O 1 N l Y 3 R p b 2 4 x L 0 l u a X R p Y W w g Y W R q d X N 0 Z W Q g Z m 9 y b X V s Y S B j b 3 V u d C 9 U Y X J n Z X R l Z C B l b G l n a W J p b G l 0 e S 5 7 V G F y Z 2 V 0 Z W Q g R W x p Z 2 l i a W x p d H k s M z F 9 J n F 1 b 3 Q 7 L C Z x d W 9 0 O 1 N l Y 3 R p b 2 4 x L 0 l u a X R p Y W w g Y W R q d X N 0 Z W Q g Z m 9 y b X V s Y S B j b 3 V u d C 9 F R k l H I G V s a W d p Y m l s a X R 5 L n t F R k l H I G V s a W d p Y m l s a X R 5 L D M y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S W 5 p d G l h b C B h Z G p 1 c 3 R l Z C B m b 3 J t d W x h I G N v d W 5 0 L 0 N v b n N v b G l k Y X R l I E x F Q U l E L n t h Z G o g T E V B S U Q s M z N 9 J n F 1 b 3 Q 7 L C Z x d W 9 0 O 1 N l Y 3 R p b 2 4 x L 0 l u a X R p Y W w g Y W R q d X N 0 Z W Q g Z m 9 y b X V s Y S B j b 3 V u d C 9 D b 2 5 z b 2 x p Z G F 0 Z S B M R U F O Q U 1 F L n t M R U F O Q U 1 F L D M 0 f S Z x d W 9 0 O y w m c X V v d D t T Z W N 0 a W 9 u M S 9 N d W x 0 a X B s a W V y c y 9 T b 3 V y Y 2 U u e 1 N l b m R p b m d M R U F p Z C w y f S Z x d W 9 0 O y w m c X V v d D t T Z W N 0 a W 9 u M S 9 J b m l 0 a W F s I G F k a n V z d G V k I G Z v c m 1 1 b G E g Y 2 9 1 b n Q v Q 2 h h b m d l Z C B U e X B l M S 5 7 T k V H L i B h Z G o s M 3 0 m c X V v d D s s J n F 1 b 3 Q 7 U 2 V j d G l v b j E v S W 5 p d G l h b C B h Z G p 1 c 3 R l Z C B m b 3 J t d W x h I G N v d W 5 0 L 0 N o Y W 5 n Z W Q g V H l w Z T E u e 0 F k a i B E R U w u L D R 9 J n F 1 b 3 Q 7 L C Z x d W 9 0 O 1 N l Y 3 R p b 2 4 x L 0 l u a X R p Y W w g Y W R q d X N 0 Z W Q g Z m 9 y b X V s Y S B j b 3 V u d C 9 D a G F u Z 2 V k I F R 5 c G U x L n t B Z G o g R m 9 z d G V y L D V 9 J n F 1 b 3 Q 7 L C Z x d W 9 0 O 1 N l Y 3 R p b 2 4 x L 0 l u a X R p Y W w g Y W R q d X N 0 Z W Q g Z m 9 y b X V s Y S B j b 3 V u d C 9 D a G F u Z 2 V k I F R 5 c G U x L n t B Z G o g V E F O R i w 2 f S Z x d W 9 0 O y w m c X V v d D t T Z W N 0 a W 9 u M S 9 J b m l 0 a W F s I G F k a n V z d G V k I G Z v c m 1 1 b G E g Y 2 9 1 b n Q v Q 2 h h b m d l Z C B U e X B l M S 5 7 Q W R q I C 0 g N S 0 x N y B w b 3 A s N 3 0 m c X V v d D s s J n F 1 b 3 Q 7 U 2 V j d G l v b j E v S W 5 p d G l h b C B h Z G p 1 c 3 R l Z C B m b 3 J t d W x h I G N v d W 5 0 L 0 N o Y W 5 n Z W Q g V H l w Z T E u e 0 F k a i B w b 3 Z l c n R 5 L D h 9 J n F 1 b 3 Q 7 L C Z x d W 9 0 O 1 N l Y 3 R p b 2 4 x L 0 l u a X R p Y W w g Y W R q d X N 0 Z W Q g Z m 9 y b X V s Y S B j b 3 V u d C 9 D a G F u Z 2 V k I F R 5 c G U x L n t B Z G o g V G 9 0 Y W w g Z m 9 y b X V s Y S B j b 3 V u d C w 5 f S Z x d W 9 0 O y w m c X V v d D t T Z W N 0 a W 9 u M S 9 J b m l 0 a W F s I G F k a n V z d G V k I G Z v c m 1 1 b G E g Y 2 9 1 b n Q v Q 2 h h b m d l Z C B U e X B l M S 5 7 V G 9 0 Y W w g R m 9 y b X V s Y S B D b 3 V u d C B E T 0 U g L D E w f S Z x d W 9 0 O y w m c X V v d D t T Z W N 0 a W 9 u M S 9 J b m l 0 a W F s I G F k a n V z d G V k I G Z v c m 1 1 b G E g Y 2 9 1 b n Q v Q 2 h h b m d l Z C B U e X B l L n t B Z G o g c G 9 2 Z X J 0 e S B w Z X J j Z W 5 0 Y W d l L D I 4 f S Z x d W 9 0 O y w m c X V v d D t T Z W N 0 a W 9 u M S 9 J b m l 0 a W F s I G F k a n V z d G V k I G Z v c m 1 1 b G E g Y 2 9 1 b n Q v Q m F z a W M g Z W x p Z 2 l i a W x p d H k u e 0 J B U 0 l D I G V s a W d p Y m l s a X R 5 L D I 5 f S Z x d W 9 0 O y w m c X V v d D t T Z W N 0 a W 9 u M S 9 J b m l 0 a W F s I G F k a n V z d G V k I G Z v c m 1 1 b G E g Y 2 9 1 b n Q v Q 2 9 u Y y 4 g R W x p Z 2 l i a W x p d H k u e 0 N v b m M u I E V s a W d p Z 2 l i a W x p d H k s M z B 9 J n F 1 b 3 Q 7 L C Z x d W 9 0 O 1 N l Y 3 R p b 2 4 x L 0 l u a X R p Y W w g Y W R q d X N 0 Z W Q g Z m 9 y b X V s Y S B j b 3 V u d C 9 U Y X J n Z X R l Z C B l b G l n a W J p b G l 0 e S 5 7 V G F y Z 2 V 0 Z W Q g R W x p Z 2 l i a W x p d H k s M z F 9 J n F 1 b 3 Q 7 L C Z x d W 9 0 O 1 N l Y 3 R p b 2 4 x L 0 l u a X R p Y W w g Y W R q d X N 0 Z W Q g Z m 9 y b X V s Y S B j b 3 V u d C 9 F R k l H I G V s a W d p Y m l s a X R 5 L n t F R k l H I G V s a W d p Y m l s a X R 5 L D M y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R X h w Y W 5 k Z W Q l M j B B c H B l b m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F k a i U y M D U t M T c l M j B w b 3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Q W R q J T I w c G 9 2 Z X J 0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B Z G o l M j B U b 3 R h b C U y M G Z v c m 1 1 b G E l M j B j b 3 V u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B Z G o l M j B w b 3 Z l c n R 5 J T I w c G V j Z W 5 0 Y W d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J h c 2 l j J T I w Z W x p Z 2 l i a W x p d H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Q 2 9 u Y y 4 l M j B F b G l n a W J p b G l 0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U Y X J n Z X R l Z C U y M G V s a W d p Y m l s a X R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V G S U c l M j B l b G l n a W J p b G l 0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t b 3 V u d C U y M H B l c i U y M E Z v c m 1 1 b G E l M j B z d H V k Z W 5 0 P C 9 J d G V t U G F 0 a D 4 8 L 0 l 0 Z W 1 M b 2 N h d G l v b j 4 8 U 3 R h Y m x l R W 5 0 c m l l c z 4 8 R W 5 0 c n k g V H l w Z T 0 i U X V l c n l H c m 9 1 c E l E I i B W Y W x 1 Z T 0 i c z c 5 N D k 3 Z G E 4 L T l l M j A t N D c 5 N y 0 5 O T F i L T B l Y j U 2 N W Y y O T U 5 N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F 1 Z X J 5 S U Q i I F Z h b H V l P S J z M j h m M j N h N j I t M G J i M i 0 0 O T B k L W E 5 N G Q t M z h k Y T k 0 N z M 2 Z W Y 4 I i A v P j x F b n R y e S B U e X B l P S J G a W x s T G F z d F V w Z G F 0 Z W Q i I F Z h b H V l P S J k M j A y N S 0 w O C 0 w N F Q x N z o w N D o w N i 4 5 M z E 2 N j k 1 W i I g L z 4 8 R W 5 0 c n k g V H l w Z T 0 i R m l s b E N v b H V t b l R 5 c G V z I i B W Y W x 1 Z T 0 i c 0 J n W U F B Q U F B I i A v P j x F b n R y e S B U e X B l P S J G a W x s Q 2 9 s d W 1 u T m F t Z X M i I F Z h b H V l P S J z W y Z x d W 9 0 O 0 x F Q W l k J n F 1 b 3 Q 7 L C Z x d W 9 0 O 0 x F Q U 5 h b W U m c X V v d D s s J n F 1 b 3 Q 7 Q m F z a W M g Q W 1 v d W 5 0 I H B l c i B m b 3 J t d W x h I H N 0 d W R l b n Q m c X V v d D s s J n F 1 b 3 Q 7 Q 2 9 u Y y 4 g Q W 1 v d W 5 0 I H B l c i B G b 3 J t d W x h I F N 0 d W R l b n Q m c X V v d D s s J n F 1 b 3 Q 7 V G F y Z 2 V 0 Z W Q g Q W 1 v d W 5 0 I H B l c i B G b 3 J t d W x h I F N 0 d W R l b n Q m c X V v d D s s J n F 1 b 3 Q 7 R U Z J R y B B b W 9 1 b n Q g c G V y I E Z v c m 1 1 b G E g U 3 R 1 Z G V u d C Z x d W 9 0 O 1 0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w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9 F I E F s b G 9 j Y X R p b 2 4 v Q 2 h h b m d l Z C B U e X B l L n t M R U F p Z C w w f S Z x d W 9 0 O y w m c X V v d D t T Z W N 0 a W 9 u M S 9 E T 0 U g Q W x s b 2 N h d G l v b i 9 D a G F u Z 2 V k I F R 5 c G U u e 0 x F Q U 5 h b W U s M X 0 m c X V v d D s s J n F 1 b 3 Q 7 U 2 V j d G l v b j E v Q W 1 v d W 5 0 I H B l c i B G b 3 J t d W x h I H N 0 d W R l b n Q v Q m F z a W M g Q W 1 v d W 5 0 I H B l c i B G b 3 J t d W x h I F N 0 d W R l b n Q u e 0 J h c 2 l j I E F t b 3 V u d C B w Z X I g Z m 9 y b X V s Y S B z d H V k Z W 5 0 L D E 1 f S Z x d W 9 0 O y w m c X V v d D t T Z W N 0 a W 9 u M S 9 B b W 9 1 b n Q g c G V y I E Z v c m 1 1 b G E g c 3 R 1 Z G V u d C 9 D b 2 5 j L i B B b W 9 1 b n Q g c G V y I E Z v c m 1 1 b G E g U 3 R 1 Z G V u d C 5 7 Q 2 9 u Y y 4 g Q W 1 v d W 5 0 I H B l c i B G b 3 J t d W x h I F N 0 d W R l b n Q s M T Z 9 J n F 1 b 3 Q 7 L C Z x d W 9 0 O 1 N l Y 3 R p b 2 4 x L 0 F t b 3 V u d C B w Z X I g R m 9 y b X V s Y S B z d H V k Z W 5 0 L 1 R h c m d l d G V k I E F t b 3 V u d C B w Z X I g R m 9 y b X V s Y S B T d H V k Z W 5 0 L n t U Y X J n Z X R l Z C B B b W 9 1 b n Q g c G V y I E Z v c m 1 1 b G E g U 3 R 1 Z G V u d C w x N 3 0 m c X V v d D s s J n F 1 b 3 Q 7 U 2 V j d G l v b j E v Q W 1 v d W 5 0 I H B l c i B G b 3 J t d W x h I H N 0 d W R l b n Q v R U Z J R y B B b W 9 1 b n Q g c G V y I E Z v c m 1 1 b G E g U 3 R 1 Z G V u d C 5 7 R U Z J R y B B b W 9 1 b n Q g c G V y I E Z v c m 1 1 b G E g U 3 R 1 Z G V u d C w x O H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R E 9 F I E F s b G 9 j Y X R p b 2 4 v Q 2 h h b m d l Z C B U e X B l L n t M R U F p Z C w w f S Z x d W 9 0 O y w m c X V v d D t T Z W N 0 a W 9 u M S 9 E T 0 U g Q W x s b 2 N h d G l v b i 9 D a G F u Z 2 V k I F R 5 c G U u e 0 x F Q U 5 h b W U s M X 0 m c X V v d D s s J n F 1 b 3 Q 7 U 2 V j d G l v b j E v Q W 1 v d W 5 0 I H B l c i B G b 3 J t d W x h I H N 0 d W R l b n Q v Q m F z a W M g Q W 1 v d W 5 0 I H B l c i B G b 3 J t d W x h I F N 0 d W R l b n Q u e 0 J h c 2 l j I E F t b 3 V u d C B w Z X I g Z m 9 y b X V s Y S B z d H V k Z W 5 0 L D E 1 f S Z x d W 9 0 O y w m c X V v d D t T Z W N 0 a W 9 u M S 9 B b W 9 1 b n Q g c G V y I E Z v c m 1 1 b G E g c 3 R 1 Z G V u d C 9 D b 2 5 j L i B B b W 9 1 b n Q g c G V y I E Z v c m 1 1 b G E g U 3 R 1 Z G V u d C 5 7 Q 2 9 u Y y 4 g Q W 1 v d W 5 0 I H B l c i B G b 3 J t d W x h I F N 0 d W R l b n Q s M T Z 9 J n F 1 b 3 Q 7 L C Z x d W 9 0 O 1 N l Y 3 R p b 2 4 x L 0 F t b 3 V u d C B w Z X I g R m 9 y b X V s Y S B z d H V k Z W 5 0 L 1 R h c m d l d G V k I E F t b 3 V u d C B w Z X I g R m 9 y b X V s Y S B T d H V k Z W 5 0 L n t U Y X J n Z X R l Z C B B b W 9 1 b n Q g c G V y I E Z v c m 1 1 b G E g U 3 R 1 Z G V u d C w x N 3 0 m c X V v d D s s J n F 1 b 3 Q 7 U 2 V j d G l v b j E v Q W 1 v d W 5 0 I H B l c i B G b 3 J t d W x h I H N 0 d W R l b n Q v R U Z J R y B B b W 9 1 b n Q g c G V y I E Z v c m 1 1 b G E g U 3 R 1 Z G V u d C 5 7 R U Z J R y B B b W 9 1 b n Q g c G V y I E Z v c m 1 1 b G E g U 3 R 1 Z G V u d C w x O H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Q W 1 v d W 5 0 J T I w c G V y J T I w R m 9 y b X V s Y S U y M H N 0 d W R l b n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1 v d W 5 0 J T I w c G V y J T I w R m 9 y b X V s Y S U y M H N 0 d W R l b n Q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t b 3 V u d C U y M H B l c i U y M E Z v c m 1 1 b G E l M j B z d H V k Z W 5 0 L 0 V 4 c G F u Z G V k J T I w R E 9 F J T I w R m 9 y b X V s Y S U y M G N v d W 5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B Z G R l Z C U y M E N 1 c 3 R v b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Q W R k Z W Q l M j B D d X N 0 b 2 0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0 N o Y W 5 n Z W Q l M j B U e X B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B Z G R l Z C U y M E N 1 c 3 R v b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Q 2 h h b m d l Z C U y M F R 5 c G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R d W V y e U l E I i B W Y W x 1 Z T 0 i c z g 2 Z m Y 3 Z T V k L W I 3 Y j k t N D g 0 O C 1 h M z E 2 L T c 4 N z E 3 Y j N h N T A 1 Z i I g L z 4 8 R W 5 0 c n k g V H l w Z T 0 i U m V j b 3 Z l c n l U Y X J n Z X R T a G V l d C I g V m F s d W U 9 I n N E a X N 0 c m l j d H M g T X V s d G l w b G l l c i I g L z 4 8 R W 5 0 c n k g V H l w Z T 0 i U X V l c n l H c m 9 1 c E l E I i B W Y W x 1 Z T 0 i c z E x M W N h O D A 4 L T A 1 Z W Q t N D U 5 N y 1 i N T I y L W Y x Z D Y 5 M G R l Z T U 5 M C I g L z 4 8 R W 5 0 c n k g V H l w Z T 0 i R m l s b F R v R G F 0 Y U 1 v Z G V s R W 5 h Y m x l Z C I g V m F s d W U 9 I m w x I i A v P j x F b n R y e S B U e X B l P S J G a W x s T 2 J q Z W N 0 V H l w Z S I g V m F s d W U 9 I n N U Y W J s Z S I g L z 4 8 R W 5 0 c n k g V H l w Z T 0 i R m l s b F R h c m d l d C I g V m F s d W U 9 I n N N d W x 0 a X B s a W V y c y I g L z 4 8 R W 5 0 c n k g V H l w Z T 0 i R m l s b E x h c 3 R V c G R h d G V k I i B W Y W x 1 Z T 0 i Z D I w M j U t M D g t M D R U M T c 6 M D Q 6 M D Y u N z U 0 N z E 0 M 1 o i I C 8 + P E V u d H J 5 I F R 5 c G U 9 I k Z p b G x D b 2 x 1 b W 5 U e X B l c y I g V m F s d W U 9 I n N C Z 1 l H Q U F Z Q U F B U U U i I C 8 + P E V u d H J 5 I F R 5 c G U 9 I k Z p b G x D b 2 x 1 b W 5 O Y W 1 l c y I g V m F s d W U 9 I n N b J n F 1 b 3 Q 7 Q 0 N E R E Q m c X V v d D s s J n F 1 b 3 Q 7 R G l z d H J p Y 3 R O Y W 1 l J n F 1 b 3 Q 7 L C Z x d W 9 0 O 1 N l b m R p b m d M R U F p Z C Z x d W 9 0 O y w m c X V v d D t E a X N 0 c m l j d F R 5 c G U m c X V v d D s s J n F 1 b 3 Q 7 T E V B a W Q m c X V v d D s s J n F 1 b 3 Q 7 S X N O Z X c m c X V v d D s s J n F 1 b 3 Q 7 S X N F e H B h b m R l Z C Z x d W 9 0 O y w m c X V v d D t w b 3 Z l c n R 5 I E 1 1 b H R p c G x p Z X I m c X V v d D s s J n F 1 b 3 Q 7 R W 5 y b 2 x s b W V u d C B t d W x 0 a X B s a W V y J n F 1 b 3 Q 7 X S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j k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y Z x d W 9 0 O 0 N D R E R E J n F 1 b 3 Q 7 X S w m c X V v d D t x d W V y e V J l b G F 0 a W 9 u c 2 h p c H M m c X V v d D s 6 W 1 0 s J n F 1 b 3 Q 7 Y 2 9 s d W 1 u S W R l b n R p d G l l c y Z x d W 9 0 O z p b J n F 1 b 3 Q 7 U 2 V j d G l v b j E v T X V s d G l w b G l l c n M v Q 2 h h b m d l Z C B U e X B l L n t D Q 0 R E R C w w f S Z x d W 9 0 O y w m c X V v d D t T Z W N 0 a W 9 u M S 9 N d W x 0 a X B s a W V y c y 9 T b 3 V y Y 2 U u e 0 R p c 3 R y a W N 0 T m F t Z S w x f S Z x d W 9 0 O y w m c X V v d D t T Z W N 0 a W 9 u M S 9 N d W x 0 a X B s a W V y c y 9 T b 3 V y Y 2 U u e 1 N l b m R p b m d M R U F p Z C w y f S Z x d W 9 0 O y w m c X V v d D t T Z W N 0 a W 9 u M S 9 N d W x 0 a X B s a W V y c y 9 T b 3 V y Y 2 U u e 0 R p c 3 R y a W N 0 V H l w Z S w z f S Z x d W 9 0 O y w m c X V v d D t T Z W N 0 a W 9 u M S 9 N d W x 0 a X B s a W V y c y 9 D a G F u Z 2 V k I F R 5 c G U u e 0 x F Q W l k L D R 9 J n F 1 b 3 Q 7 L C Z x d W 9 0 O 1 N l Y 3 R p b 2 4 x L 0 1 1 b H R p c G x p Z X J z L 1 N v d X J j Z S 5 7 S X N O Z X c s N X 0 m c X V v d D s s J n F 1 b 3 Q 7 U 2 V j d G l v b j E v T X V s d G l w b G l l c n M v U 2 9 1 c m N l L n t J c 0 V 4 c G F u Z G V k L D Z 9 J n F 1 b 3 Q 7 L C Z x d W 9 0 O 1 N l Y 3 R p b 2 4 x L 0 1 1 b H R p c G x p Z X J z L 0 N o Y W 5 n Z W Q g V H l w Z T E u e 3 B v d m V y d H k g T X V s d G l w b G l l c i w x M X 0 m c X V v d D s s J n F 1 b 3 Q 7 U 2 V j d G l v b j E v T X V s d G l w b G l l c n M v Q 2 h h b m d l Z C B U e X B l M S 5 7 R W 5 y b 2 x s b W V u d C B t d W x 0 a X B s a W V y L D E y f S Z x d W 9 0 O 1 0 s J n F 1 b 3 Q 7 Q 2 9 s d W 1 u Q 2 9 1 b n Q m c X V v d D s 6 O S w m c X V v d D t L Z X l D b 2 x 1 b W 5 O Y W 1 l c y Z x d W 9 0 O z p b J n F 1 b 3 Q 7 Q 0 N E R E Q m c X V v d D t d L C Z x d W 9 0 O 0 N v b H V t b k l k Z W 5 0 a X R p Z X M m c X V v d D s 6 W y Z x d W 9 0 O 1 N l Y 3 R p b 2 4 x L 0 1 1 b H R p c G x p Z X J z L 0 N o Y W 5 n Z W Q g V H l w Z S 5 7 Q 0 N E R E Q s M H 0 m c X V v d D s s J n F 1 b 3 Q 7 U 2 V j d G l v b j E v T X V s d G l w b G l l c n M v U 2 9 1 c m N l L n t E a X N 0 c m l j d E 5 h b W U s M X 0 m c X V v d D s s J n F 1 b 3 Q 7 U 2 V j d G l v b j E v T X V s d G l w b G l l c n M v U 2 9 1 c m N l L n t T Z W 5 k a W 5 n T E V B a W Q s M n 0 m c X V v d D s s J n F 1 b 3 Q 7 U 2 V j d G l v b j E v T X V s d G l w b G l l c n M v U 2 9 1 c m N l L n t E a X N 0 c m l j d F R 5 c G U s M 3 0 m c X V v d D s s J n F 1 b 3 Q 7 U 2 V j d G l v b j E v T X V s d G l w b G l l c n M v Q 2 h h b m d l Z C B U e X B l L n t M R U F p Z C w 0 f S Z x d W 9 0 O y w m c X V v d D t T Z W N 0 a W 9 u M S 9 N d W x 0 a X B s a W V y c y 9 T b 3 V y Y 2 U u e 0 l z T m V 3 L D V 9 J n F 1 b 3 Q 7 L C Z x d W 9 0 O 1 N l Y 3 R p b 2 4 x L 0 1 1 b H R p c G x p Z X J z L 1 N v d X J j Z S 5 7 S X N F e H B h b m R l Z C w 2 f S Z x d W 9 0 O y w m c X V v d D t T Z W N 0 a W 9 u M S 9 N d W x 0 a X B s a W V y c y 9 D a G F u Z 2 V k I F R 5 c G U x L n t w b 3 Z l c n R 5 I E 1 1 b H R p c G x p Z X I s M T F 9 J n F 1 b 3 Q 7 L C Z x d W 9 0 O 1 N l Y 3 R p b 2 4 x L 0 1 1 b H R p c G x p Z X J z L 0 N o Y W 5 n Z W Q g V H l w Z T E u e 0 V u c m 9 s b G 1 l b n Q g b X V s d G l w b G l l c i w x M n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T X V s d G l w b G l l c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X V s d G l w b G l l c n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y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1 b H R p c G x p Z X J z L 0 V 4 c G F u Z G V k J T I w U 3 B s a X Q l M j B D Y W x j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1 b H R p c G x p Z X J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y 9 F e H B h b m R l Z C U y M F N w b G l 0 J T I w Q 2 F s Y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1 b H R p c G x p Z X J z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1 b H R p c G x p Z X J z L 1 J l b W 9 2 Z W Q l M j B E d X B s a W N h d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N v b n N v b G l k Y X R l J T I w T E V B S U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Q 2 9 u c 2 9 s a W R h d G U l M j B M R U F O Q U 1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1 J l b m F t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1 b H R p c G x p Z X J z L 0 V u c m 9 s b G 1 l b n Q l M j B t d W x 0 a X B s a W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X V s d G l w b G l l c n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y 9 Q b 3 Z l c n R 5 J T I w T X V s d G l w b G l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1 b H R p c G x p Z X J z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t b 3 V u d C U y M H B l c i U y M E Z v c m 1 1 b G E l M j B z d H V k Z W 5 0 L 0 J h c 2 l j J T I w Q W 1 v d W 5 0 J T I w c G V y J T I w R m 9 y b X V s Y S U y M F N 0 d W R l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W 9 1 b n Q l M j B w Z X I l M j B G b 3 J t d W x h J T I w c 3 R 1 Z G V u d C 9 D b 2 5 j L i U y M E F t b 3 V u d C U y M H B l c i U y M E Z v c m 1 1 b G E l M j B T d H V k Z W 5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1 v d W 5 0 J T I w c G V y J T I w R m 9 y b X V s Y S U y M H N 0 d W R l b n Q v V G F y Z 2 V 0 Z W Q l M j B B b W 9 1 b n Q l M j B w Z X I l M j B G b 3 J t d W x h J T I w U 3 R 1 Z G V u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t b 3 V u d C U y M H B l c i U y M E Z v c m 1 1 b G E l M j B z d H V k Z W 5 0 L 0 V G S U c l M j B B b W 9 1 b n Q l M j B w Z X I l M j B G b 3 J t d W x h J T I w U 3 R 1 Z G V u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t b 3 V u d C U y M H B l c i U y M E Z v c m 1 1 b G E l M j B z d H V k Z W 5 0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1 R v d G F s J T I w R m 9 y b X V s Y S U y M E N v d W 5 0 J T I w R E 9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8 L 0 l 0 Z W 1 Q Y X R o P j w v S X R l b U x v Y 2 F 0 a W 9 u P j x T d G F i b G V F b n R y a W V z P j x F b n R y e S B U e X B l P S J R d W V y e U d y b 3 V w S U Q i I F Z h b H V l P S J z N z k 0 O T d k Y T g t O W U y M C 0 0 N z k 3 L T k 5 M W I t M G V i N T Y 1 Z j I 5 N T k 0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N h M D d h M z V m N S 0 y N z k 1 L T Q 3 M D I t O W Q 2 O S 1 j Y W Y w O T c z Z W J j M D E i I C 8 + P E V u d H J 5 I F R 5 c G U 9 I k Z p b G x U Y X J n Z X Q i I F Z h b H V l P S J z S W 5 p d G l h b F 9 h Z G p 1 c 3 R l Z F 9 h b G x v Y 2 F 0 a W 9 u c y I g L z 4 8 R W 5 0 c n k g V H l w Z T 0 i R m l s b E x h c 3 R V c G R h d G V k I i B W Y W x 1 Z T 0 i Z D I w M j U t M D g t M D R U M T c 6 M D Q 6 M D Y u O T Q 1 N D E 5 O F o i I C 8 + P E V u d H J 5 I F R 5 c G U 9 I k Z p b G x D b 2 x 1 b W 5 U e X B l c y I g V m F s d W U 9 I n N B Q U F G Q l F V R k J R V U Z C U V V G I i A v P j x F b n R y e S B U e X B l P S J G a W x s Q 2 9 s d W 1 u T m F t Z X M i I F Z h b H V l P S J z W y Z x d W 9 0 O 0 x F Q U l E J n F 1 b 3 Q 7 L C Z x d W 9 0 O 0 x F Q U 5 B T U U m c X V v d D s s J n F 1 b 3 Q 7 Q k F T S U M g S G 9 s Z C B I Y X J t b G V z c y B i Y X N l I C h Q c m l v c i B 5 Z W F y I G F k a n V z d G V k I G F s b G 9 j K S Z x d W 9 0 O y w m c X V v d D t D b 2 5 j I E h v b G Q g S G F y b W x l c 3 M g Q m F z Z S A o I D Q g e W V h c i B s b 2 9 r Y m F j a y k m c X V v d D s s J n F 1 b 3 Q 7 V E F S R 0 V U R U Q g S G 9 s Z C B I Y X J t b G V z c y B C Y X N l I C h Q c m l v c i B Z Z W F y I G F k a n V z d G V k I G F s b G 9 j K S Z x d W 9 0 O y w m c X V v d D t F R k l H I E h v b G Q g S G F y b W x l c 3 M g Y m F z Z S A o U H J p b 3 I g W W V h c i B h Z G p 1 c 3 R l Z C B h b G x v Y y k m c X V v d D s s J n F 1 b 3 Q 7 V G 9 0 Y W w g S G 9 s Z C B I Y X J t b G V z c y B i Y X N l J n F 1 b 3 Q 7 L C Z x d W 9 0 O 0 F k a i B C Y X N p Y y B B b G x v Y 2 F 0 a W 9 u I C Z x d W 9 0 O y w m c X V v d D t B Z G o g Q 2 9 u Y y 4 g Q W x s b 2 N h d G l v b i A m c X V v d D s s J n F 1 b 3 Q 7 Q W R q I F R h c m d l d G V k I G F s b G 9 j Y X R p b 2 4 m c X V v d D s s J n F 1 b 3 Q 7 Q W R q I E V G S U c g Q W x s b 2 N h d G l v b i Z x d W 9 0 O y w m c X V v d D t B Z G o g V G 9 0 Y W w g V G l 0 b G U g S S B B b G x v Y 2 F 0 a W 9 u I C Z x d W 9 0 O 1 0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x N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u a X R p Y W w g Y W R q d X N 0 Z W Q g Z m 9 y b X V s Y S B j b 3 V u d C 9 D b 2 5 z b 2 x p Z G F 0 Z S B M R U F J R C 5 7 Y W R q I E x F Q U l E L D M z f S Z x d W 9 0 O y w m c X V v d D t T Z W N 0 a W 9 u M S 9 J b m l 0 a W F s I G F k a n V z d G V k I G Z v c m 1 1 b G E g Y 2 9 1 b n Q v Q 2 9 u c 2 9 s a W R h d G U g T E V B T k F N R S 5 7 T E V B T k F N R S w z N H 0 m c X V v d D s s J n F 1 b 3 Q 7 U 2 V j d G l v b j E v S W 5 p d G l h b C B h Z G p 1 c 3 R l Z C B h b G x v Y 2 F 0 a W 9 u c y 9 D a G F u Z 2 V k I F R 5 c G U u e 0 J B U 0 l D I E h v b G Q g S G F y b W x l c 3 M g Y m F z Z S A o U H J p b 3 I g e W V h c i B h Z G p 1 c 3 R l Z C B h b G x v Y y k s M n 0 m c X V v d D s s J n F 1 b 3 Q 7 U 2 V j d G l v b j E v S W 5 p d G l h b C B h Z G p 1 c 3 R l Z C B h b G x v Y 2 F 0 a W 9 u c y 9 D a G F u Z 2 V k I F R 5 c G U u e 0 N v b m M g S G 9 s Z C B I Y X J t b G V z c y B C Y X N l I C g g N C B 5 Z W F y I G x v b 2 t i Y W N r K S w z f S Z x d W 9 0 O y w m c X V v d D t T Z W N 0 a W 9 u M S 9 J b m l 0 a W F s I G F k a n V z d G V k I G F s b G 9 j Y X R p b 2 5 z L 0 N o Y W 5 n Z W Q g V H l w Z S 5 7 V E F S R 0 V U R U Q g S G 9 s Z C B I Y X J t b G V z c y B C Y X N l I C h Q c m l v c i B Z Z W F y I G F k a n V z d G V k I G F s b G 9 j K S w 0 f S Z x d W 9 0 O y w m c X V v d D t T Z W N 0 a W 9 u M S 9 J b m l 0 a W F s I G F k a n V z d G V k I G F s b G 9 j Y X R p b 2 5 z L 0 N o Y W 5 n Z W Q g V H l w Z S 5 7 R U Z J R y B I b 2 x k I E h h c m 1 s Z X N z I G J h c 2 U g K F B y a W 9 y I F l l Y X I g Y W R q d X N 0 Z W Q g Y W x s b 2 M p L D V 9 J n F 1 b 3 Q 7 L C Z x d W 9 0 O 1 N l Y 3 R p b 2 4 x L 0 l u a X R p Y W w g Y W R q d X N 0 Z W Q g Y W x s b 2 N h d G l v b n M v Q 2 h h b m d l Z C B U e X B l L n t U b 3 R h b C B I b 2 x k I E h h c m 1 s Z X N z I G J h c 2 U s N n 0 m c X V v d D s s J n F 1 b 3 Q 7 U 2 V j d G l v b j E v S W 5 p d G l h b C B h Z G p 1 c 3 R l Z C B h b G x v Y 2 F 0 a W 9 u c y 9 D a G F u Z 2 V k I F R 5 c G U u e 0 F k a i B C Y X N p Y y B B b G x v Y 2 F 0 a W 9 u I C w 3 f S Z x d W 9 0 O y w m c X V v d D t T Z W N 0 a W 9 u M S 9 J b m l 0 a W F s I G F k a n V z d G V k I G F s b G 9 j Y X R p b 2 5 z L 0 N o Y W 5 n Z W Q g V H l w Z S 5 7 Q W R q I E N v b m M u I E F s b G 9 j Y X R p b 2 4 g L D h 9 J n F 1 b 3 Q 7 L C Z x d W 9 0 O 1 N l Y 3 R p b 2 4 x L 0 l u a X R p Y W w g Y W R q d X N 0 Z W Q g Y W x s b 2 N h d G l v b n M v Q 2 h h b m d l Z C B U e X B l L n t B Z G o g V G F y Z 2 V 0 Z W Q g Y W x s b 2 N h d G l v b i w 5 f S Z x d W 9 0 O y w m c X V v d D t T Z W N 0 a W 9 u M S 9 J b m l 0 a W F s I G F k a n V z d G V k I G F s b G 9 j Y X R p b 2 5 z L 0 N o Y W 5 n Z W Q g V H l w Z S 5 7 Q W R q I E V G S U c g Q W x s b 2 N h d G l v b i w x M H 0 m c X V v d D s s J n F 1 b 3 Q 7 U 2 V j d G l v b j E v S W 5 p d G l h b C B h Z G p 1 c 3 R l Z C B h b G x v Y 2 F 0 a W 9 u c y 9 D a G F u Z 2 V k I F R 5 c G U u e 0 F k a i B U b 3 R h b C B U a X R s Z S B J I E F s b G 9 j Y X R p b 2 4 g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S W 5 p d G l h b C B h Z G p 1 c 3 R l Z C B m b 3 J t d W x h I G N v d W 5 0 L 0 N v b n N v b G l k Y X R l I E x F Q U l E L n t h Z G o g T E V B S U Q s M z N 9 J n F 1 b 3 Q 7 L C Z x d W 9 0 O 1 N l Y 3 R p b 2 4 x L 0 l u a X R p Y W w g Y W R q d X N 0 Z W Q g Z m 9 y b X V s Y S B j b 3 V u d C 9 D b 2 5 z b 2 x p Z G F 0 Z S B M R U F O Q U 1 F L n t M R U F O Q U 1 F L D M 0 f S Z x d W 9 0 O y w m c X V v d D t T Z W N 0 a W 9 u M S 9 J b m l 0 a W F s I G F k a n V z d G V k I G F s b G 9 j Y X R p b 2 5 z L 0 N o Y W 5 n Z W Q g V H l w Z S 5 7 Q k F T S U M g S G 9 s Z C B I Y X J t b G V z c y B i Y X N l I C h Q c m l v c i B 5 Z W F y I G F k a n V z d G V k I G F s b G 9 j K S w y f S Z x d W 9 0 O y w m c X V v d D t T Z W N 0 a W 9 u M S 9 J b m l 0 a W F s I G F k a n V z d G V k I G F s b G 9 j Y X R p b 2 5 z L 0 N o Y W 5 n Z W Q g V H l w Z S 5 7 Q 2 9 u Y y B I b 2 x k I E h h c m 1 s Z X N z I E J h c 2 U g K C A 0 I H l l Y X I g b G 9 v a 2 J h Y 2 s p L D N 9 J n F 1 b 3 Q 7 L C Z x d W 9 0 O 1 N l Y 3 R p b 2 4 x L 0 l u a X R p Y W w g Y W R q d X N 0 Z W Q g Y W x s b 2 N h d G l v b n M v Q 2 h h b m d l Z C B U e X B l L n t U Q V J H R V R F R C B I b 2 x k I E h h c m 1 s Z X N z I E J h c 2 U g K F B y a W 9 y I F l l Y X I g Y W R q d X N 0 Z W Q g Y W x s b 2 M p L D R 9 J n F 1 b 3 Q 7 L C Z x d W 9 0 O 1 N l Y 3 R p b 2 4 x L 0 l u a X R p Y W w g Y W R q d X N 0 Z W Q g Y W x s b 2 N h d G l v b n M v Q 2 h h b m d l Z C B U e X B l L n t F R k l H I E h v b G Q g S G F y b W x l c 3 M g Y m F z Z S A o U H J p b 3 I g W W V h c i B h Z G p 1 c 3 R l Z C B h b G x v Y y k s N X 0 m c X V v d D s s J n F 1 b 3 Q 7 U 2 V j d G l v b j E v S W 5 p d G l h b C B h Z G p 1 c 3 R l Z C B h b G x v Y 2 F 0 a W 9 u c y 9 D a G F u Z 2 V k I F R 5 c G U u e 1 R v d G F s I E h v b G Q g S G F y b W x l c 3 M g Y m F z Z S w 2 f S Z x d W 9 0 O y w m c X V v d D t T Z W N 0 a W 9 u M S 9 J b m l 0 a W F s I G F k a n V z d G V k I G F s b G 9 j Y X R p b 2 5 z L 0 N o Y W 5 n Z W Q g V H l w Z S 5 7 Q W R q I E J h c 2 l j I E F s b G 9 j Y X R p b 2 4 g L D d 9 J n F 1 b 3 Q 7 L C Z x d W 9 0 O 1 N l Y 3 R p b 2 4 x L 0 l u a X R p Y W w g Y W R q d X N 0 Z W Q g Y W x s b 2 N h d G l v b n M v Q 2 h h b m d l Z C B U e X B l L n t B Z G o g Q 2 9 u Y y 4 g Q W x s b 2 N h d G l v b i A s O H 0 m c X V v d D s s J n F 1 b 3 Q 7 U 2 V j d G l v b j E v S W 5 p d G l h b C B h Z G p 1 c 3 R l Z C B h b G x v Y 2 F 0 a W 9 u c y 9 D a G F u Z 2 V k I F R 5 c G U u e 0 F k a i B U Y X J n Z X R l Z C B h b G x v Y 2 F 0 a W 9 u L D l 9 J n F 1 b 3 Q 7 L C Z x d W 9 0 O 1 N l Y 3 R p b 2 4 x L 0 l u a X R p Y W w g Y W R q d X N 0 Z W Q g Y W x s b 2 N h d G l v b n M v Q 2 h h b m d l Z C B U e X B l L n t B Z G o g R U Z J R y B B b G x v Y 2 F 0 a W 9 u L D E w f S Z x d W 9 0 O y w m c X V v d D t T Z W N 0 a W 9 u M S 9 J b m l 0 a W F s I G F k a n V z d G V k I G F s b G 9 j Y X R p b 2 5 z L 0 N o Y W 5 n Z W Q g V H l w Z S 5 7 Q W R q I F R v d G F s I F R p d G x l I E k g Q W x s b 2 N h d G l v b i A s M T F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Z v c m 1 1 b G E l M j B z d H V k Z W 5 0 c y U y M G F k a n V z d G 1 l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x F Y W l k J T I w Z m 9 y J T I w a m 9 p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F e H B h b m R l Z C U y M E R P R S U y M E F s b G 9 j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V 4 c G F u Z G V k J T I w Q W 1 v d W 5 0 J T I w c G V y J T I w R m 9 y b X V s Y S U y M H N 0 d W R l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h Z G o l M j B C Y X N p Y y U y M E F s b G 9 j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F k a i U y M E 5 F R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B Z G o l M j B E R U w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Q W R q J T I w R m 9 z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F k a i U y M F R B T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B Z G o l M j B D b 2 5 j L i U y M E F s b G 9 j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B Z G o l M j B F R k l H J T I w Q W x s b 2 N h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F k a i U y M F R v d G F s J T I w V G l 0 b G U l M j B J J T I w Q W x s b 2 N h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1 l c m d l Z C U y M F F 1 Z X J p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R X h w Y W 5 k Z W Q l M j B Q c m l v c i U y M F l l Y X I l M j B h Z G p 1 c 3 R l Z C U y M G F s b G 9 j Y X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U b 3 R h b C U y M E h v b G Q l M j B I Y X J t b G V z c y U y M G J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l b G l n a W J p b G l 0 e S U y M H l l Y X I 8 L 0 l 0 Z W 1 Q Y X R o P j w v S X R l b U x v Y 2 F 0 a W 9 u P j x T d G F i b G V F b n R y a W V z P j x F b n R y e S B U e X B l P S J R d W V y e U d y b 3 V w S U Q i I F Z h b H V l P S J z N z k 0 O T d k Y T g t O W U y M C 0 0 N z k 3 L T k 5 M W I t M G V i N T Y 1 Z j I 5 N T k 0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S X N Q c m l 2 Y X R l I i B W Y W x 1 Z T 0 i b D A i I C 8 + P E V u d H J 5 I F R 5 c G U 9 I k Z p b G x l Z E N v b X B s Z X R l U m V z d W x 0 V G 9 X b 3 J r c 2 h l Z X Q i I F Z h b H V l P S J s M S I g L z 4 8 R W 5 0 c n k g V H l w Z T 0 i U X V l c n l J R C I g V m F s d W U 9 I n M 5 Z G Q z N T B i Z i 1 m M D I y L T Q z Y j Y t Y j I y M i 1 m O T d m Y z I 5 Z D J i N W I i I C 8 + P E V u d H J 5 I F R 5 c G U 9 I k Z p b G x U Y X J n Z X Q i I F Z h b H V l P S J z V G F i b G V f Q 2 9 u Y 1 9 l b G l n a W J p b G l 0 e V 9 5 Z W F y I i A v P j x F b n R y e S B U e X B l P S J G a W x s T G F z d F V w Z G F 0 Z W Q i I F Z h b H V l P S J k M j A y N S 0 w O C 0 w N F Q x N z o w N D o w N i 4 5 N j Q y M z Q w W i I g L z 4 8 R W 5 0 c n k g V H l w Z T 0 i R m l s b E N v b H V t b l R 5 c G V z I i B W Y W x 1 Z T 0 i c 0 F B Q U F B Q U E 9 I i A v P j x F b n R y e S B U e X B l P S J G a W x s Q 2 9 s d W 1 u T m F t Z X M i I F Z h b H V l P S J z W y Z x d W 9 0 O 0 x F Q U l E J n F 1 b 3 Q 7 L C Z x d W 9 0 O 0 x F Q U 5 B T U U m c X V v d D s s J n F 1 b 3 Q 7 Q 2 9 u Y y 4 g R W x p Z 2 l n a W J p b G l 0 e S Z x d W 9 0 O y w m c X V v d D t F b G l n a W J p b G l 0 e S B Z Z W F y J n F 1 b 3 Q 7 L C Z x d W 9 0 O 0 N v b m M g Y W x s b 2 N h d G l v b i Z x d W 9 0 O 1 0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x N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Y y B l b G l n a W J p b G l 0 e S B 5 Z W F y L 0 Z p b G x l Z C B V c C 5 7 T E V B S U Q s M H 0 m c X V v d D s s J n F 1 b 3 Q 7 U 2 V j d G l v b j E v Q 2 9 u Y y B l b G l n a W J p b G l 0 e S B 5 Z W F y L 0 Z p b G x l Z C B V c C 5 7 T E V B T k F N R S w x f S Z x d W 9 0 O y w m c X V v d D t T Z W N 0 a W 9 u M S 9 D b 2 5 j I G V s a W d p Y m l s a X R 5 I H l l Y X I v R m l s b G V k I F V w L n t D b 2 5 j L i B F b G l n a W d p Y m l s a X R 5 L D J 9 J n F 1 b 3 Q 7 L C Z x d W 9 0 O 1 N l Y 3 R p b 2 4 x L 0 N v b m M g Z W x p Z 2 l i a W x p d H k g e W V h c i 9 B Z G R l Z C B D d X N 0 b 2 0 u e 0 V s a W d p Y m l s a X R 5 I F l l Y X I s N H 0 m c X V v d D s s J n F 1 b 3 Q 7 U 2 V j d G l v b j E v Q 2 9 u Y y B l b G l n a W J p b G l 0 e S B 5 Z W F y L 0 N v b m M g R W x p Z 2 l i a W x p d H k g Q W 1 v d W 5 0 L n t D b 2 5 j I G F s b G 9 j Y X R p b 2 4 s N X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2 9 u Y y B l b G l n a W J p b G l 0 e S B 5 Z W F y L 0 Z p b G x l Z C B V c C 5 7 T E V B S U Q s M H 0 m c X V v d D s s J n F 1 b 3 Q 7 U 2 V j d G l v b j E v Q 2 9 u Y y B l b G l n a W J p b G l 0 e S B 5 Z W F y L 0 Z p b G x l Z C B V c C 5 7 T E V B T k F N R S w x f S Z x d W 9 0 O y w m c X V v d D t T Z W N 0 a W 9 u M S 9 D b 2 5 j I G V s a W d p Y m l s a X R 5 I H l l Y X I v R m l s b G V k I F V w L n t D b 2 5 j L i B F b G l n a W d p Y m l s a X R 5 L D J 9 J n F 1 b 3 Q 7 L C Z x d W 9 0 O 1 N l Y 3 R p b 2 4 x L 0 N v b m M g Z W x p Z 2 l i a W x p d H k g e W V h c i 9 B Z G R l Z C B D d X N 0 b 2 0 u e 0 V s a W d p Y m l s a X R 5 I F l l Y X I s N H 0 m c X V v d D s s J n F 1 b 3 Q 7 U 2 V j d G l v b j E v Q 2 9 u Y y B l b G l n a W J p b G l 0 e S B 5 Z W F y L 0 N v b m M g R W x p Z 2 l i a W x p d H k g Q W 1 v d W 5 0 L n t D b 2 5 j I G F s b G 9 j Y X R p b 2 4 s N X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Q 2 9 u Y y U y M G V s a W d p Y m l s a X R 5 J T I w e W V h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Z W x p Z 2 l i a W x p d H k l M j B 5 Z W F y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Y y U y M G V s a W d p Y m l s a X R 5 J T I w e W V h c i 9 B c H B l b m R l Z C U y M F F 1 Z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Y y U y M G V s a W d p Y m l s a X R 5 J T I w e W V h c i 9 G a W x s Z W Q l M j B V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l b G l n a W J p b G l 0 e S U y M H l l Y X I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Z W x p Z 2 l i a W x p d H k l M j B 5 Z W F y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P C 9 J d G V t U G F 0 a D 4 8 L 0 l 0 Z W 1 M b 2 N h d G l v b j 4 8 U 3 R h Y m x l R W 5 0 c m l l c z 4 8 R W 5 0 c n k g V H l w Z T 0 i U X V l c n l H c m 9 1 c E l E I i B W Y W x 1 Z T 0 i c z c 5 N D k 3 Z G E 4 L T l l M j A t N D c 5 N y 0 5 O T F i L T B l Y j U 2 N W Y y O T U 5 N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M T g w Z D F m O T Q t Z W N m Y y 0 0 Z D l i L W F m O W Y t M 2 I 2 Z G U w N D E w O D I w I i A v P j x F b n R y e S B U e X B l P S J G a W x s V G F y Z 2 V 0 I i B W Y W x 1 Z T 0 i c 0 5 l d 1 9 v c l 9 F e H B h b m R l Z F 9 I S F 9 j a G V j a y I g L z 4 8 R W 5 0 c n k g V H l w Z T 0 i R m l s b E x h c 3 R V c G R h d G V k I i B W Y W x 1 Z T 0 i Z D I w M j U t M D g t M D R U M T c 6 M D Q 6 M D Y u O T c 2 M j Y z M l o i I C 8 + P E V u d H J 5 I F R 5 c G U 9 I k Z p b G x D b 2 x 1 b W 5 U e X B l c y I g V m F s d W U 9 I n N C Z 1 l H Q m d B Q U J R U U R B Q V V G Q l F V R k J R V U Z C U V V G Q l F V R k J R P T 0 i I C 8 + P E V u d H J 5 I F R 5 c G U 9 I k Z p b G x D b 2 x 1 b W 5 O Y W 1 l c y I g V m F s d W U 9 I n N b J n F 1 b 3 Q 7 Q 0 N E R E Q m c X V v d D s s J n F 1 b 3 Q 7 R G l z d H J p Y 3 R O Y W 1 l J n F 1 b 3 Q 7 L C Z x d W 9 0 O 1 N l b m R p b m d M R U F p Z C Z x d W 9 0 O y w m c X V v d D t M R U F p Z C Z x d W 9 0 O y w m c X V v d D t J c 0 5 l d y Z x d W 9 0 O y w m c X V v d D t J c 0 V 4 c G F u Z G V k J n F 1 b 3 Q 7 L C Z x d W 9 0 O 0 l u a X R p Y W w g Y W R q d X N 0 Z W Q g Z m 9 y b X V s Y S B j b 3 V u d C 5 B Z G o g V G 9 0 Y W w g Z m 9 y b X V s Y S B j b 3 V u d C Z x d W 9 0 O y w m c X V v d D t J b m l 0 a W F s I G F k a n V z d G V k I G Z v c m 1 1 b G E g Y 2 9 1 b n Q u Q W R q I H B v d m V y d H k g c G V y Y 2 V u d G F n Z S Z x d W 9 0 O y w m c X V v d D t Q c m l v c i B Z Z W F y I E F k a n V z d G V k I E Z v c m 1 1 b G E g Y 2 9 1 b n R z L k F k a i B U b 3 R h b C B m b 3 J t d W x h I G N v d W 5 0 J n F 1 b 3 Q 7 L C Z x d W 9 0 O 1 R v d G F s I E Z v c m 1 1 b G E g Q 2 9 1 b n Q g a W 5 j c m V h c 2 U m c X V v d D s s J n F 1 b 3 Q 7 S W 5 p d G l h b C B h Z G p 1 c 3 R l Z C B h b G x v Y 2 F 0 a W 9 u c y 5 C Q V N J Q y B I b 2 x k I E h h c m 1 s Z X N z I G J h c 2 U g K F B y a W 9 y I H l l Y X I g Y W R q d X N 0 Z W Q g Y W x s b 2 M m c X V v d D s s J n F 1 b 3 Q 7 S W 5 p d G l h b C B h Z G p 1 c 3 R l Z C B h b G x v Y 2 F 0 a W 9 u c y 5 U Q V J H R V R F R C B I b 2 x k I E h h c m 1 s Z X N z I E J h c 2 U g K F B y a W 9 y I F l l Y X I g Y W R q d X N 0 Z W Q g Y W w m c X V v d D s s J n F 1 b 3 Q 7 S W 5 p d G l h b C B h Z G p 1 c 3 R l Z C B h b G x v Y 2 F 0 a W 9 u c y 5 D b 2 5 j I E h v b G Q g S G F y b W x l c 3 M g Q m F z Z S A o I D Q g e W V h c i B s b 2 9 r Y m F j a y k m c X V v d D s s J n F 1 b 3 Q 7 S W 5 p d G l h b C B h Z G p 1 c 3 R l Z C B h b G x v Y 2 F 0 a W 9 u c y 5 F R k l H I E h v b G Q g S G F y b W x l c 3 M g Y m F z Z S A o U H J p b 3 I g W W V h c i B h Z G p 1 c 3 R l Z C B h b G x v Y y k m c X V v d D s s J n F 1 b 3 Q 7 S W 5 p d G l h b C B h Z G p 1 c 3 R l Z C B h b G x v Y 2 F 0 a W 9 u c y 5 U b 3 R h b C B I b 2 x k I E h h c m 1 s Z X N z I G J h c 2 U m c X V v d D s s J n F 1 b 3 Q 7 S W 5 p d G l h b C B h Z G p 1 c 3 R l Z C B h b G x v Y 2 F 0 a W 9 u c y 5 B Z G o g Q m F z a W M g Q W x s b 2 N h d G l v b i A m c X V v d D s s J n F 1 b 3 Q 7 S W 5 p d G l h b C B h Z G p 1 c 3 R l Z C B h b G x v Y 2 F 0 a W 9 u c y 5 B Z G o g Q 2 9 u Y y 4 g Q W x s b 2 N h d G l v b i A m c X V v d D s s J n F 1 b 3 Q 7 S W 5 p d G l h b C B h Z G p 1 c 3 R l Z C B h b G x v Y 2 F 0 a W 9 u c y 5 B Z G o g V G F y Z 2 V 0 Z W Q g Y W x s b 2 N h d G l v b i Z x d W 9 0 O y w m c X V v d D t J b m l 0 a W F s I G F k a n V z d G V k I G F s b G 9 j Y X R p b 2 5 z L k F k a i B F R k l H I E F s b G 9 j Y X R p b 2 4 m c X V v d D s s J n F 1 b 3 Q 7 S W 5 p d G l h b C B h Z G p 1 c 3 R l Z C B h b G x v Y 2 F 0 a W 9 u c y 5 B Z G o g V G 9 0 Y W w g V G l 0 b G U g S S B B b G x v Y 2 F 0 a W 9 u I C Z x d W 9 0 O y w m c X V v d D t O Z X c v R X h w Y W 5 k Z W Q g Q m F z a W M g S E g g Y m F z Z S Z x d W 9 0 O y w m c X V v d D t O Z X c v R X h w Y W 5 k a W 5 n I E N v b m M g S E g g Y m F z Z S Z x d W 9 0 O y w m c X V v d D t O Z X c v R X h w Y W 5 k a W 5 n I F R h c m d l d G V k I E h I I E J h c 2 U m c X V v d D s s J n F 1 b 3 Q 7 T m V 3 I E V 4 c G F u Z G l u Z y B F R k l H I E h I I E J h c 2 U m c X V v d D s s J n F 1 b 3 Q 7 T m V 3 I E V 4 c G F u Z G V k I H R v d G F s I E h I I G J h c 2 U m c X V v d D t d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O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1 b H R p c G x p Z X J z L 0 N o Y W 5 n Z W Q g V H l w Z S 5 7 Q 0 N E R E Q s M H 0 m c X V v d D s s J n F 1 b 3 Q 7 U 2 V j d G l v b j E v T X V s d G l w b G l l c n M v U 2 9 1 c m N l L n t E a X N 0 c m l j d E 5 h b W U s M X 0 m c X V v d D s s J n F 1 b 3 Q 7 U 2 V j d G l v b j E v T X V s d G l w b G l l c n M v U 2 9 1 c m N l L n t T Z W 5 k a W 5 n T E V B a W Q s M n 0 m c X V v d D s s J n F 1 b 3 Q 7 U 2 V j d G l v b j E v T X V s d G l w b G l l c n M v Q 2 h h b m d l Z C B U e X B l L n t M R U F p Z C w 0 f S Z x d W 9 0 O y w m c X V v d D t T Z W N 0 a W 9 u M S 9 N d W x 0 a X B s a W V y c y 9 T b 3 V y Y 2 U u e 0 l z T m V 3 L D V 9 J n F 1 b 3 Q 7 L C Z x d W 9 0 O 1 N l Y 3 R p b 2 4 x L 0 1 1 b H R p c G x p Z X J z L 1 N v d X J j Z S 5 7 S X N F e H B h b m R l Z C w 2 f S Z x d W 9 0 O y w m c X V v d D t T Z W N 0 a W 9 u M S 9 J b m l 0 a W F s I G F k a n V z d G V k I G Z v c m 1 1 b G E g Y 2 9 1 b n Q v Q 2 h h b m d l Z C B U e X B l M S 5 7 Q W R q I F R v d G F s I G Z v c m 1 1 b G E g Y 2 9 1 b n Q s O X 0 m c X V v d D s s J n F 1 b 3 Q 7 U 2 V j d G l v b j E v S W 5 p d G l h b C B h Z G p 1 c 3 R l Z C B m b 3 J t d W x h I G N v d W 5 0 L 0 N o Y W 5 n Z W Q g V H l w Z S 5 7 Q W R q I H B v d m V y d H k g c G V y Y 2 V u d G F n Z S w y O H 0 m c X V v d D s s J n F 1 b 3 Q 7 U 2 V j d G l v b j E v U H J p b 3 I g W W V h c i B B Z G p 1 c 3 R l Z C B G b 3 J t d W x h I G N v d W 5 0 c y 9 D a G F u Z 2 V k I F R 5 c G U u e 0 F k a i B U b 3 R h b C B m b 3 J t d W x h I G N v d W 5 0 L D l 9 J n F 1 b 3 Q 7 L C Z x d W 9 0 O 1 N l Y 3 R p b 2 4 x L 0 5 l d y B v c i B F e H B h b m R l Z C B I S C B j a G V j a y 9 U b 3 R h b C B G b 3 J t d W x h I E N v d W 5 0 I E l u Y 3 J l Y X N l L n t U b 3 R h b C B G b 3 J t d W x h I E N v d W 5 0 I G l u Y 3 J l Y X N l L D l 9 J n F 1 b 3 Q 7 L C Z x d W 9 0 O 1 N l Y 3 R p b 2 4 x L 0 l u a X R p Y W w g Y W R q d X N 0 Z W Q g Y W x s b 2 N h d G l v b n M v Q 2 h h b m d l Z C B U e X B l L n t C Q V N J Q y B I b 2 x k I E h h c m 1 s Z X N z I G J h c 2 U g K F B y a W 9 y I H l l Y X I g Y W R q d X N 0 Z W Q g Y W x s b 2 M p L D J 9 J n F 1 b 3 Q 7 L C Z x d W 9 0 O 1 N l Y 3 R p b 2 4 x L 0 l u a X R p Y W w g Y W R q d X N 0 Z W Q g Y W x s b 2 N h d G l v b n M v Q 2 h h b m d l Z C B U e X B l L n t U Q V J H R V R F R C B I b 2 x k I E h h c m 1 s Z X N z I E J h c 2 U g K F B y a W 9 y I F l l Y X I g Y W R q d X N 0 Z W Q g Y W x s b 2 M p L D R 9 J n F 1 b 3 Q 7 L C Z x d W 9 0 O 1 N l Y 3 R p b 2 4 x L 0 l u a X R p Y W w g Y W R q d X N 0 Z W Q g Y W x s b 2 N h d G l v b n M v Q 2 h h b m d l Z C B U e X B l L n t D b 2 5 j I E h v b G Q g S G F y b W x l c 3 M g Q m F z Z S A o I D Q g e W V h c i B s b 2 9 r Y m F j a y k s M 3 0 m c X V v d D s s J n F 1 b 3 Q 7 U 2 V j d G l v b j E v S W 5 p d G l h b C B h Z G p 1 c 3 R l Z C B h b G x v Y 2 F 0 a W 9 u c y 9 D a G F u Z 2 V k I F R 5 c G U u e 0 V G S U c g S G 9 s Z C B I Y X J t b G V z c y B i Y X N l I C h Q c m l v c i B Z Z W F y I G F k a n V z d G V k I G F s b G 9 j K S w 1 f S Z x d W 9 0 O y w m c X V v d D t T Z W N 0 a W 9 u M S 9 J b m l 0 a W F s I G F k a n V z d G V k I G F s b G 9 j Y X R p b 2 5 z L 0 N o Y W 5 n Z W Q g V H l w Z S 5 7 V G 9 0 Y W w g S G 9 s Z C B I Y X J t b G V z c y B i Y X N l L D Z 9 J n F 1 b 3 Q 7 L C Z x d W 9 0 O 1 N l Y 3 R p b 2 4 x L 0 l u a X R p Y W w g Y W R q d X N 0 Z W Q g Y W x s b 2 N h d G l v b n M v Q 2 h h b m d l Z C B U e X B l L n t B Z G o g Q m F z a W M g Q W x s b 2 N h d G l v b i A s N 3 0 m c X V v d D s s J n F 1 b 3 Q 7 U 2 V j d G l v b j E v S W 5 p d G l h b C B h Z G p 1 c 3 R l Z C B h b G x v Y 2 F 0 a W 9 u c y 9 D a G F u Z 2 V k I F R 5 c G U u e 0 F k a i B D b 2 5 j L i B B b G x v Y 2 F 0 a W 9 u I C w 4 f S Z x d W 9 0 O y w m c X V v d D t T Z W N 0 a W 9 u M S 9 J b m l 0 a W F s I G F k a n V z d G V k I G F s b G 9 j Y X R p b 2 5 z L 0 N o Y W 5 n Z W Q g V H l w Z S 5 7 Q W R q I F R h c m d l d G V k I G F s b G 9 j Y X R p b 2 4 s O X 0 m c X V v d D s s J n F 1 b 3 Q 7 U 2 V j d G l v b j E v S W 5 p d G l h b C B h Z G p 1 c 3 R l Z C B h b G x v Y 2 F 0 a W 9 u c y 9 D a G F u Z 2 V k I F R 5 c G U u e 0 F k a i B F R k l H I E F s b G 9 j Y X R p b 2 4 s M T B 9 J n F 1 b 3 Q 7 L C Z x d W 9 0 O 1 N l Y 3 R p b 2 4 x L 0 l u a X R p Y W w g Y W R q d X N 0 Z W Q g Y W x s b 2 N h d G l v b n M v Q 2 h h b m d l Z C B U e X B l L n t B Z G o g V G 9 0 Y W w g V G l 0 b G U g S S B B b G x v Y 2 F 0 a W 9 u I C w x M X 0 m c X V v d D s s J n F 1 b 3 Q 7 U 2 V j d G l v b j E v T m V 3 I G 9 y I E V 4 c G F u Z G V k I E h I I G N o Z W N r L 0 N o Y W 5 n Z W Q g V H l w Z S 5 7 T m V 3 L 0 V 4 c G F u Z G V k I E J h c 2 l j I E h I I G J h c 2 U s M j B 9 J n F 1 b 3 Q 7 L C Z x d W 9 0 O 1 N l Y 3 R p b 2 4 x L 0 5 l d y B v c i B F e H B h b m R l Z C B I S C B j a G V j a y 9 D a G F u Z 2 V k I F R 5 c G U u e 0 5 l d y 9 F e H B h b m R p b m c g Q 2 9 u Y y B I S C B i Y X N l L D I x f S Z x d W 9 0 O y w m c X V v d D t T Z W N 0 a W 9 u M S 9 O Z X c g b 3 I g R X h w Y W 5 k Z W Q g S E g g Y 2 h l Y 2 s v Q 2 h h b m d l Z C B U e X B l L n t O Z X c v R X h w Y W 5 k a W 5 n I F R h c m d l d G V k I E h I I E J h c 2 U s M j J 9 J n F 1 b 3 Q 7 L C Z x d W 9 0 O 1 N l Y 3 R p b 2 4 x L 0 5 l d y B v c i B F e H B h b m R l Z C B I S C B j a G V j a y 9 D a G F u Z 2 V k I F R 5 c G U u e 0 5 l d y B F e H B h b m R p b m c g R U Z J R y B I S C B C Y X N l L D I z f S Z x d W 9 0 O y w m c X V v d D t T Z W N 0 a W 9 u M S 9 O Z X c g b 3 I g R X h w Y W 5 k Z W Q g S E g g Y 2 h l Y 2 s v Q 2 h h b m d l Z C B U e X B l L n t O Z X c g R X h w Y W 5 k Z W Q g d G 9 0 Y W w g S E g g Y m F z Z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0 1 1 b H R p c G x p Z X J z L 0 N o Y W 5 n Z W Q g V H l w Z S 5 7 Q 0 N E R E Q s M H 0 m c X V v d D s s J n F 1 b 3 Q 7 U 2 V j d G l v b j E v T X V s d G l w b G l l c n M v U 2 9 1 c m N l L n t E a X N 0 c m l j d E 5 h b W U s M X 0 m c X V v d D s s J n F 1 b 3 Q 7 U 2 V j d G l v b j E v T X V s d G l w b G l l c n M v U 2 9 1 c m N l L n t T Z W 5 k a W 5 n T E V B a W Q s M n 0 m c X V v d D s s J n F 1 b 3 Q 7 U 2 V j d G l v b j E v T X V s d G l w b G l l c n M v Q 2 h h b m d l Z C B U e X B l L n t M R U F p Z C w 0 f S Z x d W 9 0 O y w m c X V v d D t T Z W N 0 a W 9 u M S 9 N d W x 0 a X B s a W V y c y 9 T b 3 V y Y 2 U u e 0 l z T m V 3 L D V 9 J n F 1 b 3 Q 7 L C Z x d W 9 0 O 1 N l Y 3 R p b 2 4 x L 0 1 1 b H R p c G x p Z X J z L 1 N v d X J j Z S 5 7 S X N F e H B h b m R l Z C w 2 f S Z x d W 9 0 O y w m c X V v d D t T Z W N 0 a W 9 u M S 9 J b m l 0 a W F s I G F k a n V z d G V k I G Z v c m 1 1 b G E g Y 2 9 1 b n Q v Q 2 h h b m d l Z C B U e X B l M S 5 7 Q W R q I F R v d G F s I G Z v c m 1 1 b G E g Y 2 9 1 b n Q s O X 0 m c X V v d D s s J n F 1 b 3 Q 7 U 2 V j d G l v b j E v S W 5 p d G l h b C B h Z G p 1 c 3 R l Z C B m b 3 J t d W x h I G N v d W 5 0 L 0 N o Y W 5 n Z W Q g V H l w Z S 5 7 Q W R q I H B v d m V y d H k g c G V y Y 2 V u d G F n Z S w y O H 0 m c X V v d D s s J n F 1 b 3 Q 7 U 2 V j d G l v b j E v U H J p b 3 I g W W V h c i B B Z G p 1 c 3 R l Z C B G b 3 J t d W x h I G N v d W 5 0 c y 9 D a G F u Z 2 V k I F R 5 c G U u e 0 F k a i B U b 3 R h b C B m b 3 J t d W x h I G N v d W 5 0 L D l 9 J n F 1 b 3 Q 7 L C Z x d W 9 0 O 1 N l Y 3 R p b 2 4 x L 0 5 l d y B v c i B F e H B h b m R l Z C B I S C B j a G V j a y 9 U b 3 R h b C B G b 3 J t d W x h I E N v d W 5 0 I E l u Y 3 J l Y X N l L n t U b 3 R h b C B G b 3 J t d W x h I E N v d W 5 0 I G l u Y 3 J l Y X N l L D l 9 J n F 1 b 3 Q 7 L C Z x d W 9 0 O 1 N l Y 3 R p b 2 4 x L 0 l u a X R p Y W w g Y W R q d X N 0 Z W Q g Y W x s b 2 N h d G l v b n M v Q 2 h h b m d l Z C B U e X B l L n t C Q V N J Q y B I b 2 x k I E h h c m 1 s Z X N z I G J h c 2 U g K F B y a W 9 y I H l l Y X I g Y W R q d X N 0 Z W Q g Y W x s b 2 M p L D J 9 J n F 1 b 3 Q 7 L C Z x d W 9 0 O 1 N l Y 3 R p b 2 4 x L 0 l u a X R p Y W w g Y W R q d X N 0 Z W Q g Y W x s b 2 N h d G l v b n M v Q 2 h h b m d l Z C B U e X B l L n t U Q V J H R V R F R C B I b 2 x k I E h h c m 1 s Z X N z I E J h c 2 U g K F B y a W 9 y I F l l Y X I g Y W R q d X N 0 Z W Q g Y W x s b 2 M p L D R 9 J n F 1 b 3 Q 7 L C Z x d W 9 0 O 1 N l Y 3 R p b 2 4 x L 0 l u a X R p Y W w g Y W R q d X N 0 Z W Q g Y W x s b 2 N h d G l v b n M v Q 2 h h b m d l Z C B U e X B l L n t D b 2 5 j I E h v b G Q g S G F y b W x l c 3 M g Q m F z Z S A o I D Q g e W V h c i B s b 2 9 r Y m F j a y k s M 3 0 m c X V v d D s s J n F 1 b 3 Q 7 U 2 V j d G l v b j E v S W 5 p d G l h b C B h Z G p 1 c 3 R l Z C B h b G x v Y 2 F 0 a W 9 u c y 9 D a G F u Z 2 V k I F R 5 c G U u e 0 V G S U c g S G 9 s Z C B I Y X J t b G V z c y B i Y X N l I C h Q c m l v c i B Z Z W F y I G F k a n V z d G V k I G F s b G 9 j K S w 1 f S Z x d W 9 0 O y w m c X V v d D t T Z W N 0 a W 9 u M S 9 J b m l 0 a W F s I G F k a n V z d G V k I G F s b G 9 j Y X R p b 2 5 z L 0 N o Y W 5 n Z W Q g V H l w Z S 5 7 V G 9 0 Y W w g S G 9 s Z C B I Y X J t b G V z c y B i Y X N l L D Z 9 J n F 1 b 3 Q 7 L C Z x d W 9 0 O 1 N l Y 3 R p b 2 4 x L 0 l u a X R p Y W w g Y W R q d X N 0 Z W Q g Y W x s b 2 N h d G l v b n M v Q 2 h h b m d l Z C B U e X B l L n t B Z G o g Q m F z a W M g Q W x s b 2 N h d G l v b i A s N 3 0 m c X V v d D s s J n F 1 b 3 Q 7 U 2 V j d G l v b j E v S W 5 p d G l h b C B h Z G p 1 c 3 R l Z C B h b G x v Y 2 F 0 a W 9 u c y 9 D a G F u Z 2 V k I F R 5 c G U u e 0 F k a i B D b 2 5 j L i B B b G x v Y 2 F 0 a W 9 u I C w 4 f S Z x d W 9 0 O y w m c X V v d D t T Z W N 0 a W 9 u M S 9 J b m l 0 a W F s I G F k a n V z d G V k I G F s b G 9 j Y X R p b 2 5 z L 0 N o Y W 5 n Z W Q g V H l w Z S 5 7 Q W R q I F R h c m d l d G V k I G F s b G 9 j Y X R p b 2 4 s O X 0 m c X V v d D s s J n F 1 b 3 Q 7 U 2 V j d G l v b j E v S W 5 p d G l h b C B h Z G p 1 c 3 R l Z C B h b G x v Y 2 F 0 a W 9 u c y 9 D a G F u Z 2 V k I F R 5 c G U u e 0 F k a i B F R k l H I E F s b G 9 j Y X R p b 2 4 s M T B 9 J n F 1 b 3 Q 7 L C Z x d W 9 0 O 1 N l Y 3 R p b 2 4 x L 0 l u a X R p Y W w g Y W R q d X N 0 Z W Q g Y W x s b 2 N h d G l v b n M v Q 2 h h b m d l Z C B U e X B l L n t B Z G o g V G 9 0 Y W w g V G l 0 b G U g S S B B b G x v Y 2 F 0 a W 9 u I C w x M X 0 m c X V v d D s s J n F 1 b 3 Q 7 U 2 V j d G l v b j E v T m V 3 I G 9 y I E V 4 c G F u Z G V k I E h I I G N o Z W N r L 0 N o Y W 5 n Z W Q g V H l w Z S 5 7 T m V 3 L 0 V 4 c G F u Z G V k I E J h c 2 l j I E h I I G J h c 2 U s M j B 9 J n F 1 b 3 Q 7 L C Z x d W 9 0 O 1 N l Y 3 R p b 2 4 x L 0 5 l d y B v c i B F e H B h b m R l Z C B I S C B j a G V j a y 9 D a G F u Z 2 V k I F R 5 c G U u e 0 5 l d y 9 F e H B h b m R p b m c g Q 2 9 u Y y B I S C B i Y X N l L D I x f S Z x d W 9 0 O y w m c X V v d D t T Z W N 0 a W 9 u M S 9 O Z X c g b 3 I g R X h w Y W 5 k Z W Q g S E g g Y 2 h l Y 2 s v Q 2 h h b m d l Z C B U e X B l L n t O Z X c v R X h w Y W 5 k a W 5 n I F R h c m d l d G V k I E h I I E J h c 2 U s M j J 9 J n F 1 b 3 Q 7 L C Z x d W 9 0 O 1 N l Y 3 R p b 2 4 x L 0 5 l d y B v c i B F e H B h b m R l Z C B I S C B j a G V j a y 9 D a G F u Z 2 V k I F R 5 c G U u e 0 5 l d y B F e H B h b m R p b m c g R U Z J R y B I S C B C Y X N l L D I z f S Z x d W 9 0 O y w m c X V v d D t T Z W N 0 a W 9 u M S 9 O Z X c g b 3 I g R X h w Y W 5 k Z W Q g S E g g Y 2 h l Y 2 s v Q 2 h h b m d l Z C B U e X B l L n t O Z X c g R X h w Y W 5 k Z W Q g d G 9 0 Y W w g S E g g Y m F z Z S w y N H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Z X c l M j B v c i U y M E V 4 c G F u Z G V k J T I w S E g l M j B j a G V j a y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R X h w Y W 5 k Z W Q l M j B J b m l 0 a W F s J T I w Y W R q d X N 0 Z W Q l M j B m b 3 J t d W x h J T I w Y 2 9 1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Z X c l M j B v c i U y M E V 4 c G F u Z G V k J T I w S E g l M j B j a G V j a y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V 4 c G F u Z G V k J T I w U H J p b 3 I l M j B Z Z W F y J T I w Q W R q d X N 0 Z W Q l M j B G b 3 J t d W x h J T I w Y 2 9 1 b n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V G 9 0 Y W w l M j B G b 3 J t d W x h J T I w Q 2 9 1 b n Q l M j B J b m N y Z W F z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1 l c m d l Z C U y M F F 1 Z X J p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T m V 3 J T J G R X h w Y W 5 k a W 5 n J T I w Q m F z a W M l M j B I S C U y M E J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Z X c l M j B v c i U y M E V 4 c G F u Z G V k J T I w S E g l M j B j a G V j a y 9 O Z X c l M j B F e H B h b m R p b m c l M j B j b 2 5 j J T I w S E g l M j B i Y X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T m V 3 J T I w R X h w Y W 5 k a W 5 n J T I w V G F 0 Z 2 V 0 Z W Q l M j B I S C U y M G J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Z X c l M j B v c i U y M E V 4 c G F u Z G V k J T I w S E g l M j B j a G V j a y 9 O Z X c l M j B F e H B h b m R p b m c l M j B F R k l H J T I w S E g l M j B C Y X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T m V 3 J T I w R X h w Y W 5 k a W 5 n J T I w d G 9 0 Y W w l M j B I S C U y M G J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R l b C U y M G F s b G 9 j Y X R p b 2 5 z P C 9 J d G V t U G F 0 a D 4 8 L 0 l 0 Z W 1 M b 2 N h d G l v b j 4 8 U 3 R h Y m x l R W 5 0 c m l l c z 4 8 R W 5 0 c n k g V H l w Z T 0 i U X V l c n l H c m 9 1 c E l E I i B W Y W x 1 Z T 0 i c z c 5 N D k 3 Z G E 4 L T l l M j A t N D c 5 N y 0 5 O T F i L T B l Y j U 2 N W Y y O T U 5 N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O D k 2 Y W F l Z m Y t M T I 4 Z S 0 0 Y j h m L W I 5 O D E t M W V m M W I 2 Y j A 1 Z G Y 3 I i A v P j x F b n R y e S B U e X B l P S J G a W x s V G F y Z 2 V 0 I i B W Y W x 1 Z T 0 i c 0 1 v Z G V s X 2 F s b G 9 j Y X R p b 2 5 z I i A v P j x F b n R y e S B U e X B l P S J G a W x s T G F z d F V w Z G F 0 Z W Q i I F Z h b H V l P S J k M j A y N S 0 w O C 0 w N F Q x N z o w N D o w N i 4 5 O T g w N T c w W i I g L z 4 8 R W 5 0 c n k g V H l w Z T 0 i R m l s b E N v b H V t b l R 5 c G V z I i B W Y W x 1 Z T 0 i c 0 F B Q U Z C U V V G Q l F V R k J R V U Y i I C 8 + P E V u d H J 5 I F R 5 c G U 9 I k Z p b G x D b 2 x 1 b W 5 O Y W 1 l c y I g V m F s d W U 9 I n N b J n F 1 b 3 Q 7 T E V B S U Q m c X V v d D s s J n F 1 b 3 Q 7 T E V B T k F N R S Z x d W 9 0 O y w m c X V v d D t C Q V N J Q y B I b 2 x k I E h h c m 1 s Z X N z I E J h c 2 U m c X V v d D s s J n F 1 b 3 Q 7 Q 2 9 u Y y B I b 2 x k I E h h c m 1 s Z X N z I E J h c 2 U m c X V v d D s s J n F 1 b 3 Q 7 V G F y Z 2 V 0 Z W Q g S G 9 s Z C B I Y X J t b G V z c y B C Y X N l J n F 1 b 3 Q 7 L C Z x d W 9 0 O 0 V G S U c g S G 9 s Z C B I Y X J t b G V z c y B C Y X N l J n F 1 b 3 Q 7 L C Z x d W 9 0 O 1 R v d G F s I E h v b G Q g S G F y b W x l c 3 M g Q m F z Z S Z x d W 9 0 O y w m c X V v d D t C Y X N p Y y B B b G x v Y 2 F 0 a W 9 u J n F 1 b 3 Q 7 L C Z x d W 9 0 O 0 N v b m M u I E F s b G 9 j Y X R p b 2 4 m c X V v d D s s J n F 1 b 3 Q 7 V G F y Z 2 V 0 Z W Q g Q W x s b 2 N h d G l v b i Z x d W 9 0 O y w m c X V v d D t F R k l H I E F s b G 9 j Y X R p b 2 4 m c X V v d D s s J n F 1 b 3 Q 7 V G 9 0 Y W w g V G l 0 b G U g S S B B b G x v Y 2 F 0 a W 9 u J n F 1 b 3 Q 7 X S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E 1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W 5 p d G l h b C B h Z G p 1 c 3 R l Z C B m b 3 J t d W x h I G N v d W 5 0 L 0 N v b n N v b G l k Y X R l I E x F Q U l E L n t h Z G o g T E V B S U Q s M z N 9 J n F 1 b 3 Q 7 L C Z x d W 9 0 O 1 N l Y 3 R p b 2 4 x L 0 l u a X R p Y W w g Y W R q d X N 0 Z W Q g Z m 9 y b X V s Y S B j b 3 V u d C 9 D b 2 5 z b 2 x p Z G F 0 Z S B M R U F O Q U 1 F L n t M R U F O Q U 1 F L D M 0 f S Z x d W 9 0 O y w m c X V v d D t T Z W N 0 a W 9 u M S 9 N b 2 R l b C B h b G x v Y 2 F 0 a W 9 u c y 9 D a G F u Z 2 V k I F R 5 c G U u e 0 J B U 0 l D I E h v b G Q g S G F y b W x l c 3 M g Q m F z Z S w y f S Z x d W 9 0 O y w m c X V v d D t T Z W N 0 a W 9 u M S 9 N b 2 R l b C B h b G x v Y 2 F 0 a W 9 u c y 9 D a G F u Z 2 V k I F R 5 c G U u e 0 N v b m M g S G 9 s Z C B I Y X J t b G V z c y B C Y X N l L D N 9 J n F 1 b 3 Q 7 L C Z x d W 9 0 O 1 N l Y 3 R p b 2 4 x L 0 1 v Z G V s I G F s b G 9 j Y X R p b 2 5 z L 0 N o Y W 5 n Z W Q g V H l w Z S 5 7 V G F y Z 2 V 0 Z W Q g S G 9 s Z C B I Y X J t b G V z c y B C Y X N l L D R 9 J n F 1 b 3 Q 7 L C Z x d W 9 0 O 1 N l Y 3 R p b 2 4 x L 0 1 v Z G V s I G F s b G 9 j Y X R p b 2 5 z L 0 N o Y W 5 n Z W Q g V H l w Z S 5 7 R U Z J R y B I b 2 x k I E h h c m 1 s Z X N z I E J h c 2 U s N X 0 m c X V v d D s s J n F 1 b 3 Q 7 U 2 V j d G l v b j E v T W 9 k Z W w g Y W x s b 2 N h d G l v b n M v Q 2 h h b m d l Z C B U e X B l L n t U b 3 R h b C B I b 2 x k I E h h c m 1 s Z X N z I E J h c 2 U s N n 0 m c X V v d D s s J n F 1 b 3 Q 7 U 2 V j d G l v b j E v T W 9 k Z W w g Y W x s b 2 N h d G l v b n M v Q 2 h h b m d l Z C B U e X B l L n t C Y X N p Y y B B b G x v Y 2 F 0 a W 9 u L D d 9 J n F 1 b 3 Q 7 L C Z x d W 9 0 O 1 N l Y 3 R p b 2 4 x L 0 1 v Z G V s I G F s b G 9 j Y X R p b 2 5 z L 0 N o Y W 5 n Z W Q g V H l w Z S 5 7 Q 2 9 u Y y 4 g Q W x s b 2 N h d G l v b i w 4 f S Z x d W 9 0 O y w m c X V v d D t T Z W N 0 a W 9 u M S 9 N b 2 R l b C B h b G x v Y 2 F 0 a W 9 u c y 9 D a G F u Z 2 V k I F R 5 c G U u e 1 R h c m d l d G V k I E F s b G 9 j Y X R p b 2 4 s O X 0 m c X V v d D s s J n F 1 b 3 Q 7 U 2 V j d G l v b j E v T W 9 k Z W w g Y W x s b 2 N h d G l v b n M v Q 2 h h b m d l Z C B U e X B l L n t F R k l H I E F s b G 9 j Y X R p b 2 4 s M T B 9 J n F 1 b 3 Q 7 L C Z x d W 9 0 O 1 N l Y 3 R p b 2 4 x L 0 1 v Z G V s I G F s b G 9 j Y X R p b 2 5 z L 0 N o Y W 5 n Z W Q g V H l w Z S 5 7 V G 9 0 Y W w g V G l 0 b G U g S S B B b G x v Y 2 F 0 a W 9 u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S W 5 p d G l h b C B h Z G p 1 c 3 R l Z C B m b 3 J t d W x h I G N v d W 5 0 L 0 N v b n N v b G l k Y X R l I E x F Q U l E L n t h Z G o g T E V B S U Q s M z N 9 J n F 1 b 3 Q 7 L C Z x d W 9 0 O 1 N l Y 3 R p b 2 4 x L 0 l u a X R p Y W w g Y W R q d X N 0 Z W Q g Z m 9 y b X V s Y S B j b 3 V u d C 9 D b 2 5 z b 2 x p Z G F 0 Z S B M R U F O Q U 1 F L n t M R U F O Q U 1 F L D M 0 f S Z x d W 9 0 O y w m c X V v d D t T Z W N 0 a W 9 u M S 9 N b 2 R l b C B h b G x v Y 2 F 0 a W 9 u c y 9 D a G F u Z 2 V k I F R 5 c G U u e 0 J B U 0 l D I E h v b G Q g S G F y b W x l c 3 M g Q m F z Z S w y f S Z x d W 9 0 O y w m c X V v d D t T Z W N 0 a W 9 u M S 9 N b 2 R l b C B h b G x v Y 2 F 0 a W 9 u c y 9 D a G F u Z 2 V k I F R 5 c G U u e 0 N v b m M g S G 9 s Z C B I Y X J t b G V z c y B C Y X N l L D N 9 J n F 1 b 3 Q 7 L C Z x d W 9 0 O 1 N l Y 3 R p b 2 4 x L 0 1 v Z G V s I G F s b G 9 j Y X R p b 2 5 z L 0 N o Y W 5 n Z W Q g V H l w Z S 5 7 V G F y Z 2 V 0 Z W Q g S G 9 s Z C B I Y X J t b G V z c y B C Y X N l L D R 9 J n F 1 b 3 Q 7 L C Z x d W 9 0 O 1 N l Y 3 R p b 2 4 x L 0 1 v Z G V s I G F s b G 9 j Y X R p b 2 5 z L 0 N o Y W 5 n Z W Q g V H l w Z S 5 7 R U Z J R y B I b 2 x k I E h h c m 1 s Z X N z I E J h c 2 U s N X 0 m c X V v d D s s J n F 1 b 3 Q 7 U 2 V j d G l v b j E v T W 9 k Z W w g Y W x s b 2 N h d G l v b n M v Q 2 h h b m d l Z C B U e X B l L n t U b 3 R h b C B I b 2 x k I E h h c m 1 s Z X N z I E J h c 2 U s N n 0 m c X V v d D s s J n F 1 b 3 Q 7 U 2 V j d G l v b j E v T W 9 k Z W w g Y W x s b 2 N h d G l v b n M v Q 2 h h b m d l Z C B U e X B l L n t C Y X N p Y y B B b G x v Y 2 F 0 a W 9 u L D d 9 J n F 1 b 3 Q 7 L C Z x d W 9 0 O 1 N l Y 3 R p b 2 4 x L 0 1 v Z G V s I G F s b G 9 j Y X R p b 2 5 z L 0 N o Y W 5 n Z W Q g V H l w Z S 5 7 Q 2 9 u Y y 4 g Q W x s b 2 N h d G l v b i w 4 f S Z x d W 9 0 O y w m c X V v d D t T Z W N 0 a W 9 u M S 9 N b 2 R l b C B h b G x v Y 2 F 0 a W 9 u c y 9 D a G F u Z 2 V k I F R 5 c G U u e 1 R h c m d l d G V k I E F s b G 9 j Y X R p b 2 4 s O X 0 m c X V v d D s s J n F 1 b 3 Q 7 U 2 V j d G l v b j E v T W 9 k Z W w g Y W x s b 2 N h d G l v b n M v Q 2 h h b m d l Z C B U e X B l L n t F R k l H I E F s b G 9 j Y X R p b 2 4 s M T B 9 J n F 1 b 3 Q 7 L C Z x d W 9 0 O 1 N l Y 3 R p b 2 4 x L 0 1 v Z G V s I G F s b G 9 j Y X R p b 2 5 z L 0 N o Y W 5 n Z W Q g V H l w Z S 5 7 V G 9 0 Y W w g V G l 0 b G U g S S B B b G x v Y 2 F 0 a W 9 u L D E x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N b 2 R l b C U y M G F s b G 9 j Y X R p b 2 5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G V s J T I w Y W x s b 2 N h d G l v b n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G V s J T I w Y W x s b 2 N h d G l v b n M v R X h w Y W 5 k Z W Q l M j B O Z X c l M j B v c i U y M E V 4 c G F u Z G V k J T I w S E g l M j B j a G V j a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G V s J T I w Y W x s b 2 N h d G l v b n M v Q 2 9 u Y y U y M E h v b G Q l M j B I Y X J t b G V z c y U y M E J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R l b C U y M G F s b G 9 j Y X R p b 2 5 z L 1 R h c m d l d G V k J T I w S G 9 s Z C U y M E h h c m 1 s Z X N z J T I w Q m F z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G V s J T I w Y W x s b 2 N h d G l v b n M v R U Z J R y U y M E h v b G Q l M j B I Y X J t b G V z c y U y M E J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R l b C U y M G F s b G 9 j Y X R p b 2 5 z L 0 J h c 2 l j J T I w S G 9 s Z C U y M E h h c m 1 s Z X N z J T I w Q m F z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l b G l n a W J p b G l 0 e S U y M H l l Y X I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l b G l n a W J p b G l 0 e S U y M H l l Y X I v R X h w Y W 5 k Z W Q l M j B N b 2 R l b C U y M G F s b G 9 j Y X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Z W w l M j B h b G x v Y 2 F 0 a W 9 u c y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l b G l n a W J p b G l 0 e S U y M H l l Y X I v Q 2 9 u Y y U y M E V s a W d p Y m l s a X R 5 J T I w Q W 1 v d W 5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Y y U y M G V s a W d p Y m l s a X R 5 J T I w e W V h c i 9 S Z W 1 v d m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N Z X J n Z W Q l M j B R d W V y a W V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V 4 c G F u Z G V k J T I w Q 2 9 u Y y U y M G x v b 2 t i Y W N r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R X h w Y W 5 k Z W Q l M j B J b m l 0 a W F s J T I w Y W R q d X N 0 Z W Q l M j B h b G x v Y 2 F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Z W w l M j B h b G x v Y 2 F 0 a W 9 u c y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Z W w l M j B h b G x v Y 2 F 0 a W 9 u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G V s J T I w Y W x s b 2 N h d G l v b n M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R l b C U y M G F s b G 9 j Y X R p b 2 5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Q W x s b 2 N h d G l v b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R S U y M E F s b G 9 j Y X R p b 2 4 v U m V t b 3 Z l Z C U y M F R v c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B b G x v Y 2 F 0 a W 9 u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h c n R l c l 9 U c m l i Y W x T Z W 5 k a W 5 n J T I w R G l z d H J p Y 3 R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h c n R l c l 9 U c m l i Y W x T Z W 5 k a W 5 n J T I w R G l z d H J p Y 3 R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Y W R q d X N 0 Z W Q l M j B h b G x v Y 2 F 0 a W 9 u c y 9 J b m l 0 a W F s J T I w Y W R q d X N 0 Z W Q l M j B h b G x v Y 2 F 0 a W 9 u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G F k a n V z d G V k J T I w Y W x s b 2 N h d G l v b n M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Y W R q d X N 0 Z W Q l M j B h b G x v Y 2 F 0 a W 9 u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E F k a n V z d G V k J T I w R m 9 y b X V s Y S U y M G N v d W 5 0 c y 9 J b m l 0 a W F s X 2 F k a n V z d G V k X 2 Z v c m 1 1 b G F f Y 2 9 1 b n R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B Z G p 1 c 3 R l Z C U y M E Z v c m 1 1 b G E l M j B j b 3 V u d H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B b G x v Y 2 F 0 a W 9 u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R m 9 y b X V s Y S U y M G N v d W 5 0 c y 9 S Z W 1 v d m V k J T I w V G 9 w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f V H J p Y m F s U 2 V u Z G l u Z y U y M E R p c 3 R y a W N 0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B b G x v Y 2 F 0 a W 9 u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d G x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Y y U y M G x v b 2 t i Y W N r L 1 R h Y m x l X z R f e W V h c l 9 s b 2 9 r Y m F j a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s b 2 9 r Y m F j a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N v b m M l M j B I S C U y M G J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O Z X Q l M j B 0 b y U y M G R p c 3 R y a W N 0 L 1 N 0 Y X R l J T I w U m V z Z X J 2 Y X R p b 2 5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T m V 0 J T I w d G 8 l M j B k a X N 0 c m l j d C 9 S Z W 1 v d m V k J T I w V G 9 w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E 5 l d C U y M H R v J T I w Z G l z d H J p Y 3 Q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T m V 0 J T I w d G 8 l M j B k a X N 0 c m l j d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E 5 l d C U y M H R v J T I w Z G l z d H J p Y 3 Q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T m V 0 J T I w d G 8 l M j B k a X N 0 c m l j d C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T m V 0 J T I w d G 8 l M j B k a X N 0 c m l j d C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B Z G o l M j B U Y X J n Z X R l Z C U y M E F s b G 9 j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Q 0 R E R C U y R k x F Q W l k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E 5 l d C U y M H R v J T I w Z G l z d H J p Y 3 Q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E 5 l d C U y M H R v J T I w Z G l z d H J p Y 3 Q v R X h w Y W 5 k Z W Q l M j B Q c m l v c i U y M F l l Y X I l M j B B Z G p 1 c 3 R l Z C U y M E Z v c m 1 1 b G E l M j B j b 3 V u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O Z X Q l M j B 0 b y U y M G R p c 3 R y a W N 0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3 V t c H R p b 2 5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l J Q T C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U E w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U l B M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U l B M L 0 1 l c m d l M V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3 V t c H R p b 2 5 z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0 b G U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L U k l M j B T d G F 0 Z S U y M E F k b S U y M C U y M D E w M D Q o Y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C 1 J J T I w U 3 R h d G U l M j B B Z G 0 l M j A l M j A x M D A 0 K G I p L 1 J l b W 9 2 Z W Q l M j B U b 3 A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C 1 J J T I w U 3 R h d G U l M j B B Z G 0 l M j A l M j A x M D A 0 K G I p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Q t S S U y M F N 0 Y X R l J T I w Q W R t J T I w J T I w M T A w N C h i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3 V t c H R p b 2 5 z L 1 N 0 Y X R l J T I w V G F i b G U l M j B G W S U y M D I 1 J T I w R m l u Y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R s Z S 9 T d G F 0 Z S U y M F R h Y m x l J T I w R l k l M j A y N S U y M E Z p b m F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C 1 J J T I w U 3 R h d G U l M j B B Z G 0 l M j A l M j A x M D A 0 K G I p L 1 V w L i U y M E Z p b m F s J T I w V C 1 J J T I w U 3 R h d G U l M j B B Z G 0 l M j A x M D A 0 K G I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C 1 J J T I w U 3 R h d G U l M j B B Z G 0 l M j A l M j A x M D A 0 K G I p L 1 J l b W 9 2 Z W Q l M j B D b 2 x 1 b W 5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N + s F g z U d D J A u F O 5 v K 2 Z g V 8 A A A A A A g A A A A A A A 2 Y A A M A A A A A Q A A A A U + W x e K K p 1 W d D M D d e Y 1 8 k i w A A A A A E g A A A o A A A A B A A A A A T Q p h Z Z o V 4 r N l v T n m 3 r l A o U A A A A O 6 f b K 4 z I 2 K V w Z 6 h d i M W Y i N a G w Z 7 4 L u U y u c + 9 s o g d t m A l u 7 f Y H M v K l V S 4 W 1 F n k z Q J + P j b h d v 2 8 Y r 4 W 1 C s + u 6 9 b l z 2 2 C F k K 8 V 8 M X t 2 q u 3 f W O L F A A A A B p 4 F 4 l S / 8 S + 3 w P n c a P j w q T A n e 5 n < / D a t a M a s h u p > 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 F R P L _ 6 d 9 4 2 e 1 6 - 2 2 d b - 4 f f a - b 3 c 4 - 7 8 e 5 f 7 7 f 3 d 9 7 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 s u m i f _ c 9 c 1 6 b e 1 - 9 4 6 9 - 4 6 2 3 - 9 b 4 e - b c b 3 2 3 c c e 1 4 4 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Props1.xml><?xml version="1.0" encoding="utf-8"?>
<ds:datastoreItem xmlns:ds="http://schemas.openxmlformats.org/officeDocument/2006/customXml" ds:itemID="{D6AD569A-BACD-49BC-9E08-481DAD7734B7}">
  <ds:schemaRefs/>
</ds:datastoreItem>
</file>

<file path=customXml/itemProps10.xml><?xml version="1.0" encoding="utf-8"?>
<ds:datastoreItem xmlns:ds="http://schemas.openxmlformats.org/officeDocument/2006/customXml" ds:itemID="{C557732F-3E27-4B73-890A-6B7F37F9A3AD}">
  <ds:schemaRefs/>
</ds:datastoreItem>
</file>

<file path=customXml/itemProps11.xml><?xml version="1.0" encoding="utf-8"?>
<ds:datastoreItem xmlns:ds="http://schemas.openxmlformats.org/officeDocument/2006/customXml" ds:itemID="{80AD095B-9596-4ABB-909D-4433931B1D7B}">
  <ds:schemaRefs/>
</ds:datastoreItem>
</file>

<file path=customXml/itemProps12.xml><?xml version="1.0" encoding="utf-8"?>
<ds:datastoreItem xmlns:ds="http://schemas.openxmlformats.org/officeDocument/2006/customXml" ds:itemID="{2BEB6B10-8085-405D-8D4E-D444EE1E3756}">
  <ds:schemaRefs/>
</ds:datastoreItem>
</file>

<file path=customXml/itemProps13.xml><?xml version="1.0" encoding="utf-8"?>
<ds:datastoreItem xmlns:ds="http://schemas.openxmlformats.org/officeDocument/2006/customXml" ds:itemID="{656B9EA6-AE52-4FCC-B10D-9012246E37FC}">
  <ds:schemaRefs/>
</ds:datastoreItem>
</file>

<file path=customXml/itemProps14.xml><?xml version="1.0" encoding="utf-8"?>
<ds:datastoreItem xmlns:ds="http://schemas.openxmlformats.org/officeDocument/2006/customXml" ds:itemID="{8957A5DB-7417-415B-B1A1-47C4546CB9F3}">
  <ds:schemaRefs/>
</ds:datastoreItem>
</file>

<file path=customXml/itemProps15.xml><?xml version="1.0" encoding="utf-8"?>
<ds:datastoreItem xmlns:ds="http://schemas.openxmlformats.org/officeDocument/2006/customXml" ds:itemID="{65E85F9D-28AC-4885-B140-75127D764CB7}">
  <ds:schemaRefs/>
</ds:datastoreItem>
</file>

<file path=customXml/itemProps16.xml><?xml version="1.0" encoding="utf-8"?>
<ds:datastoreItem xmlns:ds="http://schemas.openxmlformats.org/officeDocument/2006/customXml" ds:itemID="{CFC62887-F348-4B5E-A54B-A06474FEF0C9}">
  <ds:schemaRefs/>
</ds:datastoreItem>
</file>

<file path=customXml/itemProps17.xml><?xml version="1.0" encoding="utf-8"?>
<ds:datastoreItem xmlns:ds="http://schemas.openxmlformats.org/officeDocument/2006/customXml" ds:itemID="{AA84F6FF-B3DA-4CE3-9D95-51C5FF1E7D1E}">
  <ds:schemaRefs/>
</ds:datastoreItem>
</file>

<file path=customXml/itemProps18.xml><?xml version="1.0" encoding="utf-8"?>
<ds:datastoreItem xmlns:ds="http://schemas.openxmlformats.org/officeDocument/2006/customXml" ds:itemID="{377BC769-17B2-419D-8521-A8DA9171A817}">
  <ds:schemaRefs/>
</ds:datastoreItem>
</file>

<file path=customXml/itemProps2.xml><?xml version="1.0" encoding="utf-8"?>
<ds:datastoreItem xmlns:ds="http://schemas.openxmlformats.org/officeDocument/2006/customXml" ds:itemID="{A5F61F43-2B1B-4E03-991C-25823BACC69A}">
  <ds:schemaRefs/>
</ds:datastoreItem>
</file>

<file path=customXml/itemProps3.xml><?xml version="1.0" encoding="utf-8"?>
<ds:datastoreItem xmlns:ds="http://schemas.openxmlformats.org/officeDocument/2006/customXml" ds:itemID="{9A96D58D-B731-4143-AA84-8A4559BB47C0}">
  <ds:schemaRefs/>
</ds:datastoreItem>
</file>

<file path=customXml/itemProps4.xml><?xml version="1.0" encoding="utf-8"?>
<ds:datastoreItem xmlns:ds="http://schemas.openxmlformats.org/officeDocument/2006/customXml" ds:itemID="{0C45F400-3380-4BBF-9C9A-A434BD245E81}">
  <ds:schemaRefs/>
</ds:datastoreItem>
</file>

<file path=customXml/itemProps5.xml><?xml version="1.0" encoding="utf-8"?>
<ds:datastoreItem xmlns:ds="http://schemas.openxmlformats.org/officeDocument/2006/customXml" ds:itemID="{BFB5D4B2-EE2B-4D5B-B284-E010D95DC454}">
  <ds:schemaRefs/>
</ds:datastoreItem>
</file>

<file path=customXml/itemProps6.xml><?xml version="1.0" encoding="utf-8"?>
<ds:datastoreItem xmlns:ds="http://schemas.openxmlformats.org/officeDocument/2006/customXml" ds:itemID="{A236602B-1867-4F0C-907E-370B7BB50726}">
  <ds:schemaRefs/>
</ds:datastoreItem>
</file>

<file path=customXml/itemProps7.xml><?xml version="1.0" encoding="utf-8"?>
<ds:datastoreItem xmlns:ds="http://schemas.openxmlformats.org/officeDocument/2006/customXml" ds:itemID="{AE81D1FB-7859-4A17-9925-956C4F45F006}">
  <ds:schemaRefs/>
</ds:datastoreItem>
</file>

<file path=customXml/itemProps8.xml><?xml version="1.0" encoding="utf-8"?>
<ds:datastoreItem xmlns:ds="http://schemas.openxmlformats.org/officeDocument/2006/customXml" ds:itemID="{89384747-53B4-4C40-A5DA-2CDB93F62D84}">
  <ds:schemaRefs>
    <ds:schemaRef ds:uri="http://schemas.microsoft.com/DataMashup"/>
  </ds:schemaRefs>
</ds:datastoreItem>
</file>

<file path=customXml/itemProps9.xml><?xml version="1.0" encoding="utf-8"?>
<ds:datastoreItem xmlns:ds="http://schemas.openxmlformats.org/officeDocument/2006/customXml" ds:itemID="{D8920CEB-1354-47AC-BCEF-2E0FAABFA80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District</vt:lpstr>
      <vt:lpstr>Assumptions </vt:lpstr>
      <vt:lpstr>State Reservations</vt:lpstr>
      <vt:lpstr>Basic HH</vt:lpstr>
      <vt:lpstr>Conc. HH</vt:lpstr>
      <vt:lpstr>Targeted HH</vt:lpstr>
      <vt:lpstr>EFIG HH</vt:lpstr>
      <vt:lpstr>Model allocations</vt:lpstr>
      <vt:lpstr>Initial adjusted allocations</vt:lpstr>
      <vt:lpstr>Initial adjusted formula count</vt:lpstr>
      <vt:lpstr>New or Expanded HH check</vt:lpstr>
      <vt:lpstr>Multipliers</vt:lpstr>
      <vt:lpstr>LEA Split Calc</vt:lpstr>
      <vt:lpstr>Prior Year data</vt:lpstr>
      <vt:lpstr>Conc eligibility year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Gideon Belmaker</dc:creator>
  <cp:lastModifiedBy>Gideon Belmaker</cp:lastModifiedBy>
  <dcterms:created xsi:type="dcterms:W3CDTF">2022-11-08T17:36:19Z</dcterms:created>
  <dcterms:modified xsi:type="dcterms:W3CDTF">2025-08-12T16:21:59Z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145f431-4c8c-42c6-a5a5-ba6d3bdea585_Enabled">
    <vt:lpwstr>true</vt:lpwstr>
  </property>
  <property fmtid="{D5CDD505-2E9C-101B-9397-08002B2CF9AE}" pid="3" name="MSIP_Label_9145f431-4c8c-42c6-a5a5-ba6d3bdea585_SetDate">
    <vt:lpwstr>2024-05-21T18:19:41Z</vt:lpwstr>
  </property>
  <property fmtid="{D5CDD505-2E9C-101B-9397-08002B2CF9AE}" pid="4" name="MSIP_Label_9145f431-4c8c-42c6-a5a5-ba6d3bdea585_Method">
    <vt:lpwstr>Standard</vt:lpwstr>
  </property>
  <property fmtid="{D5CDD505-2E9C-101B-9397-08002B2CF9AE}" pid="5" name="MSIP_Label_9145f431-4c8c-42c6-a5a5-ba6d3bdea585_Name">
    <vt:lpwstr>defa4170-0d19-0005-0004-bc88714345d2</vt:lpwstr>
  </property>
  <property fmtid="{D5CDD505-2E9C-101B-9397-08002B2CF9AE}" pid="6" name="MSIP_Label_9145f431-4c8c-42c6-a5a5-ba6d3bdea585_SiteId">
    <vt:lpwstr>b2fe5ccf-10a5-46fe-ae45-a0267412af7a</vt:lpwstr>
  </property>
  <property fmtid="{D5CDD505-2E9C-101B-9397-08002B2CF9AE}" pid="7" name="MSIP_Label_9145f431-4c8c-42c6-a5a5-ba6d3bdea585_ActionId">
    <vt:lpwstr>0f66f389-e1e7-4d67-948c-aa526a305fae</vt:lpwstr>
  </property>
  <property fmtid="{D5CDD505-2E9C-101B-9397-08002B2CF9AE}" pid="8" name="MSIP_Label_9145f431-4c8c-42c6-a5a5-ba6d3bdea585_ContentBits">
    <vt:lpwstr>0</vt:lpwstr>
  </property>
</Properties>
</file>